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gov-my.sharepoint.com/personal/matthew_lentz_wisconsin_gov/Documents/Docs to upload/2022 Aug/final/5 - TID304WI_TID Val Limitation/"/>
    </mc:Choice>
  </mc:AlternateContent>
  <xr:revisionPtr revIDLastSave="0" documentId="13_ncr:1_{A67EF530-0CC4-486B-AB8F-5D97E2975A57}" xr6:coauthVersionLast="47" xr6:coauthVersionMax="47" xr10:uidLastSave="{00000000-0000-0000-0000-000000000000}"/>
  <bookViews>
    <workbookView xWindow="-24380" yWindow="-2560" windowWidth="19400" windowHeight="12930" xr2:uid="{00000000-000D-0000-FFFF-FFFF00000000}"/>
  </bookViews>
  <sheets>
    <sheet name="TID304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B10" i="1"/>
  <c r="C10" i="1"/>
  <c r="B11" i="1"/>
  <c r="C11" i="1"/>
  <c r="B12" i="1"/>
  <c r="C12" i="1"/>
  <c r="B13" i="1"/>
  <c r="C13" i="1"/>
  <c r="B16" i="1"/>
  <c r="C16" i="1"/>
  <c r="B17" i="1"/>
  <c r="C17" i="1"/>
  <c r="B20" i="1"/>
  <c r="C20" i="1"/>
  <c r="B21" i="1"/>
  <c r="C21" i="1"/>
  <c r="B22" i="1"/>
  <c r="C22" i="1"/>
  <c r="B25" i="1"/>
  <c r="C25" i="1"/>
  <c r="B28" i="1"/>
  <c r="C28" i="1"/>
  <c r="B31" i="1"/>
  <c r="C31" i="1"/>
  <c r="B32" i="1"/>
  <c r="C32" i="1"/>
  <c r="B33" i="1"/>
  <c r="C33" i="1"/>
  <c r="B36" i="1"/>
  <c r="C36" i="1"/>
  <c r="B37" i="1"/>
  <c r="C37" i="1"/>
  <c r="B38" i="1"/>
  <c r="C38" i="1"/>
  <c r="B39" i="1"/>
  <c r="C39" i="1"/>
  <c r="B42" i="1"/>
  <c r="C42" i="1"/>
  <c r="B45" i="1"/>
  <c r="C45" i="1"/>
  <c r="B46" i="1"/>
  <c r="C46" i="1"/>
  <c r="B47" i="1"/>
  <c r="C47" i="1"/>
  <c r="B48" i="1"/>
  <c r="C48" i="1"/>
  <c r="B49" i="1"/>
  <c r="C49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2" i="1"/>
  <c r="C62" i="1"/>
  <c r="B63" i="1"/>
  <c r="C63" i="1"/>
  <c r="B66" i="1"/>
  <c r="C66" i="1"/>
  <c r="B69" i="1"/>
  <c r="C69" i="1"/>
  <c r="B72" i="1"/>
  <c r="C72" i="1"/>
  <c r="B75" i="1"/>
  <c r="C75" i="1"/>
  <c r="B76" i="1"/>
  <c r="C76" i="1"/>
  <c r="B77" i="1"/>
  <c r="C77" i="1"/>
  <c r="B80" i="1"/>
  <c r="C80" i="1"/>
  <c r="B81" i="1"/>
  <c r="C81" i="1"/>
  <c r="B82" i="1"/>
  <c r="C82" i="1"/>
  <c r="B85" i="1"/>
  <c r="C85" i="1"/>
  <c r="B86" i="1"/>
  <c r="C86" i="1"/>
  <c r="B89" i="1"/>
  <c r="C89" i="1"/>
  <c r="B90" i="1"/>
  <c r="C90" i="1"/>
  <c r="B93" i="1"/>
  <c r="C93" i="1"/>
  <c r="B96" i="1"/>
  <c r="C96" i="1"/>
  <c r="B97" i="1"/>
  <c r="C97" i="1"/>
  <c r="B98" i="1"/>
  <c r="C98" i="1"/>
  <c r="B101" i="1"/>
  <c r="C101" i="1"/>
  <c r="B102" i="1"/>
  <c r="C102" i="1"/>
  <c r="B103" i="1"/>
  <c r="C103" i="1"/>
  <c r="B104" i="1"/>
  <c r="C104" i="1"/>
  <c r="B107" i="1"/>
  <c r="C107" i="1"/>
  <c r="B108" i="1"/>
  <c r="C108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9" i="1"/>
  <c r="C119" i="1"/>
  <c r="B120" i="1"/>
  <c r="C120" i="1"/>
  <c r="B123" i="1"/>
  <c r="C123" i="1"/>
  <c r="B124" i="1"/>
  <c r="C124" i="1"/>
  <c r="B125" i="1"/>
  <c r="C125" i="1"/>
  <c r="B126" i="1"/>
  <c r="C126" i="1"/>
  <c r="B127" i="1"/>
  <c r="C127" i="1"/>
  <c r="B130" i="1"/>
  <c r="C130" i="1"/>
  <c r="B131" i="1"/>
  <c r="C131" i="1"/>
  <c r="B132" i="1"/>
  <c r="C132" i="1"/>
  <c r="B133" i="1"/>
  <c r="C133" i="1"/>
  <c r="B136" i="1"/>
  <c r="C136" i="1"/>
  <c r="B139" i="1"/>
  <c r="C139" i="1"/>
  <c r="B140" i="1"/>
  <c r="C140" i="1"/>
  <c r="B141" i="1"/>
  <c r="C141" i="1"/>
  <c r="B142" i="1"/>
  <c r="C142" i="1"/>
  <c r="B145" i="1"/>
  <c r="C145" i="1"/>
  <c r="B146" i="1"/>
  <c r="C146" i="1"/>
  <c r="B149" i="1"/>
  <c r="C149" i="1"/>
  <c r="B152" i="1"/>
  <c r="C152" i="1"/>
  <c r="B153" i="1"/>
  <c r="C153" i="1"/>
  <c r="B154" i="1"/>
  <c r="C154" i="1"/>
  <c r="B155" i="1"/>
  <c r="C155" i="1"/>
  <c r="B156" i="1"/>
  <c r="C156" i="1"/>
  <c r="B159" i="1"/>
  <c r="C159" i="1"/>
  <c r="B160" i="1"/>
  <c r="C160" i="1"/>
  <c r="B163" i="1"/>
  <c r="C163" i="1"/>
  <c r="B166" i="1"/>
  <c r="C166" i="1"/>
  <c r="B167" i="1"/>
  <c r="C167" i="1"/>
  <c r="B170" i="1"/>
  <c r="C170" i="1"/>
  <c r="B171" i="1"/>
  <c r="C171" i="1"/>
  <c r="B172" i="1"/>
  <c r="C172" i="1"/>
  <c r="B175" i="1"/>
  <c r="C175" i="1"/>
  <c r="B176" i="1"/>
  <c r="C176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7" i="1"/>
  <c r="C187" i="1"/>
  <c r="B188" i="1"/>
  <c r="C188" i="1"/>
  <c r="B189" i="1"/>
  <c r="C189" i="1"/>
  <c r="B190" i="1"/>
  <c r="C190" i="1"/>
  <c r="B193" i="1"/>
  <c r="C193" i="1"/>
  <c r="B196" i="1"/>
  <c r="C196" i="1"/>
  <c r="B199" i="1"/>
  <c r="C199" i="1"/>
  <c r="B202" i="1"/>
  <c r="C202" i="1"/>
  <c r="B203" i="1"/>
  <c r="C203" i="1"/>
  <c r="B206" i="1"/>
  <c r="C206" i="1"/>
  <c r="B209" i="1"/>
  <c r="C209" i="1"/>
  <c r="B210" i="1"/>
  <c r="C210" i="1"/>
  <c r="B213" i="1"/>
  <c r="C213" i="1"/>
  <c r="B214" i="1"/>
  <c r="C214" i="1"/>
  <c r="B215" i="1"/>
  <c r="C215" i="1"/>
  <c r="B218" i="1"/>
  <c r="C218" i="1"/>
  <c r="B219" i="1"/>
  <c r="C219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30" i="1"/>
  <c r="C230" i="1"/>
  <c r="B232" i="1"/>
  <c r="C232" i="1"/>
  <c r="B233" i="1"/>
  <c r="C233" i="1"/>
  <c r="B234" i="1"/>
  <c r="C234" i="1"/>
  <c r="B235" i="1"/>
  <c r="C235" i="1"/>
  <c r="B236" i="1"/>
  <c r="C236" i="1"/>
  <c r="B239" i="1"/>
  <c r="C239" i="1"/>
  <c r="B240" i="1"/>
  <c r="C240" i="1"/>
  <c r="B241" i="1"/>
  <c r="C241" i="1"/>
  <c r="B244" i="1"/>
  <c r="C244" i="1"/>
  <c r="B245" i="1"/>
  <c r="C245" i="1"/>
  <c r="B246" i="1"/>
  <c r="C246" i="1"/>
  <c r="B249" i="1"/>
  <c r="C249" i="1"/>
  <c r="B252" i="1"/>
  <c r="C252" i="1"/>
  <c r="B253" i="1"/>
  <c r="C253" i="1"/>
  <c r="B256" i="1"/>
  <c r="C256" i="1"/>
  <c r="B257" i="1"/>
  <c r="C257" i="1"/>
  <c r="B258" i="1"/>
  <c r="C258" i="1"/>
  <c r="B259" i="1"/>
  <c r="C259" i="1"/>
  <c r="B262" i="1"/>
  <c r="C262" i="1"/>
  <c r="B263" i="1"/>
  <c r="C263" i="1"/>
  <c r="B266" i="1"/>
  <c r="C266" i="1"/>
  <c r="B269" i="1"/>
  <c r="C269" i="1"/>
  <c r="B272" i="1"/>
  <c r="C272" i="1"/>
  <c r="B275" i="1"/>
  <c r="C275" i="1"/>
  <c r="B276" i="1"/>
  <c r="C276" i="1"/>
  <c r="B279" i="1"/>
  <c r="C279" i="1"/>
  <c r="B282" i="1"/>
  <c r="C282" i="1"/>
  <c r="B283" i="1"/>
  <c r="C283" i="1"/>
  <c r="B284" i="1"/>
  <c r="C284" i="1"/>
  <c r="B285" i="1"/>
  <c r="C285" i="1"/>
  <c r="B288" i="1"/>
  <c r="C288" i="1"/>
  <c r="B291" i="1"/>
  <c r="C291" i="1"/>
  <c r="B292" i="1"/>
  <c r="C292" i="1"/>
  <c r="B295" i="1"/>
  <c r="C295" i="1"/>
  <c r="B296" i="1"/>
  <c r="C296" i="1"/>
  <c r="B297" i="1"/>
  <c r="C297" i="1"/>
  <c r="B298" i="1"/>
  <c r="C298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2" i="1"/>
  <c r="C312" i="1"/>
  <c r="B314" i="1"/>
  <c r="C314" i="1"/>
  <c r="B315" i="1"/>
  <c r="C315" i="1"/>
  <c r="B318" i="1"/>
  <c r="C318" i="1"/>
  <c r="B321" i="1"/>
  <c r="C321" i="1"/>
  <c r="B322" i="1"/>
  <c r="C322" i="1"/>
  <c r="B325" i="1"/>
  <c r="C325" i="1"/>
  <c r="B328" i="1"/>
  <c r="C328" i="1"/>
  <c r="B331" i="1"/>
  <c r="C331" i="1"/>
  <c r="B332" i="1"/>
  <c r="C332" i="1"/>
  <c r="B333" i="1"/>
  <c r="C333" i="1"/>
  <c r="B336" i="1"/>
  <c r="C336" i="1"/>
  <c r="B337" i="1"/>
  <c r="C337" i="1"/>
  <c r="B338" i="1"/>
  <c r="C338" i="1"/>
  <c r="B341" i="1"/>
  <c r="C341" i="1"/>
  <c r="B344" i="1"/>
  <c r="C344" i="1"/>
  <c r="B345" i="1"/>
  <c r="C345" i="1"/>
  <c r="B346" i="1"/>
  <c r="C346" i="1"/>
  <c r="B349" i="1"/>
  <c r="C349" i="1"/>
  <c r="B350" i="1"/>
  <c r="C350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61" i="1"/>
  <c r="C361" i="1"/>
  <c r="B364" i="1"/>
  <c r="C364" i="1"/>
  <c r="B367" i="1"/>
  <c r="C367" i="1"/>
  <c r="B370" i="1"/>
  <c r="C370" i="1"/>
  <c r="B371" i="1"/>
  <c r="C371" i="1"/>
  <c r="B372" i="1"/>
  <c r="C372" i="1"/>
  <c r="B373" i="1"/>
  <c r="C373" i="1"/>
  <c r="B374" i="1"/>
  <c r="C374" i="1"/>
  <c r="B377" i="1"/>
  <c r="C377" i="1"/>
  <c r="B380" i="1"/>
  <c r="C380" i="1"/>
  <c r="B381" i="1"/>
  <c r="C381" i="1"/>
  <c r="B382" i="1"/>
  <c r="C382" i="1"/>
  <c r="B385" i="1"/>
  <c r="C385" i="1"/>
  <c r="B388" i="1"/>
  <c r="C388" i="1"/>
  <c r="B391" i="1"/>
  <c r="C391" i="1"/>
  <c r="B394" i="1"/>
  <c r="C394" i="1"/>
  <c r="B395" i="1"/>
  <c r="C395" i="1"/>
  <c r="B396" i="1"/>
  <c r="C396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2" i="1"/>
  <c r="C412" i="1"/>
  <c r="B413" i="1"/>
  <c r="C413" i="1"/>
  <c r="B416" i="1"/>
  <c r="C416" i="1"/>
  <c r="B417" i="1"/>
  <c r="C417" i="1"/>
  <c r="B418" i="1"/>
  <c r="C418" i="1"/>
  <c r="B419" i="1"/>
  <c r="C419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2" i="1"/>
  <c r="C432" i="1"/>
  <c r="B435" i="1"/>
  <c r="C435" i="1"/>
  <c r="B436" i="1"/>
  <c r="C436" i="1"/>
  <c r="B439" i="1"/>
  <c r="C439" i="1"/>
  <c r="B442" i="1"/>
  <c r="C442" i="1"/>
  <c r="B445" i="1"/>
  <c r="C445" i="1"/>
  <c r="B448" i="1"/>
  <c r="C448" i="1"/>
  <c r="B449" i="1"/>
  <c r="C449" i="1"/>
  <c r="B452" i="1"/>
  <c r="C452" i="1"/>
  <c r="B455" i="1"/>
  <c r="C455" i="1"/>
  <c r="B456" i="1"/>
  <c r="C456" i="1"/>
  <c r="B459" i="1"/>
  <c r="C459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2" i="1"/>
  <c r="C472" i="1"/>
  <c r="B473" i="1"/>
  <c r="C473" i="1"/>
  <c r="B474" i="1"/>
  <c r="C474" i="1"/>
  <c r="B477" i="1"/>
  <c r="C477" i="1"/>
  <c r="B478" i="1"/>
  <c r="C478" i="1"/>
  <c r="B479" i="1"/>
  <c r="C479" i="1"/>
  <c r="B480" i="1"/>
  <c r="C480" i="1"/>
  <c r="B483" i="1"/>
  <c r="C483" i="1"/>
  <c r="B484" i="1"/>
  <c r="C484" i="1"/>
  <c r="B487" i="1"/>
  <c r="C487" i="1"/>
  <c r="B488" i="1"/>
  <c r="C488" i="1"/>
  <c r="B489" i="1"/>
  <c r="C489" i="1"/>
  <c r="B492" i="1"/>
  <c r="C492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3" i="1"/>
  <c r="C503" i="1"/>
  <c r="B506" i="1"/>
  <c r="C506" i="1"/>
  <c r="B507" i="1"/>
  <c r="C507" i="1"/>
  <c r="B508" i="1"/>
  <c r="C508" i="1"/>
  <c r="B511" i="1"/>
  <c r="C511" i="1"/>
  <c r="B512" i="1"/>
  <c r="C512" i="1"/>
  <c r="B513" i="1"/>
  <c r="C513" i="1"/>
  <c r="B514" i="1"/>
  <c r="C514" i="1"/>
  <c r="B515" i="1"/>
  <c r="C515" i="1"/>
  <c r="B518" i="1"/>
  <c r="C518" i="1"/>
  <c r="B521" i="1"/>
  <c r="C521" i="1"/>
  <c r="B522" i="1"/>
  <c r="C522" i="1"/>
  <c r="B523" i="1"/>
  <c r="C523" i="1"/>
  <c r="B524" i="1"/>
  <c r="C524" i="1"/>
  <c r="B525" i="1"/>
  <c r="C525" i="1"/>
  <c r="B528" i="1"/>
  <c r="C528" i="1"/>
  <c r="B531" i="1"/>
  <c r="C531" i="1"/>
  <c r="B532" i="1"/>
  <c r="C532" i="1"/>
  <c r="B535" i="1"/>
  <c r="C535" i="1"/>
  <c r="B538" i="1"/>
  <c r="C538" i="1"/>
  <c r="B539" i="1"/>
  <c r="C539" i="1"/>
  <c r="B540" i="1"/>
  <c r="C540" i="1"/>
  <c r="B543" i="1"/>
  <c r="C543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4" i="1"/>
  <c r="C554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71" i="1"/>
  <c r="C571" i="1"/>
  <c r="B574" i="1"/>
  <c r="C574" i="1"/>
  <c r="B577" i="1"/>
  <c r="C577" i="1"/>
  <c r="B578" i="1"/>
  <c r="C578" i="1"/>
  <c r="B579" i="1"/>
  <c r="C579" i="1"/>
  <c r="B582" i="1"/>
  <c r="C582" i="1"/>
  <c r="B583" i="1"/>
  <c r="C583" i="1"/>
  <c r="B584" i="1"/>
  <c r="C584" i="1"/>
  <c r="B585" i="1"/>
  <c r="C585" i="1"/>
  <c r="B588" i="1"/>
  <c r="C588" i="1"/>
  <c r="B589" i="1"/>
  <c r="C589" i="1"/>
  <c r="B592" i="1"/>
  <c r="C592" i="1"/>
  <c r="B595" i="1"/>
  <c r="C595" i="1"/>
  <c r="B596" i="1"/>
  <c r="C596" i="1"/>
  <c r="B597" i="1"/>
  <c r="C597" i="1"/>
  <c r="B598" i="1"/>
  <c r="C598" i="1"/>
  <c r="B599" i="1"/>
  <c r="C599" i="1"/>
  <c r="B602" i="1"/>
  <c r="C602" i="1"/>
  <c r="B605" i="1"/>
  <c r="C605" i="1"/>
  <c r="B608" i="1"/>
  <c r="C608" i="1"/>
  <c r="B609" i="1"/>
  <c r="C609" i="1"/>
  <c r="B612" i="1"/>
  <c r="C612" i="1"/>
  <c r="B615" i="1"/>
  <c r="C615" i="1"/>
  <c r="B616" i="1"/>
  <c r="C616" i="1"/>
  <c r="B619" i="1"/>
  <c r="C619" i="1"/>
  <c r="B622" i="1"/>
  <c r="C622" i="1"/>
  <c r="B623" i="1"/>
  <c r="C623" i="1"/>
  <c r="B624" i="1"/>
  <c r="C624" i="1"/>
  <c r="B627" i="1"/>
  <c r="C627" i="1"/>
  <c r="B628" i="1"/>
  <c r="C628" i="1"/>
  <c r="B629" i="1"/>
  <c r="C629" i="1"/>
  <c r="B632" i="1"/>
  <c r="C632" i="1"/>
  <c r="B633" i="1"/>
  <c r="C633" i="1"/>
  <c r="B636" i="1"/>
  <c r="C636" i="1"/>
  <c r="B639" i="1"/>
  <c r="C639" i="1"/>
  <c r="B640" i="1"/>
  <c r="C640" i="1"/>
  <c r="B643" i="1"/>
  <c r="C643" i="1"/>
  <c r="B644" i="1"/>
  <c r="C644" i="1"/>
  <c r="B645" i="1"/>
  <c r="C645" i="1"/>
  <c r="B648" i="1"/>
  <c r="C648" i="1"/>
  <c r="B649" i="1"/>
  <c r="C649" i="1"/>
  <c r="B650" i="1"/>
  <c r="C650" i="1"/>
  <c r="B651" i="1"/>
  <c r="C651" i="1"/>
  <c r="B654" i="1"/>
  <c r="C654" i="1"/>
  <c r="B657" i="1"/>
  <c r="C657" i="1"/>
  <c r="B658" i="1"/>
  <c r="C658" i="1"/>
  <c r="B659" i="1"/>
  <c r="C659" i="1"/>
  <c r="B662" i="1"/>
  <c r="C662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80" i="1"/>
  <c r="C680" i="1"/>
  <c r="B681" i="1"/>
  <c r="C681" i="1"/>
  <c r="B682" i="1"/>
  <c r="C682" i="1"/>
  <c r="B683" i="1"/>
  <c r="C683" i="1"/>
  <c r="B686" i="1"/>
  <c r="C686" i="1"/>
  <c r="B687" i="1"/>
  <c r="C687" i="1"/>
  <c r="B688" i="1"/>
  <c r="C688" i="1"/>
  <c r="B689" i="1"/>
  <c r="C689" i="1"/>
  <c r="B692" i="1"/>
  <c r="C692" i="1"/>
  <c r="B693" i="1"/>
  <c r="C693" i="1"/>
  <c r="B694" i="1"/>
  <c r="C694" i="1"/>
  <c r="B695" i="1"/>
  <c r="C695" i="1"/>
  <c r="B696" i="1"/>
  <c r="C696" i="1"/>
  <c r="B699" i="1"/>
  <c r="C699" i="1"/>
  <c r="B702" i="1"/>
  <c r="C702" i="1"/>
  <c r="B703" i="1"/>
  <c r="C703" i="1"/>
  <c r="B706" i="1"/>
  <c r="C706" i="1"/>
  <c r="B707" i="1"/>
  <c r="C707" i="1"/>
  <c r="B710" i="1"/>
  <c r="C710" i="1"/>
  <c r="B713" i="1"/>
  <c r="C713" i="1"/>
  <c r="B716" i="1"/>
  <c r="C716" i="1"/>
  <c r="B719" i="1"/>
  <c r="C719" i="1"/>
  <c r="B720" i="1"/>
  <c r="C720" i="1"/>
  <c r="B721" i="1"/>
  <c r="C721" i="1"/>
  <c r="B722" i="1"/>
  <c r="C722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4" i="1"/>
  <c r="C734" i="1"/>
  <c r="B735" i="1"/>
  <c r="C735" i="1"/>
  <c r="B736" i="1"/>
  <c r="C736" i="1"/>
  <c r="B739" i="1"/>
  <c r="C739" i="1"/>
  <c r="B742" i="1"/>
  <c r="C742" i="1"/>
  <c r="B745" i="1"/>
  <c r="C745" i="1"/>
  <c r="B746" i="1"/>
  <c r="C746" i="1"/>
  <c r="B749" i="1"/>
  <c r="C749" i="1"/>
  <c r="B752" i="1"/>
  <c r="C752" i="1"/>
  <c r="B755" i="1"/>
  <c r="C755" i="1"/>
  <c r="B758" i="1"/>
  <c r="C758" i="1"/>
  <c r="B761" i="1"/>
  <c r="C761" i="1"/>
  <c r="B762" i="1"/>
  <c r="C762" i="1"/>
  <c r="B765" i="1"/>
  <c r="C765" i="1"/>
  <c r="B766" i="1"/>
  <c r="C766" i="1"/>
  <c r="B769" i="1"/>
  <c r="C769" i="1"/>
  <c r="B770" i="1"/>
  <c r="C770" i="1"/>
  <c r="B771" i="1"/>
  <c r="C771" i="1"/>
  <c r="B774" i="1"/>
  <c r="C774" i="1"/>
  <c r="B775" i="1"/>
  <c r="C775" i="1"/>
  <c r="B776" i="1"/>
  <c r="C776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8" i="1"/>
  <c r="C788" i="1"/>
  <c r="B789" i="1"/>
  <c r="C789" i="1"/>
  <c r="B792" i="1"/>
  <c r="C792" i="1"/>
  <c r="B795" i="1"/>
  <c r="C795" i="1"/>
  <c r="B796" i="1"/>
  <c r="C796" i="1"/>
  <c r="B799" i="1"/>
  <c r="C799" i="1"/>
  <c r="B800" i="1"/>
  <c r="C800" i="1"/>
  <c r="B801" i="1"/>
  <c r="C801" i="1"/>
  <c r="B802" i="1"/>
  <c r="C802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9" i="1"/>
  <c r="C819" i="1"/>
  <c r="B820" i="1"/>
  <c r="C820" i="1"/>
  <c r="B821" i="1"/>
  <c r="C821" i="1"/>
  <c r="B822" i="1"/>
  <c r="C822" i="1"/>
  <c r="B823" i="1"/>
  <c r="C823" i="1"/>
  <c r="B826" i="1"/>
  <c r="C826" i="1"/>
  <c r="B829" i="1"/>
  <c r="C829" i="1"/>
  <c r="B830" i="1"/>
  <c r="C830" i="1"/>
  <c r="B833" i="1"/>
  <c r="C833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5" i="1"/>
  <c r="C845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6" i="1"/>
  <c r="C876" i="1"/>
  <c r="B877" i="1"/>
  <c r="C877" i="1"/>
  <c r="B880" i="1"/>
  <c r="C880" i="1"/>
  <c r="B881" i="1"/>
  <c r="C881" i="1"/>
  <c r="B884" i="1"/>
  <c r="C884" i="1"/>
  <c r="B885" i="1"/>
  <c r="C885" i="1"/>
  <c r="B888" i="1"/>
  <c r="C888" i="1"/>
  <c r="B889" i="1"/>
  <c r="C889" i="1"/>
  <c r="B890" i="1"/>
  <c r="C890" i="1"/>
  <c r="B893" i="1"/>
  <c r="C893" i="1"/>
  <c r="B896" i="1"/>
  <c r="C896" i="1"/>
  <c r="B897" i="1"/>
  <c r="C897" i="1"/>
  <c r="B898" i="1"/>
  <c r="C898" i="1"/>
  <c r="B899" i="1"/>
  <c r="C899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5" i="1"/>
  <c r="C915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9" i="1"/>
  <c r="C929" i="1"/>
  <c r="B930" i="1"/>
  <c r="C930" i="1"/>
  <c r="B931" i="1"/>
  <c r="C931" i="1"/>
  <c r="B934" i="1"/>
  <c r="C934" i="1"/>
  <c r="B935" i="1"/>
  <c r="C935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6" i="1"/>
  <c r="C946" i="1"/>
  <c r="B947" i="1"/>
  <c r="C947" i="1"/>
  <c r="B948" i="1"/>
  <c r="C948" i="1"/>
  <c r="B949" i="1"/>
  <c r="C949" i="1"/>
  <c r="B950" i="1"/>
  <c r="C950" i="1"/>
  <c r="B953" i="1"/>
  <c r="C953" i="1"/>
  <c r="B954" i="1"/>
  <c r="C954" i="1"/>
  <c r="B957" i="1"/>
  <c r="C957" i="1"/>
  <c r="B958" i="1"/>
  <c r="C958" i="1"/>
  <c r="B961" i="1"/>
  <c r="C961" i="1"/>
  <c r="B963" i="1"/>
  <c r="C963" i="1"/>
  <c r="B966" i="1"/>
  <c r="C966" i="1"/>
  <c r="B969" i="1"/>
  <c r="C969" i="1"/>
  <c r="B972" i="1"/>
  <c r="C972" i="1"/>
  <c r="B973" i="1"/>
  <c r="C973" i="1"/>
  <c r="B974" i="1"/>
  <c r="C974" i="1"/>
  <c r="B975" i="1"/>
  <c r="C975" i="1"/>
  <c r="B976" i="1"/>
  <c r="C976" i="1"/>
  <c r="B979" i="1"/>
  <c r="C979" i="1"/>
  <c r="B980" i="1"/>
  <c r="C980" i="1"/>
  <c r="B981" i="1"/>
  <c r="C981" i="1"/>
  <c r="B984" i="1"/>
  <c r="C984" i="1"/>
  <c r="B987" i="1"/>
  <c r="C987" i="1"/>
  <c r="B988" i="1"/>
  <c r="C988" i="1"/>
  <c r="B991" i="1"/>
  <c r="C991" i="1"/>
  <c r="B992" i="1"/>
  <c r="C992" i="1"/>
  <c r="B993" i="1"/>
  <c r="C993" i="1"/>
  <c r="B996" i="1"/>
  <c r="C996" i="1"/>
  <c r="B999" i="1"/>
  <c r="C999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B1013" i="1"/>
  <c r="C1013" i="1"/>
  <c r="B1016" i="1"/>
  <c r="C1016" i="1"/>
  <c r="B1019" i="1"/>
  <c r="C1019" i="1"/>
  <c r="B1020" i="1"/>
  <c r="C1020" i="1"/>
  <c r="B1023" i="1"/>
  <c r="C1023" i="1"/>
  <c r="B1024" i="1"/>
  <c r="C1024" i="1"/>
  <c r="B1025" i="1"/>
  <c r="C1025" i="1"/>
  <c r="B1026" i="1"/>
  <c r="C1026" i="1"/>
  <c r="B1027" i="1"/>
  <c r="C1027" i="1"/>
  <c r="B1028" i="1"/>
  <c r="C1028" i="1"/>
  <c r="B1029" i="1"/>
  <c r="C1029" i="1"/>
  <c r="B1032" i="1"/>
  <c r="C1032" i="1"/>
  <c r="B1035" i="1"/>
  <c r="C1035" i="1"/>
  <c r="B1036" i="1"/>
  <c r="C1036" i="1"/>
  <c r="B1039" i="1"/>
  <c r="C1039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B1048" i="1"/>
  <c r="C1048" i="1"/>
  <c r="B1049" i="1"/>
  <c r="C1049" i="1"/>
  <c r="B1052" i="1"/>
  <c r="C1052" i="1"/>
  <c r="B1055" i="1"/>
  <c r="C1055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8" i="1"/>
  <c r="C1068" i="1"/>
  <c r="B1071" i="1"/>
  <c r="C1071" i="1"/>
  <c r="B1072" i="1"/>
  <c r="C1072" i="1"/>
  <c r="B1073" i="1"/>
  <c r="C1073" i="1"/>
  <c r="B1076" i="1"/>
  <c r="C1076" i="1"/>
  <c r="B1077" i="1"/>
  <c r="C1077" i="1"/>
  <c r="B1080" i="1"/>
  <c r="C1080" i="1"/>
  <c r="B1081" i="1"/>
  <c r="C1081" i="1"/>
  <c r="B1082" i="1"/>
  <c r="C1082" i="1"/>
  <c r="B1085" i="1"/>
  <c r="C1085" i="1"/>
  <c r="B1086" i="1"/>
  <c r="C1086" i="1"/>
  <c r="B1087" i="1"/>
  <c r="C1087" i="1"/>
  <c r="B1088" i="1"/>
  <c r="C1088" i="1"/>
  <c r="B1089" i="1"/>
  <c r="C1089" i="1"/>
  <c r="B1090" i="1"/>
  <c r="C1090" i="1"/>
  <c r="B1093" i="1"/>
  <c r="C1093" i="1"/>
  <c r="B1094" i="1"/>
  <c r="C1094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3" i="1"/>
  <c r="C1103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4" i="1"/>
  <c r="C1114" i="1"/>
  <c r="B1115" i="1"/>
  <c r="C1115" i="1"/>
  <c r="B1116" i="1"/>
  <c r="C1116" i="1"/>
  <c r="B1117" i="1"/>
  <c r="C1117" i="1"/>
  <c r="B1118" i="1"/>
  <c r="C1118" i="1"/>
  <c r="B1121" i="1"/>
  <c r="C1121" i="1"/>
  <c r="B1122" i="1"/>
  <c r="C1122" i="1"/>
  <c r="B1123" i="1"/>
  <c r="C1123" i="1"/>
  <c r="B1124" i="1"/>
  <c r="C1124" i="1"/>
  <c r="B1127" i="1"/>
  <c r="C1127" i="1"/>
  <c r="B1128" i="1"/>
  <c r="C1128" i="1"/>
  <c r="B1129" i="1"/>
  <c r="C112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41" i="1"/>
  <c r="C1141" i="1"/>
  <c r="B1144" i="1"/>
  <c r="C1144" i="1"/>
  <c r="B1145" i="1"/>
  <c r="C1145" i="1"/>
  <c r="B1148" i="1"/>
  <c r="C1148" i="1"/>
  <c r="B1149" i="1"/>
  <c r="C1149" i="1"/>
  <c r="B1152" i="1"/>
  <c r="C1152" i="1"/>
  <c r="B1153" i="1"/>
  <c r="C1153" i="1"/>
  <c r="B1154" i="1"/>
  <c r="C1154" i="1"/>
  <c r="B1155" i="1"/>
  <c r="C1155" i="1"/>
  <c r="B1156" i="1"/>
  <c r="C1156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2" i="1"/>
  <c r="C1202" i="1"/>
  <c r="B1203" i="1"/>
  <c r="C1203" i="1"/>
  <c r="B1204" i="1"/>
  <c r="C1204" i="1"/>
  <c r="B1205" i="1"/>
  <c r="C1205" i="1"/>
  <c r="B1206" i="1"/>
  <c r="C1206" i="1"/>
  <c r="B1207" i="1"/>
  <c r="C1207" i="1"/>
  <c r="B1208" i="1"/>
  <c r="C1208" i="1"/>
  <c r="B1209" i="1"/>
  <c r="C1209" i="1"/>
  <c r="B1210" i="1"/>
  <c r="C1210" i="1"/>
  <c r="B1211" i="1"/>
  <c r="C1211" i="1"/>
  <c r="B1212" i="1"/>
  <c r="C1212" i="1"/>
  <c r="B1213" i="1"/>
  <c r="C1213" i="1"/>
  <c r="B1214" i="1"/>
  <c r="C1214" i="1"/>
  <c r="B1215" i="1"/>
  <c r="C1215" i="1"/>
  <c r="B1218" i="1"/>
  <c r="C1218" i="1"/>
  <c r="B1219" i="1"/>
  <c r="C1219" i="1"/>
  <c r="B1222" i="1"/>
  <c r="C1222" i="1"/>
  <c r="B1223" i="1"/>
  <c r="C1223" i="1"/>
  <c r="B1226" i="1"/>
  <c r="C1226" i="1"/>
  <c r="B1227" i="1"/>
  <c r="C1227" i="1"/>
  <c r="B1228" i="1"/>
  <c r="C1228" i="1"/>
  <c r="B1229" i="1"/>
  <c r="C1229" i="1"/>
  <c r="B1230" i="1"/>
  <c r="C1230" i="1"/>
  <c r="B1231" i="1"/>
  <c r="C1231" i="1"/>
  <c r="B1234" i="1"/>
  <c r="C1234" i="1"/>
  <c r="B1235" i="1"/>
  <c r="C1235" i="1"/>
  <c r="B1236" i="1"/>
  <c r="C1236" i="1"/>
  <c r="B1237" i="1"/>
  <c r="C1237" i="1"/>
  <c r="B1238" i="1"/>
  <c r="C1238" i="1"/>
  <c r="B1241" i="1"/>
  <c r="C1241" i="1"/>
  <c r="B1244" i="1"/>
  <c r="C1244" i="1"/>
  <c r="B1245" i="1"/>
  <c r="C1245" i="1"/>
  <c r="B1248" i="1"/>
  <c r="C1248" i="1"/>
  <c r="B1249" i="1"/>
  <c r="C1249" i="1"/>
  <c r="B1252" i="1"/>
  <c r="C1252" i="1"/>
  <c r="B1253" i="1"/>
  <c r="C1253" i="1"/>
  <c r="B1254" i="1"/>
  <c r="C1254" i="1"/>
  <c r="B1255" i="1"/>
  <c r="C1255" i="1"/>
  <c r="B1256" i="1"/>
  <c r="C1256" i="1"/>
  <c r="B1257" i="1"/>
  <c r="C1257" i="1"/>
  <c r="B1260" i="1"/>
  <c r="C1260" i="1"/>
  <c r="B1261" i="1"/>
  <c r="C1261" i="1"/>
  <c r="B1262" i="1"/>
  <c r="C1262" i="1"/>
  <c r="B1265" i="1"/>
  <c r="C1265" i="1"/>
  <c r="B1268" i="1"/>
  <c r="C1268" i="1"/>
  <c r="B1269" i="1"/>
  <c r="C1269" i="1"/>
  <c r="B1272" i="1"/>
  <c r="C1272" i="1"/>
  <c r="B1273" i="1"/>
  <c r="C1273" i="1"/>
  <c r="B1276" i="1"/>
  <c r="C1276" i="1"/>
  <c r="B1277" i="1"/>
  <c r="C1277" i="1"/>
  <c r="B1278" i="1"/>
  <c r="C1278" i="1"/>
  <c r="B1279" i="1"/>
  <c r="C1279" i="1"/>
  <c r="B1280" i="1"/>
  <c r="C1280" i="1"/>
  <c r="B1281" i="1"/>
  <c r="C1281" i="1"/>
  <c r="B1282" i="1"/>
  <c r="C1282" i="1"/>
  <c r="B1285" i="1"/>
  <c r="C1285" i="1"/>
  <c r="B1286" i="1"/>
  <c r="C1286" i="1"/>
  <c r="B1287" i="1"/>
  <c r="C1287" i="1"/>
  <c r="B1290" i="1"/>
  <c r="C1290" i="1"/>
  <c r="B1291" i="1"/>
  <c r="C1291" i="1"/>
  <c r="B1292" i="1"/>
  <c r="C1292" i="1"/>
  <c r="B1293" i="1"/>
  <c r="C1293" i="1"/>
  <c r="B1296" i="1"/>
  <c r="C1296" i="1"/>
  <c r="B1299" i="1"/>
  <c r="C1299" i="1"/>
  <c r="B1300" i="1"/>
  <c r="C1300" i="1"/>
  <c r="B1303" i="1"/>
  <c r="C1303" i="1"/>
  <c r="B1304" i="1"/>
  <c r="C1304" i="1"/>
  <c r="B1307" i="1"/>
  <c r="C1307" i="1"/>
  <c r="B1308" i="1"/>
  <c r="C1308" i="1"/>
  <c r="B1311" i="1"/>
  <c r="C1311" i="1"/>
  <c r="B1312" i="1"/>
  <c r="C1312" i="1"/>
  <c r="B1313" i="1"/>
  <c r="C1313" i="1"/>
  <c r="B1314" i="1"/>
  <c r="C1314" i="1"/>
  <c r="B1317" i="1"/>
  <c r="C1317" i="1"/>
  <c r="B1318" i="1"/>
  <c r="C1318" i="1"/>
  <c r="B1321" i="1"/>
  <c r="C1321" i="1"/>
  <c r="B1322" i="1"/>
  <c r="C1322" i="1"/>
  <c r="B1323" i="1"/>
  <c r="C1323" i="1"/>
  <c r="B1324" i="1"/>
  <c r="C1324" i="1"/>
  <c r="B1325" i="1"/>
  <c r="C1325" i="1"/>
  <c r="B1328" i="1"/>
  <c r="C1328" i="1"/>
  <c r="B1329" i="1"/>
  <c r="C1329" i="1"/>
  <c r="B1332" i="1"/>
  <c r="C1332" i="1"/>
  <c r="B1335" i="1"/>
  <c r="C1335" i="1"/>
  <c r="B1338" i="1"/>
  <c r="C1338" i="1"/>
  <c r="B1339" i="1"/>
  <c r="C1339" i="1"/>
  <c r="B1340" i="1"/>
  <c r="C1340" i="1"/>
  <c r="B1341" i="1"/>
  <c r="C1341" i="1"/>
  <c r="B1342" i="1"/>
  <c r="C1342" i="1"/>
  <c r="B1343" i="1"/>
  <c r="C1343" i="1"/>
  <c r="B1344" i="1"/>
  <c r="C1344" i="1"/>
  <c r="B1345" i="1"/>
  <c r="C1345" i="1"/>
  <c r="B1346" i="1"/>
  <c r="C1346" i="1"/>
  <c r="B1347" i="1"/>
  <c r="C1347" i="1"/>
  <c r="B1350" i="1"/>
  <c r="C1350" i="1"/>
  <c r="B1351" i="1"/>
  <c r="C1351" i="1"/>
  <c r="B1354" i="1"/>
  <c r="C1354" i="1"/>
  <c r="B1356" i="1"/>
  <c r="C1356" i="1"/>
  <c r="B1357" i="1"/>
  <c r="C1357" i="1"/>
  <c r="B1358" i="1"/>
  <c r="C1358" i="1"/>
  <c r="B1359" i="1"/>
  <c r="C1359" i="1"/>
  <c r="B1362" i="1"/>
  <c r="C1362" i="1"/>
  <c r="B1365" i="1"/>
  <c r="C1365" i="1"/>
  <c r="B1368" i="1"/>
  <c r="C1368" i="1"/>
  <c r="B1369" i="1"/>
  <c r="C1369" i="1"/>
  <c r="B1372" i="1"/>
  <c r="C1372" i="1"/>
  <c r="B1373" i="1"/>
  <c r="C1373" i="1"/>
  <c r="B1376" i="1"/>
  <c r="C1376" i="1"/>
  <c r="B1377" i="1"/>
  <c r="C1377" i="1"/>
  <c r="B1378" i="1"/>
  <c r="C1378" i="1"/>
  <c r="B1381" i="1"/>
  <c r="C1381" i="1"/>
  <c r="B1382" i="1"/>
  <c r="C1382" i="1"/>
  <c r="B1383" i="1"/>
  <c r="C1383" i="1"/>
  <c r="B1386" i="1"/>
  <c r="C1386" i="1"/>
  <c r="B1389" i="1"/>
  <c r="C1389" i="1"/>
  <c r="B1390" i="1"/>
  <c r="C1390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0" i="1"/>
  <c r="C1400" i="1"/>
  <c r="B1401" i="1"/>
  <c r="C1401" i="1"/>
  <c r="B1402" i="1"/>
  <c r="C1402" i="1"/>
  <c r="B1403" i="1"/>
  <c r="C1403" i="1"/>
  <c r="B1404" i="1"/>
  <c r="C1404" i="1"/>
  <c r="B1405" i="1"/>
  <c r="C1405" i="1"/>
  <c r="B1406" i="1"/>
  <c r="C1406" i="1"/>
  <c r="B1407" i="1"/>
  <c r="C1407" i="1"/>
  <c r="B1408" i="1"/>
  <c r="C1408" i="1"/>
  <c r="B1409" i="1"/>
  <c r="C1409" i="1"/>
  <c r="B1410" i="1"/>
  <c r="C1410" i="1"/>
  <c r="B1411" i="1"/>
  <c r="C1411" i="1"/>
  <c r="B1412" i="1"/>
  <c r="C1412" i="1"/>
  <c r="B1413" i="1"/>
  <c r="C1413" i="1"/>
  <c r="B1414" i="1"/>
  <c r="C1414" i="1"/>
  <c r="B1415" i="1"/>
  <c r="C1415" i="1"/>
  <c r="B1416" i="1"/>
  <c r="C1416" i="1"/>
  <c r="B1417" i="1"/>
  <c r="C1417" i="1"/>
  <c r="B1418" i="1"/>
  <c r="C1418" i="1"/>
  <c r="B1419" i="1"/>
  <c r="C1419" i="1"/>
  <c r="B1420" i="1"/>
  <c r="C1420" i="1"/>
  <c r="B1423" i="1"/>
  <c r="C1423" i="1"/>
  <c r="B1424" i="1"/>
  <c r="C1424" i="1"/>
  <c r="B1427" i="1"/>
  <c r="C1427" i="1"/>
  <c r="B1428" i="1"/>
  <c r="C1428" i="1"/>
  <c r="B1431" i="1"/>
  <c r="C1431" i="1"/>
  <c r="B1432" i="1"/>
  <c r="C1432" i="1"/>
  <c r="B1435" i="1"/>
  <c r="C1435" i="1"/>
  <c r="B1438" i="1"/>
  <c r="C1438" i="1"/>
  <c r="B1441" i="1"/>
  <c r="C1441" i="1"/>
  <c r="B1442" i="1"/>
  <c r="C1442" i="1"/>
  <c r="B1445" i="1"/>
  <c r="C1445" i="1"/>
  <c r="B1446" i="1"/>
  <c r="C1446" i="1"/>
  <c r="B1447" i="1"/>
  <c r="C1447" i="1"/>
  <c r="B1448" i="1"/>
  <c r="C1448" i="1"/>
  <c r="B1449" i="1"/>
  <c r="C1449" i="1"/>
  <c r="B1452" i="1"/>
  <c r="C1452" i="1"/>
  <c r="B1453" i="1"/>
  <c r="C1453" i="1"/>
  <c r="B1456" i="1"/>
  <c r="C1456" i="1"/>
  <c r="B1457" i="1"/>
  <c r="C1457" i="1"/>
  <c r="B1458" i="1"/>
  <c r="C1458" i="1"/>
  <c r="B1461" i="1"/>
  <c r="C1461" i="1"/>
  <c r="B1464" i="1"/>
  <c r="C1464" i="1"/>
  <c r="B1467" i="1"/>
  <c r="C1467" i="1"/>
  <c r="B1470" i="1"/>
  <c r="C1470" i="1"/>
  <c r="B1471" i="1"/>
  <c r="C1471" i="1"/>
  <c r="B1472" i="1"/>
  <c r="C1472" i="1"/>
  <c r="B1475" i="1"/>
  <c r="C1475" i="1"/>
  <c r="B1476" i="1"/>
  <c r="C1476" i="1"/>
  <c r="B1477" i="1"/>
  <c r="C1477" i="1"/>
  <c r="B1478" i="1"/>
  <c r="C1478" i="1"/>
  <c r="B1479" i="1"/>
  <c r="C1479" i="1"/>
  <c r="B1482" i="1"/>
  <c r="C1482" i="1"/>
  <c r="B1483" i="1"/>
  <c r="C1483" i="1"/>
  <c r="B1484" i="1"/>
  <c r="C1484" i="1"/>
  <c r="B1485" i="1"/>
  <c r="C1485" i="1"/>
  <c r="B1486" i="1"/>
  <c r="C1486" i="1"/>
  <c r="B1489" i="1"/>
  <c r="C1489" i="1"/>
  <c r="B1490" i="1"/>
  <c r="C1490" i="1"/>
  <c r="B1491" i="1"/>
  <c r="C1491" i="1"/>
  <c r="B1494" i="1"/>
  <c r="C1494" i="1"/>
  <c r="B1497" i="1"/>
  <c r="C1497" i="1"/>
  <c r="B1498" i="1"/>
  <c r="C1498" i="1"/>
  <c r="B1499" i="1"/>
  <c r="C1499" i="1"/>
  <c r="B1502" i="1"/>
  <c r="C1502" i="1"/>
  <c r="B1503" i="1"/>
  <c r="C1503" i="1"/>
  <c r="B1504" i="1"/>
  <c r="C1504" i="1"/>
  <c r="B1505" i="1"/>
  <c r="C1505" i="1"/>
  <c r="B1506" i="1"/>
  <c r="C1506" i="1"/>
  <c r="B1507" i="1"/>
  <c r="C1507" i="1"/>
  <c r="B1508" i="1"/>
  <c r="C1508" i="1"/>
  <c r="B1511" i="1"/>
  <c r="C1511" i="1"/>
  <c r="B1514" i="1"/>
  <c r="C1514" i="1"/>
  <c r="B1517" i="1"/>
  <c r="C1517" i="1"/>
  <c r="B1518" i="1"/>
  <c r="C1518" i="1"/>
  <c r="B1521" i="1"/>
  <c r="C1521" i="1"/>
  <c r="B1522" i="1"/>
  <c r="C1522" i="1"/>
  <c r="B1525" i="1"/>
  <c r="C1525" i="1"/>
  <c r="B1528" i="1"/>
  <c r="C1528" i="1"/>
  <c r="B1531" i="1"/>
  <c r="C1531" i="1"/>
  <c r="B1532" i="1"/>
  <c r="C1532" i="1"/>
  <c r="B1535" i="1"/>
  <c r="C1535" i="1"/>
  <c r="B1538" i="1"/>
  <c r="C1538" i="1"/>
  <c r="B1539" i="1"/>
  <c r="C1539" i="1"/>
  <c r="B1540" i="1"/>
  <c r="C1540" i="1"/>
  <c r="B1543" i="1"/>
  <c r="C1543" i="1"/>
  <c r="B1544" i="1"/>
  <c r="C1544" i="1"/>
  <c r="B1545" i="1"/>
  <c r="C1545" i="1"/>
  <c r="B1546" i="1"/>
  <c r="C1546" i="1"/>
  <c r="B1547" i="1"/>
  <c r="C1547" i="1"/>
  <c r="B1548" i="1"/>
  <c r="C1548" i="1"/>
  <c r="B1549" i="1"/>
  <c r="C1549" i="1"/>
  <c r="B1550" i="1"/>
  <c r="C1550" i="1"/>
  <c r="B1551" i="1"/>
  <c r="C1551" i="1"/>
  <c r="B1552" i="1"/>
  <c r="C1552" i="1"/>
  <c r="B1553" i="1"/>
  <c r="C1553" i="1"/>
  <c r="B1554" i="1"/>
  <c r="C1554" i="1"/>
  <c r="B1555" i="1"/>
  <c r="C1555" i="1"/>
  <c r="B1556" i="1"/>
  <c r="C1556" i="1"/>
  <c r="B1557" i="1"/>
  <c r="C1557" i="1"/>
  <c r="B1558" i="1"/>
  <c r="C1558" i="1"/>
  <c r="B1559" i="1"/>
  <c r="C1559" i="1"/>
  <c r="B1560" i="1"/>
  <c r="C1560" i="1"/>
  <c r="B1561" i="1"/>
  <c r="C1561" i="1"/>
  <c r="B1564" i="1"/>
  <c r="C1564" i="1"/>
  <c r="B1565" i="1"/>
  <c r="C1565" i="1"/>
  <c r="B1568" i="1"/>
  <c r="C1568" i="1"/>
  <c r="B1569" i="1"/>
  <c r="C1569" i="1"/>
  <c r="B1572" i="1"/>
  <c r="C1572" i="1"/>
  <c r="B1573" i="1"/>
  <c r="C1573" i="1"/>
  <c r="B1574" i="1"/>
  <c r="C1574" i="1"/>
  <c r="B1575" i="1"/>
  <c r="C1575" i="1"/>
  <c r="B1576" i="1"/>
  <c r="C1576" i="1"/>
  <c r="B1579" i="1"/>
  <c r="C1579" i="1"/>
  <c r="B1582" i="1"/>
  <c r="C1582" i="1"/>
  <c r="B1583" i="1"/>
  <c r="C1583" i="1"/>
  <c r="B1584" i="1"/>
  <c r="C1584" i="1"/>
  <c r="B1585" i="1"/>
  <c r="C1585" i="1"/>
  <c r="B1586" i="1"/>
  <c r="C1586" i="1"/>
  <c r="B1589" i="1"/>
  <c r="C1589" i="1"/>
  <c r="B1592" i="1"/>
  <c r="C1592" i="1"/>
  <c r="B1593" i="1"/>
  <c r="C1593" i="1"/>
  <c r="B1594" i="1"/>
  <c r="C1594" i="1"/>
  <c r="B1595" i="1"/>
  <c r="C1595" i="1"/>
  <c r="B1598" i="1"/>
  <c r="C1598" i="1"/>
  <c r="B1601" i="1"/>
  <c r="C1601" i="1"/>
  <c r="B1604" i="1"/>
  <c r="C1604" i="1"/>
  <c r="B1607" i="1"/>
  <c r="C1607" i="1"/>
  <c r="B1610" i="1"/>
  <c r="C1610" i="1"/>
  <c r="B1611" i="1"/>
  <c r="C1611" i="1"/>
  <c r="B1614" i="1"/>
  <c r="C1614" i="1"/>
  <c r="B1615" i="1"/>
  <c r="C1615" i="1"/>
  <c r="B1616" i="1"/>
  <c r="C1616" i="1"/>
  <c r="B1617" i="1"/>
  <c r="C1617" i="1"/>
  <c r="B1618" i="1"/>
  <c r="C1618" i="1"/>
  <c r="B1619" i="1"/>
  <c r="C1619" i="1"/>
  <c r="B1620" i="1"/>
  <c r="C1620" i="1"/>
  <c r="B1621" i="1"/>
  <c r="C1621" i="1"/>
  <c r="B1622" i="1"/>
  <c r="C1622" i="1"/>
  <c r="B1625" i="1"/>
  <c r="C1625" i="1"/>
  <c r="B1626" i="1"/>
  <c r="C1626" i="1"/>
  <c r="B1627" i="1"/>
  <c r="C1627" i="1"/>
  <c r="B1628" i="1"/>
  <c r="C1628" i="1"/>
  <c r="B1629" i="1"/>
  <c r="C1629" i="1"/>
  <c r="B1630" i="1"/>
  <c r="C1630" i="1"/>
  <c r="B1631" i="1"/>
  <c r="C1631" i="1"/>
  <c r="B1632" i="1"/>
  <c r="C1632" i="1"/>
  <c r="B1633" i="1"/>
  <c r="C1633" i="1"/>
  <c r="B1634" i="1"/>
  <c r="C1634" i="1"/>
  <c r="B1635" i="1"/>
  <c r="C1635" i="1"/>
  <c r="B1636" i="1"/>
  <c r="C1636" i="1"/>
  <c r="B1637" i="1"/>
  <c r="C1637" i="1"/>
  <c r="B1640" i="1"/>
  <c r="C1640" i="1"/>
  <c r="B1643" i="1"/>
  <c r="C1643" i="1"/>
  <c r="B1644" i="1"/>
  <c r="C1644" i="1"/>
  <c r="B1647" i="1"/>
  <c r="C1647" i="1"/>
  <c r="B1650" i="1"/>
  <c r="C1650" i="1"/>
  <c r="B1651" i="1"/>
  <c r="C1651" i="1"/>
  <c r="B1654" i="1"/>
  <c r="C1654" i="1"/>
  <c r="B1657" i="1"/>
  <c r="C1657" i="1"/>
  <c r="B1658" i="1"/>
  <c r="C1658" i="1"/>
  <c r="B1661" i="1"/>
  <c r="C1661" i="1"/>
  <c r="B1664" i="1"/>
  <c r="C1664" i="1"/>
  <c r="B1665" i="1"/>
  <c r="C1665" i="1"/>
  <c r="B1666" i="1"/>
  <c r="C1666" i="1"/>
  <c r="B1669" i="1"/>
  <c r="C1669" i="1"/>
  <c r="B1672" i="1"/>
  <c r="C1672" i="1"/>
  <c r="B1673" i="1"/>
  <c r="C1673" i="1"/>
  <c r="B1674" i="1"/>
  <c r="C1674" i="1"/>
  <c r="B1675" i="1"/>
  <c r="C1675" i="1"/>
  <c r="B1678" i="1"/>
  <c r="C1678" i="1"/>
  <c r="B1681" i="1"/>
  <c r="C1681" i="1"/>
  <c r="B1682" i="1"/>
  <c r="C1682" i="1"/>
  <c r="B1683" i="1"/>
  <c r="C1683" i="1"/>
  <c r="B1684" i="1"/>
  <c r="C1684" i="1"/>
  <c r="B1687" i="1"/>
  <c r="C1687" i="1"/>
  <c r="B1688" i="1"/>
  <c r="C1688" i="1"/>
  <c r="B1691" i="1"/>
  <c r="C1691" i="1"/>
  <c r="B1692" i="1"/>
  <c r="C1692" i="1"/>
  <c r="B1695" i="1"/>
  <c r="C1695" i="1"/>
  <c r="B1696" i="1"/>
  <c r="C1696" i="1"/>
  <c r="B1697" i="1"/>
  <c r="C1697" i="1"/>
  <c r="B1698" i="1"/>
  <c r="C1698" i="1"/>
  <c r="B1699" i="1"/>
  <c r="C1699" i="1"/>
  <c r="B1702" i="1"/>
  <c r="C1702" i="1"/>
  <c r="B1704" i="1"/>
  <c r="C1704" i="1"/>
  <c r="B1705" i="1"/>
  <c r="C1705" i="1"/>
  <c r="B1706" i="1"/>
  <c r="C1706" i="1"/>
  <c r="B1707" i="1"/>
  <c r="C1707" i="1"/>
  <c r="B1708" i="1"/>
  <c r="C1708" i="1"/>
  <c r="B1709" i="1"/>
  <c r="C1709" i="1"/>
  <c r="B1710" i="1"/>
  <c r="C1710" i="1"/>
  <c r="B1711" i="1"/>
  <c r="C1711" i="1"/>
  <c r="B1712" i="1"/>
  <c r="C1712" i="1"/>
  <c r="B1713" i="1"/>
  <c r="C1713" i="1"/>
  <c r="B1714" i="1"/>
  <c r="C1714" i="1"/>
  <c r="B1717" i="1"/>
  <c r="C1717" i="1"/>
  <c r="B1718" i="1"/>
  <c r="C1718" i="1"/>
  <c r="B1719" i="1"/>
  <c r="C1719" i="1"/>
  <c r="B1720" i="1"/>
  <c r="C1720" i="1"/>
  <c r="B1721" i="1"/>
  <c r="C1721" i="1"/>
  <c r="B1724" i="1"/>
  <c r="C1724" i="1"/>
  <c r="B1725" i="1"/>
  <c r="C1725" i="1"/>
  <c r="B1728" i="1"/>
  <c r="C1728" i="1"/>
  <c r="B1729" i="1"/>
  <c r="C1729" i="1"/>
  <c r="B1730" i="1"/>
  <c r="C1730" i="1"/>
  <c r="B1733" i="1"/>
  <c r="C1733" i="1"/>
  <c r="B1734" i="1"/>
  <c r="C1734" i="1"/>
  <c r="B1735" i="1"/>
  <c r="C1735" i="1"/>
  <c r="B1738" i="1"/>
  <c r="C1738" i="1"/>
  <c r="B1739" i="1"/>
  <c r="C1739" i="1"/>
  <c r="B1740" i="1"/>
  <c r="C1740" i="1"/>
  <c r="B1741" i="1"/>
  <c r="C1741" i="1"/>
  <c r="B1742" i="1"/>
  <c r="C1742" i="1"/>
  <c r="B1745" i="1"/>
  <c r="C1745" i="1"/>
  <c r="B1746" i="1"/>
  <c r="C1746" i="1"/>
  <c r="B1749" i="1"/>
  <c r="C1749" i="1"/>
  <c r="B1750" i="1"/>
  <c r="C1750" i="1"/>
  <c r="B1753" i="1"/>
  <c r="C1753" i="1"/>
  <c r="B1754" i="1"/>
  <c r="C1754" i="1"/>
  <c r="B1755" i="1"/>
  <c r="C1755" i="1"/>
  <c r="B1758" i="1"/>
  <c r="C1758" i="1"/>
  <c r="B1759" i="1"/>
  <c r="C1759" i="1"/>
  <c r="B1762" i="1"/>
  <c r="C1762" i="1"/>
  <c r="B1763" i="1"/>
  <c r="C1763" i="1"/>
  <c r="B1764" i="1"/>
  <c r="C1764" i="1"/>
  <c r="B1765" i="1"/>
  <c r="C1765" i="1"/>
  <c r="B1766" i="1"/>
  <c r="C1766" i="1"/>
  <c r="B1767" i="1"/>
  <c r="C1767" i="1"/>
  <c r="B1768" i="1"/>
  <c r="C1768" i="1"/>
  <c r="B1769" i="1"/>
  <c r="C1769" i="1"/>
  <c r="B1770" i="1"/>
  <c r="C1770" i="1"/>
  <c r="B1771" i="1"/>
  <c r="C1771" i="1"/>
  <c r="B1772" i="1"/>
  <c r="C1772" i="1"/>
  <c r="B1775" i="1"/>
  <c r="C1775" i="1"/>
  <c r="B1776" i="1"/>
  <c r="C1776" i="1"/>
  <c r="B1777" i="1"/>
  <c r="C1777" i="1"/>
  <c r="B1780" i="1"/>
  <c r="C1780" i="1"/>
  <c r="B1781" i="1"/>
  <c r="C1781" i="1"/>
  <c r="B1782" i="1"/>
  <c r="C1782" i="1"/>
  <c r="B1783" i="1"/>
  <c r="C1783" i="1"/>
  <c r="B1786" i="1"/>
  <c r="C1786" i="1"/>
  <c r="B1787" i="1"/>
  <c r="C1787" i="1"/>
  <c r="B1788" i="1"/>
  <c r="C1788" i="1"/>
  <c r="B1791" i="1"/>
  <c r="C1791" i="1"/>
  <c r="B1792" i="1"/>
  <c r="C1792" i="1"/>
  <c r="B1793" i="1"/>
  <c r="C1793" i="1"/>
  <c r="B1796" i="1"/>
  <c r="C1796" i="1"/>
  <c r="B1797" i="1"/>
  <c r="C1797" i="1"/>
  <c r="B1800" i="1"/>
  <c r="C1800" i="1"/>
  <c r="B1803" i="1"/>
  <c r="C1803" i="1"/>
  <c r="B1804" i="1"/>
  <c r="C1804" i="1"/>
  <c r="B1807" i="1"/>
  <c r="C1807" i="1"/>
  <c r="B1810" i="1"/>
  <c r="C1810" i="1"/>
  <c r="B1813" i="1"/>
  <c r="C1813" i="1"/>
  <c r="B1814" i="1"/>
  <c r="C1814" i="1"/>
  <c r="B1815" i="1"/>
  <c r="C1815" i="1"/>
  <c r="B1816" i="1"/>
  <c r="C1816" i="1"/>
  <c r="B1817" i="1"/>
  <c r="C1817" i="1"/>
  <c r="B1818" i="1"/>
  <c r="C1818" i="1"/>
  <c r="B1819" i="1"/>
  <c r="C1819" i="1"/>
  <c r="B1820" i="1"/>
  <c r="C1820" i="1"/>
  <c r="B1821" i="1"/>
  <c r="C1821" i="1"/>
  <c r="B1824" i="1"/>
  <c r="C1824" i="1"/>
  <c r="B1825" i="1"/>
  <c r="C1825" i="1"/>
  <c r="B1826" i="1"/>
  <c r="C1826" i="1"/>
  <c r="B1827" i="1"/>
  <c r="C1827" i="1"/>
  <c r="B1828" i="1"/>
  <c r="C1828" i="1"/>
  <c r="B1831" i="1"/>
  <c r="C1831" i="1"/>
  <c r="B1832" i="1"/>
  <c r="C1832" i="1"/>
  <c r="B1835" i="1"/>
  <c r="C1835" i="1"/>
  <c r="B1838" i="1"/>
  <c r="C1838" i="1"/>
  <c r="B1839" i="1"/>
  <c r="C1839" i="1"/>
  <c r="B1840" i="1"/>
  <c r="C1840" i="1"/>
  <c r="B1841" i="1"/>
  <c r="C1841" i="1"/>
  <c r="B1842" i="1"/>
  <c r="C1842" i="1"/>
  <c r="B1845" i="1"/>
  <c r="C1845" i="1"/>
  <c r="B1848" i="1"/>
  <c r="C1848" i="1"/>
  <c r="B1849" i="1"/>
  <c r="C1849" i="1"/>
  <c r="B1850" i="1"/>
  <c r="C1850" i="1"/>
  <c r="B1853" i="1"/>
  <c r="C1853" i="1"/>
  <c r="B1854" i="1"/>
  <c r="C1854" i="1"/>
  <c r="B1855" i="1"/>
  <c r="C1855" i="1"/>
  <c r="B1856" i="1"/>
  <c r="C1856" i="1"/>
  <c r="B1857" i="1"/>
  <c r="C1857" i="1"/>
  <c r="B1858" i="1"/>
  <c r="C1858" i="1"/>
  <c r="B1861" i="1"/>
  <c r="C1861" i="1"/>
  <c r="B1862" i="1"/>
  <c r="C1862" i="1"/>
  <c r="B1863" i="1"/>
  <c r="C1863" i="1"/>
  <c r="B1864" i="1"/>
  <c r="C1864" i="1"/>
  <c r="B1865" i="1"/>
  <c r="C1865" i="1"/>
  <c r="B1866" i="1"/>
  <c r="C1866" i="1"/>
  <c r="B1867" i="1"/>
  <c r="C1867" i="1"/>
  <c r="B1870" i="1"/>
  <c r="C1870" i="1"/>
  <c r="B1873" i="1"/>
  <c r="C1873" i="1"/>
  <c r="B1874" i="1"/>
  <c r="C1874" i="1"/>
  <c r="B1877" i="1"/>
  <c r="C1877" i="1"/>
  <c r="B1880" i="1"/>
  <c r="C1880" i="1"/>
  <c r="B1883" i="1"/>
  <c r="C1883" i="1"/>
  <c r="B1884" i="1"/>
  <c r="C1884" i="1"/>
  <c r="B1887" i="1"/>
  <c r="C1887" i="1"/>
  <c r="B1888" i="1"/>
  <c r="C1888" i="1"/>
  <c r="B1889" i="1"/>
  <c r="C1889" i="1"/>
  <c r="B1890" i="1"/>
  <c r="C1890" i="1"/>
  <c r="B1893" i="1"/>
  <c r="C1893" i="1"/>
  <c r="B1894" i="1"/>
  <c r="C1894" i="1"/>
  <c r="B1895" i="1"/>
  <c r="C1895" i="1"/>
  <c r="B1896" i="1"/>
  <c r="C1896" i="1"/>
  <c r="B1897" i="1"/>
  <c r="C1897" i="1"/>
  <c r="B1900" i="1"/>
  <c r="C1900" i="1"/>
  <c r="B1903" i="1"/>
  <c r="C1903" i="1"/>
  <c r="B1904" i="1"/>
  <c r="C1904" i="1"/>
  <c r="B1907" i="1"/>
  <c r="C1907" i="1"/>
  <c r="B1910" i="1"/>
  <c r="C1910" i="1"/>
  <c r="B1911" i="1"/>
  <c r="C1911" i="1"/>
  <c r="B1912" i="1"/>
  <c r="C1912" i="1"/>
  <c r="B1913" i="1"/>
  <c r="C1913" i="1"/>
  <c r="B1914" i="1"/>
  <c r="C1914" i="1"/>
  <c r="B1915" i="1"/>
  <c r="C1915" i="1"/>
  <c r="B1916" i="1"/>
  <c r="C1916" i="1"/>
  <c r="B1917" i="1"/>
  <c r="C1917" i="1"/>
  <c r="B1918" i="1"/>
  <c r="C1918" i="1"/>
  <c r="B1919" i="1"/>
  <c r="C1919" i="1"/>
  <c r="B1920" i="1"/>
  <c r="C1920" i="1"/>
  <c r="B1923" i="1"/>
  <c r="C1923" i="1"/>
  <c r="B1924" i="1"/>
  <c r="C1924" i="1"/>
  <c r="B1925" i="1"/>
  <c r="C1925" i="1"/>
  <c r="B1926" i="1"/>
  <c r="C1926" i="1"/>
  <c r="B1929" i="1"/>
  <c r="C1929" i="1"/>
  <c r="B1930" i="1"/>
  <c r="C1930" i="1"/>
  <c r="B1933" i="1"/>
  <c r="C1933" i="1"/>
  <c r="B1936" i="1"/>
  <c r="C1936" i="1"/>
  <c r="B1939" i="1"/>
  <c r="C1939" i="1"/>
  <c r="B1940" i="1"/>
  <c r="C1940" i="1"/>
  <c r="B1941" i="1"/>
  <c r="C1941" i="1"/>
  <c r="B1942" i="1"/>
  <c r="C1942" i="1"/>
  <c r="B1945" i="1"/>
  <c r="C1945" i="1"/>
  <c r="B1948" i="1"/>
  <c r="C1948" i="1"/>
  <c r="B1949" i="1"/>
  <c r="C1949" i="1"/>
  <c r="B1950" i="1"/>
  <c r="C1950" i="1"/>
  <c r="B1951" i="1"/>
  <c r="C1951" i="1"/>
  <c r="B1954" i="1"/>
  <c r="C1954" i="1"/>
  <c r="B1955" i="1"/>
  <c r="C1955" i="1"/>
  <c r="B1956" i="1"/>
  <c r="C1956" i="1"/>
  <c r="B1957" i="1"/>
  <c r="C1957" i="1"/>
  <c r="B1958" i="1"/>
  <c r="C1958" i="1"/>
  <c r="B1961" i="1"/>
  <c r="C1961" i="1"/>
  <c r="B1964" i="1"/>
  <c r="C1964" i="1"/>
  <c r="B1967" i="1"/>
  <c r="C1967" i="1"/>
  <c r="B1970" i="1"/>
  <c r="C1970" i="1"/>
  <c r="B1971" i="1"/>
  <c r="C1971" i="1"/>
  <c r="B1974" i="1"/>
  <c r="C1974" i="1"/>
  <c r="B1975" i="1"/>
  <c r="C1975" i="1"/>
  <c r="B1976" i="1"/>
  <c r="C1976" i="1"/>
  <c r="B1979" i="1"/>
  <c r="C1979" i="1"/>
  <c r="B1980" i="1"/>
  <c r="C1980" i="1"/>
  <c r="B1981" i="1"/>
  <c r="C1981" i="1"/>
  <c r="B1984" i="1"/>
  <c r="C1984" i="1"/>
  <c r="B1985" i="1"/>
  <c r="C1985" i="1"/>
  <c r="B1986" i="1"/>
  <c r="C1986" i="1"/>
  <c r="B1987" i="1"/>
  <c r="C1987" i="1"/>
  <c r="B1988" i="1"/>
  <c r="C1988" i="1"/>
  <c r="B1991" i="1"/>
  <c r="C1991" i="1"/>
  <c r="B1993" i="1"/>
  <c r="C1993" i="1"/>
  <c r="B1994" i="1"/>
  <c r="C1994" i="1"/>
  <c r="B1995" i="1"/>
  <c r="C1995" i="1"/>
  <c r="B1996" i="1"/>
  <c r="C1996" i="1"/>
  <c r="B1997" i="1"/>
  <c r="C1997" i="1"/>
  <c r="B1998" i="1"/>
  <c r="C1998" i="1"/>
  <c r="B1999" i="1"/>
  <c r="C1999" i="1"/>
  <c r="B2000" i="1"/>
  <c r="C2000" i="1"/>
  <c r="B2001" i="1"/>
  <c r="C2001" i="1"/>
  <c r="B2002" i="1"/>
  <c r="C2002" i="1"/>
  <c r="B2003" i="1"/>
  <c r="C2003" i="1"/>
  <c r="B2004" i="1"/>
  <c r="C2004" i="1"/>
  <c r="B2005" i="1"/>
  <c r="C2005" i="1"/>
  <c r="B2006" i="1"/>
  <c r="C2006" i="1"/>
  <c r="B2007" i="1"/>
  <c r="C2007" i="1"/>
  <c r="B2008" i="1"/>
  <c r="C2008" i="1"/>
  <c r="B2009" i="1"/>
  <c r="C2009" i="1"/>
  <c r="B2012" i="1"/>
  <c r="C2012" i="1"/>
  <c r="B2013" i="1"/>
  <c r="C2013" i="1"/>
  <c r="B2014" i="1"/>
  <c r="C2014" i="1"/>
  <c r="B2015" i="1"/>
  <c r="C2015" i="1"/>
  <c r="B2016" i="1"/>
  <c r="C2016" i="1"/>
  <c r="B2017" i="1"/>
  <c r="C2017" i="1"/>
  <c r="B2018" i="1"/>
  <c r="C2018" i="1"/>
  <c r="B2021" i="1"/>
  <c r="C2021" i="1"/>
  <c r="B2022" i="1"/>
  <c r="C2022" i="1"/>
  <c r="B2023" i="1"/>
  <c r="C2023" i="1"/>
  <c r="B2026" i="1"/>
  <c r="C2026" i="1"/>
  <c r="B2027" i="1"/>
  <c r="C2027" i="1"/>
  <c r="B2028" i="1"/>
  <c r="C2028" i="1"/>
  <c r="B2029" i="1"/>
  <c r="C2029" i="1"/>
  <c r="B2030" i="1"/>
  <c r="C2030" i="1"/>
  <c r="B2031" i="1"/>
  <c r="C2031" i="1"/>
  <c r="B2032" i="1"/>
  <c r="C2032" i="1"/>
  <c r="B2035" i="1"/>
  <c r="C2035" i="1"/>
  <c r="B2036" i="1"/>
  <c r="C2036" i="1"/>
  <c r="B2037" i="1"/>
  <c r="C2037" i="1"/>
  <c r="B2038" i="1"/>
  <c r="C2038" i="1"/>
  <c r="B2039" i="1"/>
  <c r="C2039" i="1"/>
  <c r="B2040" i="1"/>
  <c r="C2040" i="1"/>
  <c r="B2041" i="1"/>
  <c r="C2041" i="1"/>
  <c r="B2042" i="1"/>
  <c r="C2042" i="1"/>
  <c r="B2045" i="1"/>
  <c r="C2045" i="1"/>
  <c r="B2048" i="1"/>
  <c r="C2048" i="1"/>
  <c r="B2051" i="1"/>
  <c r="C2051" i="1"/>
  <c r="B2052" i="1"/>
  <c r="C2052" i="1"/>
  <c r="B2053" i="1"/>
  <c r="C2053" i="1"/>
  <c r="B2054" i="1"/>
  <c r="C2054" i="1"/>
  <c r="B2055" i="1"/>
  <c r="C2055" i="1"/>
  <c r="B2056" i="1"/>
  <c r="C2056" i="1"/>
  <c r="B2057" i="1"/>
  <c r="C2057" i="1"/>
  <c r="B2058" i="1"/>
  <c r="C2058" i="1"/>
  <c r="B2061" i="1"/>
  <c r="C2061" i="1"/>
  <c r="B2064" i="1"/>
  <c r="C2064" i="1"/>
  <c r="B2065" i="1"/>
  <c r="C2065" i="1"/>
  <c r="B2066" i="1"/>
  <c r="C2066" i="1"/>
  <c r="B2067" i="1"/>
  <c r="C2067" i="1"/>
  <c r="B2068" i="1"/>
  <c r="C2068" i="1"/>
  <c r="B2069" i="1"/>
  <c r="C2069" i="1"/>
  <c r="B2070" i="1"/>
  <c r="C2070" i="1"/>
  <c r="B2071" i="1"/>
  <c r="C2071" i="1"/>
  <c r="B2072" i="1"/>
  <c r="C2072" i="1"/>
  <c r="B2073" i="1"/>
  <c r="C2073" i="1"/>
  <c r="B2074" i="1"/>
  <c r="C2074" i="1"/>
  <c r="B2075" i="1"/>
  <c r="C2075" i="1"/>
  <c r="B2078" i="1"/>
  <c r="C2078" i="1"/>
  <c r="B2081" i="1"/>
  <c r="C2081" i="1"/>
  <c r="B2082" i="1"/>
  <c r="C2082" i="1"/>
  <c r="B2083" i="1"/>
  <c r="C2083" i="1"/>
  <c r="B2084" i="1"/>
  <c r="C2084" i="1"/>
  <c r="B2085" i="1"/>
  <c r="C2085" i="1"/>
  <c r="B2086" i="1"/>
  <c r="C2086" i="1"/>
  <c r="B2087" i="1"/>
  <c r="C2087" i="1"/>
  <c r="B2088" i="1"/>
  <c r="C2088" i="1"/>
  <c r="B2089" i="1"/>
  <c r="C2089" i="1"/>
  <c r="B2090" i="1"/>
  <c r="C2090" i="1"/>
  <c r="B2091" i="1"/>
  <c r="C2091" i="1"/>
  <c r="B2092" i="1"/>
  <c r="C2092" i="1"/>
  <c r="B2093" i="1"/>
  <c r="C2093" i="1"/>
  <c r="B2096" i="1"/>
  <c r="C2096" i="1"/>
  <c r="B2099" i="1"/>
  <c r="C2099" i="1"/>
  <c r="B2102" i="1"/>
  <c r="C2102" i="1"/>
  <c r="B2103" i="1"/>
  <c r="C2103" i="1"/>
  <c r="B2106" i="1"/>
  <c r="C2106" i="1"/>
  <c r="B2107" i="1"/>
  <c r="C2107" i="1"/>
  <c r="B2110" i="1"/>
  <c r="C2110" i="1"/>
  <c r="B2111" i="1"/>
  <c r="C2111" i="1"/>
  <c r="B2112" i="1"/>
  <c r="C2112" i="1"/>
  <c r="B2113" i="1"/>
  <c r="C2113" i="1"/>
  <c r="B2116" i="1"/>
  <c r="C2116" i="1"/>
  <c r="B2119" i="1"/>
  <c r="C2119" i="1"/>
  <c r="B2122" i="1"/>
  <c r="C2122" i="1"/>
  <c r="B2123" i="1"/>
  <c r="C2123" i="1"/>
  <c r="B2126" i="1"/>
  <c r="C2126" i="1"/>
  <c r="B2127" i="1"/>
  <c r="C2127" i="1"/>
  <c r="B2130" i="1"/>
  <c r="C2130" i="1"/>
  <c r="B2133" i="1"/>
  <c r="C2133" i="1"/>
  <c r="B2134" i="1"/>
  <c r="C2134" i="1"/>
  <c r="B2135" i="1"/>
  <c r="C2135" i="1"/>
  <c r="B2136" i="1"/>
  <c r="C2136" i="1"/>
  <c r="B2137" i="1"/>
  <c r="C2137" i="1"/>
  <c r="B2138" i="1"/>
  <c r="C2138" i="1"/>
  <c r="B2139" i="1"/>
  <c r="C2139" i="1"/>
  <c r="B2142" i="1"/>
  <c r="C2142" i="1"/>
  <c r="B2145" i="1"/>
  <c r="C2145" i="1"/>
  <c r="B2146" i="1"/>
  <c r="C2146" i="1"/>
  <c r="B2149" i="1"/>
  <c r="C2149" i="1"/>
  <c r="B2152" i="1"/>
  <c r="C2152" i="1"/>
  <c r="B2155" i="1"/>
  <c r="C2155" i="1"/>
  <c r="B2156" i="1"/>
  <c r="C2156" i="1"/>
  <c r="B2157" i="1"/>
  <c r="C2157" i="1"/>
  <c r="B2158" i="1"/>
  <c r="C2158" i="1"/>
  <c r="B2159" i="1"/>
  <c r="C2159" i="1"/>
  <c r="B2162" i="1"/>
  <c r="C2162" i="1"/>
  <c r="B2163" i="1"/>
  <c r="C2163" i="1"/>
  <c r="B2164" i="1"/>
  <c r="C2164" i="1"/>
  <c r="B2165" i="1"/>
  <c r="C2165" i="1"/>
  <c r="B2166" i="1"/>
  <c r="C2166" i="1"/>
  <c r="B2167" i="1"/>
  <c r="C2167" i="1"/>
  <c r="B2170" i="1"/>
  <c r="C2170" i="1"/>
  <c r="B2171" i="1"/>
  <c r="C2171" i="1"/>
  <c r="B2172" i="1"/>
  <c r="C2172" i="1"/>
  <c r="B2175" i="1"/>
  <c r="C2175" i="1"/>
  <c r="B2176" i="1"/>
  <c r="C2176" i="1"/>
  <c r="B2177" i="1"/>
  <c r="C2177" i="1"/>
  <c r="B2180" i="1"/>
  <c r="C2180" i="1"/>
  <c r="B2181" i="1"/>
  <c r="C2181" i="1"/>
  <c r="B2182" i="1"/>
  <c r="C2182" i="1"/>
  <c r="B2185" i="1"/>
  <c r="C2185" i="1"/>
  <c r="B2186" i="1"/>
  <c r="C2186" i="1"/>
  <c r="B2189" i="1"/>
  <c r="C2189" i="1"/>
  <c r="B2190" i="1"/>
  <c r="C2190" i="1"/>
  <c r="B2191" i="1"/>
  <c r="C2191" i="1"/>
  <c r="B2192" i="1"/>
  <c r="C2192" i="1"/>
  <c r="B2193" i="1"/>
  <c r="C2193" i="1"/>
  <c r="B2196" i="1"/>
  <c r="C2196" i="1"/>
</calcChain>
</file>

<file path=xl/sharedStrings.xml><?xml version="1.0" encoding="utf-8"?>
<sst xmlns="http://schemas.openxmlformats.org/spreadsheetml/2006/main" count="9762" uniqueCount="450">
  <si>
    <t>Wisconsin Department of Revenue</t>
  </si>
  <si>
    <t>TID304WI</t>
  </si>
  <si>
    <t>2022 Tax Incremental Financing (TIF) Value Limitation Report</t>
  </si>
  <si>
    <t>Date:  08-09-2022</t>
  </si>
  <si>
    <t>Time:  02:08 PM</t>
  </si>
  <si>
    <t xml:space="preserve">                                                   </t>
  </si>
  <si>
    <t xml:space="preserve">TID      </t>
  </si>
  <si>
    <t xml:space="preserve">          </t>
  </si>
  <si>
    <t xml:space="preserve">     </t>
  </si>
  <si>
    <t xml:space="preserve">        2022 TID</t>
  </si>
  <si>
    <t xml:space="preserve">2022 TID                                </t>
  </si>
  <si>
    <t xml:space="preserve">  </t>
  </si>
  <si>
    <t xml:space="preserve">    2022 Total Muni</t>
  </si>
  <si>
    <t xml:space="preserve">         </t>
  </si>
  <si>
    <t xml:space="preserve">Co-muni  </t>
  </si>
  <si>
    <t xml:space="preserve">Base </t>
  </si>
  <si>
    <t xml:space="preserve">         Current</t>
  </si>
  <si>
    <t xml:space="preserve">Value                                   </t>
  </si>
  <si>
    <t xml:space="preserve">          Equalized</t>
  </si>
  <si>
    <t xml:space="preserve">Municipality                                       </t>
  </si>
  <si>
    <t xml:space="preserve">Code     </t>
  </si>
  <si>
    <t xml:space="preserve">TID No.   </t>
  </si>
  <si>
    <t xml:space="preserve">Year </t>
  </si>
  <si>
    <t xml:space="preserve">           Value</t>
  </si>
  <si>
    <t xml:space="preserve">Increment                               </t>
  </si>
  <si>
    <t xml:space="preserve">              Value</t>
  </si>
  <si>
    <t xml:space="preserve">  5% Test</t>
  </si>
  <si>
    <t xml:space="preserve">  7% Test</t>
  </si>
  <si>
    <t xml:space="preserve"> 12% Test</t>
  </si>
  <si>
    <t xml:space="preserve">Abbotsford                                         </t>
  </si>
  <si>
    <t xml:space="preserve">                   </t>
  </si>
  <si>
    <t xml:space="preserve">        Municipal Totals                           </t>
  </si>
  <si>
    <t xml:space="preserve">Adams                                              </t>
  </si>
  <si>
    <t xml:space="preserve">Algoma                                             </t>
  </si>
  <si>
    <t xml:space="preserve">Allouez                                            </t>
  </si>
  <si>
    <t xml:space="preserve">Alma                                               </t>
  </si>
  <si>
    <t xml:space="preserve">Altoona                                            </t>
  </si>
  <si>
    <t xml:space="preserve">Amery                                              </t>
  </si>
  <si>
    <t xml:space="preserve">Amherst                                            </t>
  </si>
  <si>
    <t xml:space="preserve">Antigo                                             </t>
  </si>
  <si>
    <t xml:space="preserve">Appleton                                           </t>
  </si>
  <si>
    <t xml:space="preserve">Arcadia                                            </t>
  </si>
  <si>
    <t xml:space="preserve">Arena                                              </t>
  </si>
  <si>
    <t xml:space="preserve">Argyle                                             </t>
  </si>
  <si>
    <t xml:space="preserve">Arlington                                          </t>
  </si>
  <si>
    <t xml:space="preserve">Ashland                                            </t>
  </si>
  <si>
    <t xml:space="preserve">Ashwaubenon                                        </t>
  </si>
  <si>
    <t xml:space="preserve">Athens                                             </t>
  </si>
  <si>
    <t xml:space="preserve">Auburndale                                         </t>
  </si>
  <si>
    <t xml:space="preserve">Augusta                                            </t>
  </si>
  <si>
    <t xml:space="preserve">Baldwin                                            </t>
  </si>
  <si>
    <t xml:space="preserve">Balsam Lake                                        </t>
  </si>
  <si>
    <t xml:space="preserve">* </t>
  </si>
  <si>
    <t xml:space="preserve">Bangor                                             </t>
  </si>
  <si>
    <t xml:space="preserve">Baraboo                                            </t>
  </si>
  <si>
    <t xml:space="preserve">Barneveld                                          </t>
  </si>
  <si>
    <t xml:space="preserve">Barron                                             </t>
  </si>
  <si>
    <t xml:space="preserve">Beaver Dam                                         </t>
  </si>
  <si>
    <t xml:space="preserve">Belgium                                            </t>
  </si>
  <si>
    <t xml:space="preserve">Belleville                                         </t>
  </si>
  <si>
    <t xml:space="preserve">Bellevue                                           </t>
  </si>
  <si>
    <t xml:space="preserve">Belmont                                            </t>
  </si>
  <si>
    <t xml:space="preserve">Beloit                                             </t>
  </si>
  <si>
    <t xml:space="preserve">Berlin                                             </t>
  </si>
  <si>
    <t xml:space="preserve">Big Bend                                           </t>
  </si>
  <si>
    <t xml:space="preserve">Birchwood                                          </t>
  </si>
  <si>
    <t xml:space="preserve">Biron                                              </t>
  </si>
  <si>
    <t xml:space="preserve">Black Earth                                        </t>
  </si>
  <si>
    <t xml:space="preserve">Black River Falls                                  </t>
  </si>
  <si>
    <t xml:space="preserve">Blair                                              </t>
  </si>
  <si>
    <t xml:space="preserve">Bloomer                                            </t>
  </si>
  <si>
    <t xml:space="preserve">Bloomfield                                         </t>
  </si>
  <si>
    <t xml:space="preserve">Bonduel                                            </t>
  </si>
  <si>
    <t xml:space="preserve">Boscobel                                           </t>
  </si>
  <si>
    <t xml:space="preserve">Bowler                                             </t>
  </si>
  <si>
    <t xml:space="preserve">Boyceville                                         </t>
  </si>
  <si>
    <t xml:space="preserve">Brillion                                           </t>
  </si>
  <si>
    <t xml:space="preserve">Bristol                                            </t>
  </si>
  <si>
    <t xml:space="preserve">Brodhead                                           </t>
  </si>
  <si>
    <t xml:space="preserve">Brookfield                                         </t>
  </si>
  <si>
    <t xml:space="preserve">Brooklyn                                           </t>
  </si>
  <si>
    <t xml:space="preserve">Brown Deer                                         </t>
  </si>
  <si>
    <t xml:space="preserve">Bruce                                              </t>
  </si>
  <si>
    <t xml:space="preserve">Cadott                                             </t>
  </si>
  <si>
    <t xml:space="preserve">Caledonia                                          </t>
  </si>
  <si>
    <t xml:space="preserve">Cambridge                                          </t>
  </si>
  <si>
    <t xml:space="preserve">Cameron                                            </t>
  </si>
  <si>
    <t xml:space="preserve">Campbellsport                                      </t>
  </si>
  <si>
    <t xml:space="preserve">Cascade                                            </t>
  </si>
  <si>
    <t xml:space="preserve">Cashton                                            </t>
  </si>
  <si>
    <t xml:space="preserve">Cedar Grove                                        </t>
  </si>
  <si>
    <t xml:space="preserve">Cedarburg                                          </t>
  </si>
  <si>
    <t xml:space="preserve">Centuria                                           </t>
  </si>
  <si>
    <t xml:space="preserve">Chetek                                             </t>
  </si>
  <si>
    <t xml:space="preserve">Chilton                                            </t>
  </si>
  <si>
    <t xml:space="preserve">Chippewa Falls                                     </t>
  </si>
  <si>
    <t xml:space="preserve">Clayton                                            </t>
  </si>
  <si>
    <t xml:space="preserve">Clear Lake                                         </t>
  </si>
  <si>
    <t xml:space="preserve">Clintonville                                       </t>
  </si>
  <si>
    <t xml:space="preserve">Cochrane                                           </t>
  </si>
  <si>
    <t xml:space="preserve">Colby                                              </t>
  </si>
  <si>
    <t xml:space="preserve">Coleman                                            </t>
  </si>
  <si>
    <t xml:space="preserve">Colfax                                             </t>
  </si>
  <si>
    <t xml:space="preserve">Coloma                                             </t>
  </si>
  <si>
    <t xml:space="preserve">Columbus                                           </t>
  </si>
  <si>
    <t xml:space="preserve">Combined Locks                                     </t>
  </si>
  <si>
    <t xml:space="preserve">Cottage Grove                                      </t>
  </si>
  <si>
    <t xml:space="preserve">Crandon                                            </t>
  </si>
  <si>
    <t xml:space="preserve">Crivitz                                            </t>
  </si>
  <si>
    <t xml:space="preserve">Cross Plains                                       </t>
  </si>
  <si>
    <t xml:space="preserve">Cuba City                                          </t>
  </si>
  <si>
    <t xml:space="preserve">Cudahy                                             </t>
  </si>
  <si>
    <t xml:space="preserve">Cumberland                                         </t>
  </si>
  <si>
    <t xml:space="preserve">Dallas                                             </t>
  </si>
  <si>
    <t xml:space="preserve">Dane                                               </t>
  </si>
  <si>
    <t xml:space="preserve">Darien                                             </t>
  </si>
  <si>
    <t xml:space="preserve">Darlington                                         </t>
  </si>
  <si>
    <t xml:space="preserve">De Pere                                            </t>
  </si>
  <si>
    <t xml:space="preserve">De Soto                                            </t>
  </si>
  <si>
    <t xml:space="preserve">Deerfield                                          </t>
  </si>
  <si>
    <t xml:space="preserve">Deforest                                           </t>
  </si>
  <si>
    <t xml:space="preserve">Delafield                                          </t>
  </si>
  <si>
    <t xml:space="preserve">Delavan                                            </t>
  </si>
  <si>
    <t xml:space="preserve">Denmark                                            </t>
  </si>
  <si>
    <t xml:space="preserve">Dickeyville                                        </t>
  </si>
  <si>
    <t xml:space="preserve">Dodgeville                                         </t>
  </si>
  <si>
    <t xml:space="preserve">Dorchester                                         </t>
  </si>
  <si>
    <t xml:space="preserve">Durand                                             </t>
  </si>
  <si>
    <t xml:space="preserve">Eagle River                                        </t>
  </si>
  <si>
    <t xml:space="preserve">East Troy                                          </t>
  </si>
  <si>
    <t xml:space="preserve">Eau Claire                                         </t>
  </si>
  <si>
    <t xml:space="preserve">Edgar                                              </t>
  </si>
  <si>
    <t xml:space="preserve">Edgerton                                           </t>
  </si>
  <si>
    <t xml:space="preserve">Elk Mound                                          </t>
  </si>
  <si>
    <t xml:space="preserve">Elkhart Lake                                       </t>
  </si>
  <si>
    <t xml:space="preserve">Elkhorn                                            </t>
  </si>
  <si>
    <t xml:space="preserve">Ellsworth                                          </t>
  </si>
  <si>
    <t xml:space="preserve">Elm Grove                                          </t>
  </si>
  <si>
    <t xml:space="preserve">Elmwood                                            </t>
  </si>
  <si>
    <t xml:space="preserve">Elroy                                              </t>
  </si>
  <si>
    <t xml:space="preserve">Endeavor                                           </t>
  </si>
  <si>
    <t xml:space="preserve">Evansville                                         </t>
  </si>
  <si>
    <t xml:space="preserve">Fairwater                                          </t>
  </si>
  <si>
    <t xml:space="preserve">Fall Creek                                         </t>
  </si>
  <si>
    <t xml:space="preserve">Fall River                                         </t>
  </si>
  <si>
    <t xml:space="preserve">Fennimore                                          </t>
  </si>
  <si>
    <t xml:space="preserve">Ferryville                                         </t>
  </si>
  <si>
    <t xml:space="preserve">Fitchburg                                          </t>
  </si>
  <si>
    <t xml:space="preserve">Florence                                           </t>
  </si>
  <si>
    <t xml:space="preserve">Fond Du Lac                                        </t>
  </si>
  <si>
    <t xml:space="preserve">Fontana                                            </t>
  </si>
  <si>
    <t xml:space="preserve">Footville                                          </t>
  </si>
  <si>
    <t xml:space="preserve">Fort Atkinson                                      </t>
  </si>
  <si>
    <t xml:space="preserve">Fox Crossing                                       </t>
  </si>
  <si>
    <t xml:space="preserve">Fox Lake                                           </t>
  </si>
  <si>
    <t xml:space="preserve">Francis Creek                                      </t>
  </si>
  <si>
    <t xml:space="preserve">Franklin                                           </t>
  </si>
  <si>
    <t xml:space="preserve">Frederic                                           </t>
  </si>
  <si>
    <t xml:space="preserve">Fredonia                                           </t>
  </si>
  <si>
    <t xml:space="preserve">Freedom                                            </t>
  </si>
  <si>
    <t xml:space="preserve">Fremont                                            </t>
  </si>
  <si>
    <t xml:space="preserve">Friendship                                         </t>
  </si>
  <si>
    <t xml:space="preserve">Galesville                                         </t>
  </si>
  <si>
    <t xml:space="preserve">Gays Mills                                         </t>
  </si>
  <si>
    <t xml:space="preserve">Germantown                                         </t>
  </si>
  <si>
    <t xml:space="preserve">Gillett                                            </t>
  </si>
  <si>
    <t xml:space="preserve">Glenbeulah                                         </t>
  </si>
  <si>
    <t xml:space="preserve">Glendale                                           </t>
  </si>
  <si>
    <t xml:space="preserve">Grafton                                            </t>
  </si>
  <si>
    <t xml:space="preserve">Grand Chute                                        </t>
  </si>
  <si>
    <t xml:space="preserve">Granton                                            </t>
  </si>
  <si>
    <t xml:space="preserve">Grantsburg                                         </t>
  </si>
  <si>
    <t xml:space="preserve">Gratiot                                            </t>
  </si>
  <si>
    <t xml:space="preserve">Green Bay                                          </t>
  </si>
  <si>
    <t xml:space="preserve">Green Lake                                         </t>
  </si>
  <si>
    <t xml:space="preserve">Greendale                                          </t>
  </si>
  <si>
    <t xml:space="preserve">Greenfield                                         </t>
  </si>
  <si>
    <t xml:space="preserve">Greenville                                         </t>
  </si>
  <si>
    <t xml:space="preserve">Greenwood                                          </t>
  </si>
  <si>
    <t xml:space="preserve">Gresham                                            </t>
  </si>
  <si>
    <t xml:space="preserve">Hales Corners                                      </t>
  </si>
  <si>
    <t xml:space="preserve">Hammond                                            </t>
  </si>
  <si>
    <t xml:space="preserve">Hancock                                            </t>
  </si>
  <si>
    <t xml:space="preserve">Harrison                                           </t>
  </si>
  <si>
    <t xml:space="preserve">Hartford                                           </t>
  </si>
  <si>
    <t xml:space="preserve">Hartland                                           </t>
  </si>
  <si>
    <t xml:space="preserve">Hatley                                             </t>
  </si>
  <si>
    <t xml:space="preserve">Hawkins                                            </t>
  </si>
  <si>
    <t xml:space="preserve">Hayward                                            </t>
  </si>
  <si>
    <t xml:space="preserve">Highland                                           </t>
  </si>
  <si>
    <t xml:space="preserve">Hilbert                                            </t>
  </si>
  <si>
    <t xml:space="preserve">Hillsboro                                          </t>
  </si>
  <si>
    <t xml:space="preserve">Hixton                                             </t>
  </si>
  <si>
    <t xml:space="preserve">Hobart                                             </t>
  </si>
  <si>
    <t xml:space="preserve">Holmen                                             </t>
  </si>
  <si>
    <t xml:space="preserve">Horicon                                            </t>
  </si>
  <si>
    <t xml:space="preserve">Hortonville                                        </t>
  </si>
  <si>
    <t xml:space="preserve">Howard                                             </t>
  </si>
  <si>
    <t xml:space="preserve">Hudson                                             </t>
  </si>
  <si>
    <t xml:space="preserve">Hustisford                                         </t>
  </si>
  <si>
    <t xml:space="preserve">Independence                                       </t>
  </si>
  <si>
    <t xml:space="preserve">Jackson                                            </t>
  </si>
  <si>
    <t xml:space="preserve">Janesville                                         </t>
  </si>
  <si>
    <t xml:space="preserve">Jefferson                                          </t>
  </si>
  <si>
    <t xml:space="preserve">Johnson Creek                                      </t>
  </si>
  <si>
    <t xml:space="preserve">Junction City                                      </t>
  </si>
  <si>
    <t xml:space="preserve">Juneau                                             </t>
  </si>
  <si>
    <t xml:space="preserve">Kaukauna                                           </t>
  </si>
  <si>
    <t xml:space="preserve">Kellnersville                                      </t>
  </si>
  <si>
    <t xml:space="preserve">Kenosha                                            </t>
  </si>
  <si>
    <t xml:space="preserve">Kewaskum                                           </t>
  </si>
  <si>
    <t xml:space="preserve">Kewaunee                                           </t>
  </si>
  <si>
    <t xml:space="preserve">Kiel                                               </t>
  </si>
  <si>
    <t xml:space="preserve">Kimberly                                           </t>
  </si>
  <si>
    <t xml:space="preserve">Knapp                                              </t>
  </si>
  <si>
    <t xml:space="preserve">Kronenwetter                                       </t>
  </si>
  <si>
    <t xml:space="preserve">La Crosse                                          </t>
  </si>
  <si>
    <t xml:space="preserve">La Farge                                           </t>
  </si>
  <si>
    <t xml:space="preserve">Ladysmith                                          </t>
  </si>
  <si>
    <t xml:space="preserve">Lake Delton                                        </t>
  </si>
  <si>
    <t xml:space="preserve">Lake Hallie                                        </t>
  </si>
  <si>
    <t xml:space="preserve">Lake Mills                                         </t>
  </si>
  <si>
    <t xml:space="preserve">Lancaster                                          </t>
  </si>
  <si>
    <t xml:space="preserve">Lannon                                             </t>
  </si>
  <si>
    <t xml:space="preserve">Lawrence                                           </t>
  </si>
  <si>
    <t xml:space="preserve">Ledgeview                                          </t>
  </si>
  <si>
    <t xml:space="preserve">Lena                                               </t>
  </si>
  <si>
    <t xml:space="preserve">Lisbon                                             </t>
  </si>
  <si>
    <t xml:space="preserve">Little Chute                                       </t>
  </si>
  <si>
    <t xml:space="preserve">Lodi                                               </t>
  </si>
  <si>
    <t xml:space="preserve">Loganville                                         </t>
  </si>
  <si>
    <t xml:space="preserve">Lomira                                             </t>
  </si>
  <si>
    <t xml:space="preserve">Luck                                               </t>
  </si>
  <si>
    <t xml:space="preserve">Luxemburg                                          </t>
  </si>
  <si>
    <t xml:space="preserve">Madison                                            </t>
  </si>
  <si>
    <t xml:space="preserve">Maine                                              </t>
  </si>
  <si>
    <t xml:space="preserve">Manawa                                             </t>
  </si>
  <si>
    <t xml:space="preserve">Manitowoc                                          </t>
  </si>
  <si>
    <t xml:space="preserve">Maple Bluff                                        </t>
  </si>
  <si>
    <t xml:space="preserve">Marathon                                           </t>
  </si>
  <si>
    <t xml:space="preserve">Maribel                                            </t>
  </si>
  <si>
    <t xml:space="preserve">Marinette                                          </t>
  </si>
  <si>
    <t xml:space="preserve">Markesan                                           </t>
  </si>
  <si>
    <t xml:space="preserve">Marshall                                           </t>
  </si>
  <si>
    <t xml:space="preserve">Marshfield                                         </t>
  </si>
  <si>
    <t xml:space="preserve">Mason                                              </t>
  </si>
  <si>
    <t xml:space="preserve">Mayville                                           </t>
  </si>
  <si>
    <t xml:space="preserve">Mazomanie                                          </t>
  </si>
  <si>
    <t xml:space="preserve">Mcfarland                                          </t>
  </si>
  <si>
    <t xml:space="preserve">Medford                                            </t>
  </si>
  <si>
    <t xml:space="preserve">Menasha                                            </t>
  </si>
  <si>
    <t xml:space="preserve">Menomonee Falls                                    </t>
  </si>
  <si>
    <t xml:space="preserve">Menomonie                                          </t>
  </si>
  <si>
    <t xml:space="preserve">Mequon                                             </t>
  </si>
  <si>
    <t xml:space="preserve">Merrill                                            </t>
  </si>
  <si>
    <t xml:space="preserve">Merrillan                                          </t>
  </si>
  <si>
    <t xml:space="preserve">Middleton                                          </t>
  </si>
  <si>
    <t xml:space="preserve">Milltown                                           </t>
  </si>
  <si>
    <t xml:space="preserve">Milton                                             </t>
  </si>
  <si>
    <t xml:space="preserve">Milwaukee                                          </t>
  </si>
  <si>
    <t xml:space="preserve">Minong                                             </t>
  </si>
  <si>
    <t xml:space="preserve">Mondovi                                            </t>
  </si>
  <si>
    <t xml:space="preserve">Monona                                             </t>
  </si>
  <si>
    <t xml:space="preserve">Monroe                                             </t>
  </si>
  <si>
    <t xml:space="preserve">Montfort                                           </t>
  </si>
  <si>
    <t xml:space="preserve">Mosinee                                            </t>
  </si>
  <si>
    <t xml:space="preserve">Mount Horeb                                        </t>
  </si>
  <si>
    <t xml:space="preserve">Mount Pleasant                                     </t>
  </si>
  <si>
    <t xml:space="preserve">Mukwonago                                          </t>
  </si>
  <si>
    <t xml:space="preserve">Muscoda                                            </t>
  </si>
  <si>
    <t xml:space="preserve">Muskego                                            </t>
  </si>
  <si>
    <t xml:space="preserve">Necedah                                            </t>
  </si>
  <si>
    <t xml:space="preserve">Neenah                                             </t>
  </si>
  <si>
    <t xml:space="preserve">Neillsville                                        </t>
  </si>
  <si>
    <t xml:space="preserve">Nekoosa                                            </t>
  </si>
  <si>
    <t xml:space="preserve">New Auburn                                         </t>
  </si>
  <si>
    <t xml:space="preserve">New Berlin                                         </t>
  </si>
  <si>
    <t xml:space="preserve">New Glarus                                         </t>
  </si>
  <si>
    <t xml:space="preserve">New Holstein                                       </t>
  </si>
  <si>
    <t xml:space="preserve">New Lisbon                                         </t>
  </si>
  <si>
    <t xml:space="preserve">New London                                         </t>
  </si>
  <si>
    <t xml:space="preserve">New Richmond                                       </t>
  </si>
  <si>
    <t xml:space="preserve">Niagara                                            </t>
  </si>
  <si>
    <t xml:space="preserve">North Fond Du Lac                                  </t>
  </si>
  <si>
    <t xml:space="preserve">North Freedom                                      </t>
  </si>
  <si>
    <t xml:space="preserve">Oak Creek                                          </t>
  </si>
  <si>
    <t xml:space="preserve">Oakfield                                           </t>
  </si>
  <si>
    <t xml:space="preserve">Oconomowoc                                         </t>
  </si>
  <si>
    <t xml:space="preserve">Oconto                                             </t>
  </si>
  <si>
    <t xml:space="preserve">Omro                                               </t>
  </si>
  <si>
    <t xml:space="preserve">Onalaska                                           </t>
  </si>
  <si>
    <t xml:space="preserve">Ontario                                            </t>
  </si>
  <si>
    <t xml:space="preserve">Oostburg                                           </t>
  </si>
  <si>
    <t xml:space="preserve">Oregon                                             </t>
  </si>
  <si>
    <t xml:space="preserve">Orfordville                                        </t>
  </si>
  <si>
    <t xml:space="preserve">Osceola                                            </t>
  </si>
  <si>
    <t xml:space="preserve">Oshkosh                                            </t>
  </si>
  <si>
    <t xml:space="preserve">Osseo                                              </t>
  </si>
  <si>
    <t xml:space="preserve">Owen                                               </t>
  </si>
  <si>
    <t xml:space="preserve">Paddock Lake                                       </t>
  </si>
  <si>
    <t xml:space="preserve">Palmyra                                            </t>
  </si>
  <si>
    <t xml:space="preserve">Pardeeville                                        </t>
  </si>
  <si>
    <t xml:space="preserve">Park Falls                                         </t>
  </si>
  <si>
    <t xml:space="preserve">Pepin                                              </t>
  </si>
  <si>
    <t xml:space="preserve">Pewaukee                                           </t>
  </si>
  <si>
    <t xml:space="preserve">Phillips                                           </t>
  </si>
  <si>
    <t xml:space="preserve">Pittsville                                         </t>
  </si>
  <si>
    <t xml:space="preserve">Plain                                              </t>
  </si>
  <si>
    <t xml:space="preserve">Plainfield                                         </t>
  </si>
  <si>
    <t xml:space="preserve">Platteville                                        </t>
  </si>
  <si>
    <t xml:space="preserve">Pleasant Prairie                                   </t>
  </si>
  <si>
    <t xml:space="preserve">Plover                                             </t>
  </si>
  <si>
    <t xml:space="preserve">Plymouth                                           </t>
  </si>
  <si>
    <t xml:space="preserve">Port Edwards                                       </t>
  </si>
  <si>
    <t xml:space="preserve">Port Washington                                    </t>
  </si>
  <si>
    <t xml:space="preserve">Portage                                            </t>
  </si>
  <si>
    <t xml:space="preserve">Potosi                                             </t>
  </si>
  <si>
    <t xml:space="preserve">Pound                                              </t>
  </si>
  <si>
    <t xml:space="preserve">Prairie Du Chien                                   </t>
  </si>
  <si>
    <t xml:space="preserve">Prairie Du Sac                                     </t>
  </si>
  <si>
    <t xml:space="preserve">Prairie Farm                                       </t>
  </si>
  <si>
    <t xml:space="preserve">Prentice                                           </t>
  </si>
  <si>
    <t xml:space="preserve">Prescott                                           </t>
  </si>
  <si>
    <t xml:space="preserve">Princeton                                          </t>
  </si>
  <si>
    <t xml:space="preserve">Pulaski                                            </t>
  </si>
  <si>
    <t xml:space="preserve">Racine                                             </t>
  </si>
  <si>
    <t xml:space="preserve">Random Lake                                        </t>
  </si>
  <si>
    <t xml:space="preserve">Redgranite                                         </t>
  </si>
  <si>
    <t xml:space="preserve">Reedsburg                                          </t>
  </si>
  <si>
    <t xml:space="preserve">Reeseville                                         </t>
  </si>
  <si>
    <t xml:space="preserve">Rhinelander                                        </t>
  </si>
  <si>
    <t xml:space="preserve">Rib Mountain                                       </t>
  </si>
  <si>
    <t xml:space="preserve">Rice Lake                                          </t>
  </si>
  <si>
    <t xml:space="preserve">Richfield                                          </t>
  </si>
  <si>
    <t xml:space="preserve">Richland Center                                    </t>
  </si>
  <si>
    <t xml:space="preserve">Ridgeland                                          </t>
  </si>
  <si>
    <t xml:space="preserve">Ridgeway                                           </t>
  </si>
  <si>
    <t xml:space="preserve">Rio                                                </t>
  </si>
  <si>
    <t xml:space="preserve">Ripon                                              </t>
  </si>
  <si>
    <t xml:space="preserve">River Falls                                        </t>
  </si>
  <si>
    <t xml:space="preserve">River Hills                                        </t>
  </si>
  <si>
    <t xml:space="preserve">Roberts                                            </t>
  </si>
  <si>
    <t xml:space="preserve">Rock Springs                                       </t>
  </si>
  <si>
    <t xml:space="preserve">Rockland                                           </t>
  </si>
  <si>
    <t xml:space="preserve">Rome                                               </t>
  </si>
  <si>
    <t xml:space="preserve">Rosendale                                          </t>
  </si>
  <si>
    <t xml:space="preserve">Rothschild                                         </t>
  </si>
  <si>
    <t xml:space="preserve">Saint Francis                                      </t>
  </si>
  <si>
    <t xml:space="preserve">Salem Lakes                                        </t>
  </si>
  <si>
    <t xml:space="preserve">Sauk City                                          </t>
  </si>
  <si>
    <t xml:space="preserve">Saukville                                          </t>
  </si>
  <si>
    <t xml:space="preserve">Schofield                                          </t>
  </si>
  <si>
    <t xml:space="preserve">Seymour                                            </t>
  </si>
  <si>
    <t xml:space="preserve">Sharon                                             </t>
  </si>
  <si>
    <t xml:space="preserve">Shawano                                            </t>
  </si>
  <si>
    <t xml:space="preserve">Sheboygan                                          </t>
  </si>
  <si>
    <t xml:space="preserve">Sheboygan Falls                                    </t>
  </si>
  <si>
    <t xml:space="preserve">Sherwood                                           </t>
  </si>
  <si>
    <t xml:space="preserve">Shorewood                                          </t>
  </si>
  <si>
    <t xml:space="preserve">Shorewood Hills                                    </t>
  </si>
  <si>
    <t xml:space="preserve">Shullsburg                                         </t>
  </si>
  <si>
    <t xml:space="preserve">Siren                                              </t>
  </si>
  <si>
    <t xml:space="preserve">Sister Bay                                         </t>
  </si>
  <si>
    <t xml:space="preserve">Slinger                                            </t>
  </si>
  <si>
    <t xml:space="preserve">Solon Springs                                      </t>
  </si>
  <si>
    <t xml:space="preserve">Somers                                             </t>
  </si>
  <si>
    <t xml:space="preserve">Somerset                                           </t>
  </si>
  <si>
    <t xml:space="preserve">South Milwaukee                                    </t>
  </si>
  <si>
    <t xml:space="preserve">Sparta                                             </t>
  </si>
  <si>
    <t xml:space="preserve">Spencer                                            </t>
  </si>
  <si>
    <t xml:space="preserve">Spooner                                            </t>
  </si>
  <si>
    <t xml:space="preserve">Spring Green                                       </t>
  </si>
  <si>
    <t xml:space="preserve">Spring Valley                                      </t>
  </si>
  <si>
    <t xml:space="preserve">Stanley                                            </t>
  </si>
  <si>
    <t xml:space="preserve">Stetsonville                                       </t>
  </si>
  <si>
    <t xml:space="preserve">Stevens Point                                      </t>
  </si>
  <si>
    <t xml:space="preserve">Stoughton                                          </t>
  </si>
  <si>
    <t xml:space="preserve">Stratford                                          </t>
  </si>
  <si>
    <t xml:space="preserve">Strum                                              </t>
  </si>
  <si>
    <t xml:space="preserve">Sturgeon Bay                                       </t>
  </si>
  <si>
    <t xml:space="preserve">Sturtevant                                         </t>
  </si>
  <si>
    <t xml:space="preserve">Suamico                                            </t>
  </si>
  <si>
    <t xml:space="preserve">Sun Prairie                                        </t>
  </si>
  <si>
    <t xml:space="preserve">Superior                                           </t>
  </si>
  <si>
    <t xml:space="preserve">Suring                                             </t>
  </si>
  <si>
    <t xml:space="preserve">Sussex                                             </t>
  </si>
  <si>
    <t xml:space="preserve">Taylor                                             </t>
  </si>
  <si>
    <t xml:space="preserve">Thiensville                                        </t>
  </si>
  <si>
    <t xml:space="preserve">Tigerton                                           </t>
  </si>
  <si>
    <t xml:space="preserve">Tomah                                              </t>
  </si>
  <si>
    <t xml:space="preserve">Tomahawk                                           </t>
  </si>
  <si>
    <t xml:space="preserve">Trempealeau                                        </t>
  </si>
  <si>
    <t xml:space="preserve">Turtle Lake                                        </t>
  </si>
  <si>
    <t xml:space="preserve">Twin Lakes                                         </t>
  </si>
  <si>
    <t xml:space="preserve">Two Rivers                                         </t>
  </si>
  <si>
    <t xml:space="preserve">Union Grove                                        </t>
  </si>
  <si>
    <t xml:space="preserve">Unity                                              </t>
  </si>
  <si>
    <t xml:space="preserve">Valders                                            </t>
  </si>
  <si>
    <t xml:space="preserve">Vernon                                             </t>
  </si>
  <si>
    <t xml:space="preserve">Verona                                             </t>
  </si>
  <si>
    <t xml:space="preserve">Vesper                                             </t>
  </si>
  <si>
    <t xml:space="preserve">Viola                                              </t>
  </si>
  <si>
    <t xml:space="preserve">Viroqua                                            </t>
  </si>
  <si>
    <t xml:space="preserve">Wales                                              </t>
  </si>
  <si>
    <t xml:space="preserve">Walworth                                           </t>
  </si>
  <si>
    <t xml:space="preserve">Warrens                                            </t>
  </si>
  <si>
    <t xml:space="preserve">Washburn                                           </t>
  </si>
  <si>
    <t xml:space="preserve">Waterford                                          </t>
  </si>
  <si>
    <t xml:space="preserve">Waterloo                                           </t>
  </si>
  <si>
    <t xml:space="preserve">Watertown                                          </t>
  </si>
  <si>
    <t xml:space="preserve">Waukesha                                           </t>
  </si>
  <si>
    <t xml:space="preserve">Waunakee                                           </t>
  </si>
  <si>
    <t xml:space="preserve">Waupaca                                            </t>
  </si>
  <si>
    <t xml:space="preserve">Waupun                                             </t>
  </si>
  <si>
    <t xml:space="preserve">Wausau                                             </t>
  </si>
  <si>
    <t xml:space="preserve">Wausaukee                                          </t>
  </si>
  <si>
    <t xml:space="preserve">Wautoma                                            </t>
  </si>
  <si>
    <t xml:space="preserve">Wauwatosa                                          </t>
  </si>
  <si>
    <t xml:space="preserve">Webster                                            </t>
  </si>
  <si>
    <t xml:space="preserve">West Allis                                         </t>
  </si>
  <si>
    <t xml:space="preserve">West Baraboo                                       </t>
  </si>
  <si>
    <t xml:space="preserve">West Bend                                          </t>
  </si>
  <si>
    <t xml:space="preserve">West Milwaukee                                     </t>
  </si>
  <si>
    <t xml:space="preserve">West Salem                                         </t>
  </si>
  <si>
    <t xml:space="preserve">Westby                                             </t>
  </si>
  <si>
    <t xml:space="preserve">Weston                                             </t>
  </si>
  <si>
    <t xml:space="preserve">Weyauwega                                          </t>
  </si>
  <si>
    <t xml:space="preserve">Weyerhaeuser                                       </t>
  </si>
  <si>
    <t xml:space="preserve">White Lake                                         </t>
  </si>
  <si>
    <t xml:space="preserve">Whitefish Bay                                      </t>
  </si>
  <si>
    <t xml:space="preserve">Whitehall                                          </t>
  </si>
  <si>
    <t xml:space="preserve">Whitelaw                                           </t>
  </si>
  <si>
    <t xml:space="preserve">Whitewater                                         </t>
  </si>
  <si>
    <t xml:space="preserve">Whiting                                            </t>
  </si>
  <si>
    <t xml:space="preserve">Wild Rose                                          </t>
  </si>
  <si>
    <t xml:space="preserve">Wilton                                             </t>
  </si>
  <si>
    <t xml:space="preserve">Windsor                                            </t>
  </si>
  <si>
    <t xml:space="preserve">Winneconne                                         </t>
  </si>
  <si>
    <t xml:space="preserve">Wisconsin Dells                                    </t>
  </si>
  <si>
    <t xml:space="preserve">Wisconsin Rapids                                   </t>
  </si>
  <si>
    <t xml:space="preserve">Withee                                             </t>
  </si>
  <si>
    <t xml:space="preserve">Wittenberg                                         </t>
  </si>
  <si>
    <t xml:space="preserve">Woodville                                          </t>
  </si>
  <si>
    <t xml:space="preserve">Wrightstown                                        </t>
  </si>
  <si>
    <t xml:space="preserve">Yorkville                                          </t>
  </si>
  <si>
    <t>*A negative increment is treated as zero increment</t>
  </si>
  <si>
    <t xml:space="preserve">          NOTE:  With the exception of Muni Equalized Value column  totals do not include Environmental Remediation TID information</t>
  </si>
  <si>
    <t xml:space="preserve">          2022 TID Total Value Increment    :</t>
  </si>
  <si>
    <t xml:space="preserve">          2022 Muni Total TID Current Value :</t>
  </si>
  <si>
    <t xml:space="preserve">          2022 Muni Total Equalized Value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</si>
</sst>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  <xf numFmtId="38" fontId="16" fillId="0" borderId="0" xfId="0" applyNumberFormat="1" applyFont="1"/>
    <xf numFmtId="3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08"/>
  <sheetViews>
    <sheetView tabSelected="1" workbookViewId="0">
      <pane ySplit="8" topLeftCell="A9" activePane="bottomLeft" state="frozen"/>
      <selection pane="bottomLeft"/>
    </sheetView>
  </sheetViews>
  <sheetFormatPr defaultRowHeight="14.5" x14ac:dyDescent="0.35"/>
  <cols>
    <col min="1" max="1" width="21" customWidth="1"/>
    <col min="5" max="5" width="17.26953125" style="3" customWidth="1"/>
    <col min="6" max="6" width="13.453125" style="3" customWidth="1"/>
    <col min="8" max="8" width="17.7265625" style="5" customWidth="1"/>
  </cols>
  <sheetData>
    <row r="1" spans="1:11" s="1" customFormat="1" x14ac:dyDescent="0.35">
      <c r="E1" s="2"/>
      <c r="F1" s="2"/>
      <c r="H1" s="4"/>
    </row>
    <row r="2" spans="1:11" s="1" customFormat="1" x14ac:dyDescent="0.35">
      <c r="A2" s="1" t="s">
        <v>0</v>
      </c>
      <c r="E2" s="2"/>
      <c r="F2" s="2"/>
      <c r="H2" s="4"/>
      <c r="K2" s="1" t="s">
        <v>1</v>
      </c>
    </row>
    <row r="3" spans="1:11" s="1" customFormat="1" x14ac:dyDescent="0.35">
      <c r="A3" s="1" t="s">
        <v>2</v>
      </c>
      <c r="E3" s="2"/>
      <c r="F3" s="2"/>
      <c r="H3" s="4"/>
      <c r="K3" s="1" t="s">
        <v>3</v>
      </c>
    </row>
    <row r="4" spans="1:11" s="1" customFormat="1" x14ac:dyDescent="0.35">
      <c r="E4" s="2"/>
      <c r="F4" s="2"/>
      <c r="H4" s="4"/>
      <c r="K4" s="1" t="s">
        <v>4</v>
      </c>
    </row>
    <row r="5" spans="1:11" s="1" customFormat="1" x14ac:dyDescent="0.35">
      <c r="E5" s="2"/>
      <c r="F5" s="2"/>
      <c r="H5" s="4"/>
    </row>
    <row r="6" spans="1:11" s="1" customFormat="1" x14ac:dyDescent="0.35">
      <c r="A6" s="1" t="s">
        <v>5</v>
      </c>
      <c r="B6" s="1" t="s">
        <v>6</v>
      </c>
      <c r="C6" s="1" t="s">
        <v>7</v>
      </c>
      <c r="D6" s="1" t="s">
        <v>8</v>
      </c>
      <c r="E6" s="2" t="s">
        <v>9</v>
      </c>
      <c r="F6" s="2" t="s">
        <v>10</v>
      </c>
      <c r="G6" s="1" t="s">
        <v>11</v>
      </c>
      <c r="H6" s="4" t="s">
        <v>12</v>
      </c>
      <c r="I6" s="1" t="s">
        <v>13</v>
      </c>
      <c r="J6" s="1" t="s">
        <v>13</v>
      </c>
    </row>
    <row r="7" spans="1:11" s="1" customFormat="1" x14ac:dyDescent="0.35">
      <c r="A7" s="1" t="s">
        <v>5</v>
      </c>
      <c r="B7" s="1" t="s">
        <v>14</v>
      </c>
      <c r="C7" s="1" t="s">
        <v>7</v>
      </c>
      <c r="D7" s="1" t="s">
        <v>15</v>
      </c>
      <c r="E7" s="2" t="s">
        <v>16</v>
      </c>
      <c r="F7" s="2" t="s">
        <v>17</v>
      </c>
      <c r="G7" s="1" t="s">
        <v>11</v>
      </c>
      <c r="H7" s="4" t="s">
        <v>18</v>
      </c>
      <c r="I7" s="1" t="s">
        <v>13</v>
      </c>
      <c r="J7" s="1" t="s">
        <v>13</v>
      </c>
    </row>
    <row r="8" spans="1:11" s="1" customFormat="1" x14ac:dyDescent="0.35">
      <c r="A8" s="1" t="s">
        <v>19</v>
      </c>
      <c r="B8" s="1" t="s">
        <v>20</v>
      </c>
      <c r="C8" s="1" t="s">
        <v>21</v>
      </c>
      <c r="D8" s="1" t="s">
        <v>22</v>
      </c>
      <c r="E8" s="2" t="s">
        <v>23</v>
      </c>
      <c r="F8" s="2" t="s">
        <v>24</v>
      </c>
      <c r="G8" s="1" t="s">
        <v>11</v>
      </c>
      <c r="H8" s="4" t="s">
        <v>25</v>
      </c>
      <c r="I8" s="1" t="s">
        <v>26</v>
      </c>
      <c r="J8" s="1" t="s">
        <v>27</v>
      </c>
      <c r="K8" s="1" t="s">
        <v>28</v>
      </c>
    </row>
    <row r="9" spans="1:11" x14ac:dyDescent="0.35">
      <c r="A9" t="s">
        <v>29</v>
      </c>
      <c r="B9" t="str">
        <f>"10201"</f>
        <v>10201</v>
      </c>
      <c r="C9" t="str">
        <f>"005"</f>
        <v>005</v>
      </c>
      <c r="D9">
        <v>2008</v>
      </c>
      <c r="E9" s="3">
        <v>1379000</v>
      </c>
      <c r="F9" s="3">
        <v>920200</v>
      </c>
      <c r="G9" t="s">
        <v>11</v>
      </c>
      <c r="H9" s="5" t="s">
        <v>30</v>
      </c>
      <c r="I9" t="s">
        <v>13</v>
      </c>
      <c r="J9" t="s">
        <v>13</v>
      </c>
    </row>
    <row r="10" spans="1:11" x14ac:dyDescent="0.35">
      <c r="A10" t="s">
        <v>5</v>
      </c>
      <c r="B10" t="str">
        <f>"37201"</f>
        <v>37201</v>
      </c>
      <c r="C10" t="str">
        <f>"005"</f>
        <v>005</v>
      </c>
      <c r="D10">
        <v>2008</v>
      </c>
      <c r="E10" s="3">
        <v>14314700</v>
      </c>
      <c r="F10" s="3">
        <v>2360600</v>
      </c>
      <c r="G10" t="s">
        <v>11</v>
      </c>
      <c r="H10" s="5" t="s">
        <v>30</v>
      </c>
      <c r="I10" t="s">
        <v>13</v>
      </c>
      <c r="J10" t="s">
        <v>13</v>
      </c>
    </row>
    <row r="11" spans="1:11" x14ac:dyDescent="0.35">
      <c r="A11" t="s">
        <v>5</v>
      </c>
      <c r="B11" t="str">
        <f>"37201"</f>
        <v>37201</v>
      </c>
      <c r="C11" t="str">
        <f>"006"</f>
        <v>006</v>
      </c>
      <c r="D11">
        <v>2016</v>
      </c>
      <c r="E11" s="3">
        <v>23110900</v>
      </c>
      <c r="F11" s="3">
        <v>17187800</v>
      </c>
      <c r="G11" t="s">
        <v>11</v>
      </c>
      <c r="H11" s="5" t="s">
        <v>30</v>
      </c>
      <c r="I11" t="s">
        <v>13</v>
      </c>
      <c r="J11" t="s">
        <v>13</v>
      </c>
    </row>
    <row r="12" spans="1:11" x14ac:dyDescent="0.35">
      <c r="A12" t="s">
        <v>5</v>
      </c>
      <c r="B12" t="str">
        <f>"10201"</f>
        <v>10201</v>
      </c>
      <c r="C12" t="str">
        <f>"006"</f>
        <v>006</v>
      </c>
      <c r="D12">
        <v>2016</v>
      </c>
      <c r="E12" s="3">
        <v>27490200</v>
      </c>
      <c r="F12" s="3">
        <v>24543100</v>
      </c>
      <c r="G12" t="s">
        <v>11</v>
      </c>
      <c r="H12" s="5" t="s">
        <v>30</v>
      </c>
      <c r="I12" t="s">
        <v>13</v>
      </c>
      <c r="J12" t="s">
        <v>13</v>
      </c>
    </row>
    <row r="13" spans="1:11" x14ac:dyDescent="0.35">
      <c r="A13" t="s">
        <v>5</v>
      </c>
      <c r="B13" t="str">
        <f>"10201"</f>
        <v>10201</v>
      </c>
      <c r="C13" t="str">
        <f>"007"</f>
        <v>007</v>
      </c>
      <c r="D13">
        <v>2016</v>
      </c>
      <c r="E13" s="3">
        <v>2081900</v>
      </c>
      <c r="F13" s="3">
        <v>462400</v>
      </c>
      <c r="G13" t="s">
        <v>11</v>
      </c>
      <c r="H13" s="5" t="s">
        <v>30</v>
      </c>
      <c r="I13" t="s">
        <v>13</v>
      </c>
      <c r="J13" t="s">
        <v>13</v>
      </c>
    </row>
    <row r="14" spans="1:11" x14ac:dyDescent="0.35">
      <c r="A14" t="s">
        <v>31</v>
      </c>
      <c r="B14" t="s">
        <v>13</v>
      </c>
      <c r="C14" t="s">
        <v>7</v>
      </c>
      <c r="D14" t="s">
        <v>8</v>
      </c>
      <c r="E14" s="3">
        <v>68376700</v>
      </c>
      <c r="F14" s="3">
        <v>45474100</v>
      </c>
      <c r="G14" t="s">
        <v>11</v>
      </c>
      <c r="H14" s="5">
        <v>178095700</v>
      </c>
      <c r="I14" t="s">
        <v>13</v>
      </c>
      <c r="J14" t="s">
        <v>13</v>
      </c>
      <c r="K14">
        <v>25.53</v>
      </c>
    </row>
    <row r="16" spans="1:11" x14ac:dyDescent="0.35">
      <c r="A16" t="s">
        <v>32</v>
      </c>
      <c r="B16" t="str">
        <f>"01201"</f>
        <v>01201</v>
      </c>
      <c r="C16" t="str">
        <f>"002"</f>
        <v>002</v>
      </c>
      <c r="D16">
        <v>1996</v>
      </c>
      <c r="E16" s="3">
        <v>21406400</v>
      </c>
      <c r="F16" s="3">
        <v>11821200</v>
      </c>
      <c r="G16" t="s">
        <v>11</v>
      </c>
      <c r="H16" s="5" t="s">
        <v>30</v>
      </c>
      <c r="I16" t="s">
        <v>13</v>
      </c>
      <c r="J16" t="s">
        <v>13</v>
      </c>
    </row>
    <row r="17" spans="1:11" x14ac:dyDescent="0.35">
      <c r="A17" t="s">
        <v>5</v>
      </c>
      <c r="B17" t="str">
        <f>"01201"</f>
        <v>01201</v>
      </c>
      <c r="C17" t="str">
        <f>"003"</f>
        <v>003</v>
      </c>
      <c r="D17">
        <v>1996</v>
      </c>
      <c r="E17" s="3">
        <v>23088800</v>
      </c>
      <c r="F17" s="3">
        <v>17919100</v>
      </c>
      <c r="G17" t="s">
        <v>11</v>
      </c>
      <c r="H17" s="5" t="s">
        <v>30</v>
      </c>
      <c r="I17" t="s">
        <v>13</v>
      </c>
      <c r="J17" t="s">
        <v>13</v>
      </c>
    </row>
    <row r="18" spans="1:11" x14ac:dyDescent="0.35">
      <c r="A18" t="s">
        <v>31</v>
      </c>
      <c r="B18" t="s">
        <v>13</v>
      </c>
      <c r="C18" t="s">
        <v>7</v>
      </c>
      <c r="D18" t="s">
        <v>8</v>
      </c>
      <c r="E18" s="3">
        <v>44495200</v>
      </c>
      <c r="F18" s="3">
        <v>29740300</v>
      </c>
      <c r="G18" t="s">
        <v>11</v>
      </c>
      <c r="H18" s="5">
        <v>107180400</v>
      </c>
      <c r="I18" t="s">
        <v>13</v>
      </c>
      <c r="J18" t="s">
        <v>13</v>
      </c>
      <c r="K18">
        <v>27.75</v>
      </c>
    </row>
    <row r="20" spans="1:11" x14ac:dyDescent="0.35">
      <c r="A20" t="s">
        <v>33</v>
      </c>
      <c r="B20" t="str">
        <f>"31201"</f>
        <v>31201</v>
      </c>
      <c r="C20" t="str">
        <f>"001"</f>
        <v>001</v>
      </c>
      <c r="D20">
        <v>2005</v>
      </c>
      <c r="E20" s="3">
        <v>9600100</v>
      </c>
      <c r="F20" s="3">
        <v>1700900</v>
      </c>
      <c r="G20" t="s">
        <v>11</v>
      </c>
      <c r="H20" s="5" t="s">
        <v>30</v>
      </c>
      <c r="I20" t="s">
        <v>13</v>
      </c>
      <c r="J20" t="s">
        <v>13</v>
      </c>
    </row>
    <row r="21" spans="1:11" x14ac:dyDescent="0.35">
      <c r="A21" t="s">
        <v>5</v>
      </c>
      <c r="B21" t="str">
        <f>"31201"</f>
        <v>31201</v>
      </c>
      <c r="C21" t="str">
        <f>"002"</f>
        <v>002</v>
      </c>
      <c r="D21">
        <v>2006</v>
      </c>
      <c r="E21" s="3">
        <v>7485500</v>
      </c>
      <c r="F21" s="3">
        <v>5574800</v>
      </c>
      <c r="G21" t="s">
        <v>11</v>
      </c>
      <c r="H21" s="5" t="s">
        <v>30</v>
      </c>
      <c r="I21" t="s">
        <v>13</v>
      </c>
      <c r="J21" t="s">
        <v>13</v>
      </c>
    </row>
    <row r="22" spans="1:11" x14ac:dyDescent="0.35">
      <c r="A22" t="s">
        <v>5</v>
      </c>
      <c r="B22" t="str">
        <f>"31201"</f>
        <v>31201</v>
      </c>
      <c r="C22" t="str">
        <f>"003"</f>
        <v>003</v>
      </c>
      <c r="D22">
        <v>2019</v>
      </c>
      <c r="E22" s="3">
        <v>3432500</v>
      </c>
      <c r="F22" s="3">
        <v>2914800</v>
      </c>
      <c r="G22" t="s">
        <v>11</v>
      </c>
      <c r="H22" s="5" t="s">
        <v>30</v>
      </c>
      <c r="I22" t="s">
        <v>13</v>
      </c>
      <c r="J22" t="s">
        <v>13</v>
      </c>
    </row>
    <row r="23" spans="1:11" x14ac:dyDescent="0.35">
      <c r="A23" t="s">
        <v>31</v>
      </c>
      <c r="B23" t="s">
        <v>13</v>
      </c>
      <c r="C23" t="s">
        <v>7</v>
      </c>
      <c r="D23" t="s">
        <v>8</v>
      </c>
      <c r="E23" s="3">
        <v>20518100</v>
      </c>
      <c r="F23" s="3">
        <v>10190500</v>
      </c>
      <c r="G23" t="s">
        <v>11</v>
      </c>
      <c r="H23" s="5">
        <v>251277100</v>
      </c>
      <c r="I23" t="s">
        <v>13</v>
      </c>
      <c r="J23" t="s">
        <v>13</v>
      </c>
      <c r="K23">
        <v>4.0599999999999996</v>
      </c>
    </row>
    <row r="25" spans="1:11" x14ac:dyDescent="0.35">
      <c r="A25" t="s">
        <v>34</v>
      </c>
      <c r="B25" t="str">
        <f>"05102"</f>
        <v>05102</v>
      </c>
      <c r="C25" t="str">
        <f>"001"</f>
        <v>001</v>
      </c>
      <c r="D25">
        <v>2012</v>
      </c>
      <c r="E25" s="3">
        <v>134991600</v>
      </c>
      <c r="F25" s="3">
        <v>50584200</v>
      </c>
      <c r="G25" t="s">
        <v>11</v>
      </c>
      <c r="H25" s="5" t="s">
        <v>30</v>
      </c>
      <c r="I25" t="s">
        <v>13</v>
      </c>
      <c r="J25" t="s">
        <v>13</v>
      </c>
    </row>
    <row r="26" spans="1:11" x14ac:dyDescent="0.35">
      <c r="A26" t="s">
        <v>31</v>
      </c>
      <c r="B26" t="s">
        <v>13</v>
      </c>
      <c r="C26" t="s">
        <v>7</v>
      </c>
      <c r="D26" t="s">
        <v>8</v>
      </c>
      <c r="E26" s="3">
        <v>134991600</v>
      </c>
      <c r="F26" s="3">
        <v>50584200</v>
      </c>
      <c r="G26" t="s">
        <v>11</v>
      </c>
      <c r="H26" s="5">
        <v>1361064900</v>
      </c>
      <c r="I26" t="s">
        <v>13</v>
      </c>
      <c r="J26" t="s">
        <v>13</v>
      </c>
      <c r="K26">
        <v>3.72</v>
      </c>
    </row>
    <row r="28" spans="1:11" x14ac:dyDescent="0.35">
      <c r="A28" t="s">
        <v>35</v>
      </c>
      <c r="B28" t="str">
        <f>"06201"</f>
        <v>06201</v>
      </c>
      <c r="C28" t="str">
        <f>"001"</f>
        <v>001</v>
      </c>
      <c r="D28">
        <v>1994</v>
      </c>
      <c r="E28" s="3">
        <v>4922000</v>
      </c>
      <c r="F28" s="3">
        <v>4152900</v>
      </c>
      <c r="G28" t="s">
        <v>11</v>
      </c>
      <c r="H28" s="5" t="s">
        <v>30</v>
      </c>
      <c r="I28" t="s">
        <v>13</v>
      </c>
      <c r="J28" t="s">
        <v>13</v>
      </c>
    </row>
    <row r="29" spans="1:11" x14ac:dyDescent="0.35">
      <c r="A29" t="s">
        <v>31</v>
      </c>
      <c r="B29" t="s">
        <v>13</v>
      </c>
      <c r="C29" t="s">
        <v>7</v>
      </c>
      <c r="D29" t="s">
        <v>8</v>
      </c>
      <c r="E29" s="3">
        <v>4922000</v>
      </c>
      <c r="F29" s="3">
        <v>4152900</v>
      </c>
      <c r="G29" t="s">
        <v>11</v>
      </c>
      <c r="H29" s="5">
        <v>67657700</v>
      </c>
      <c r="I29" t="s">
        <v>13</v>
      </c>
      <c r="J29" t="s">
        <v>13</v>
      </c>
      <c r="K29">
        <v>6.14</v>
      </c>
    </row>
    <row r="31" spans="1:11" x14ac:dyDescent="0.35">
      <c r="A31" t="s">
        <v>36</v>
      </c>
      <c r="B31" t="str">
        <f>"18201"</f>
        <v>18201</v>
      </c>
      <c r="C31" t="str">
        <f>"002"</f>
        <v>002</v>
      </c>
      <c r="D31">
        <v>2000</v>
      </c>
      <c r="E31" s="3">
        <v>13126100</v>
      </c>
      <c r="F31" s="3">
        <v>11931200</v>
      </c>
      <c r="G31" t="s">
        <v>11</v>
      </c>
      <c r="H31" s="5" t="s">
        <v>30</v>
      </c>
      <c r="I31" t="s">
        <v>13</v>
      </c>
      <c r="J31" t="s">
        <v>13</v>
      </c>
    </row>
    <row r="32" spans="1:11" x14ac:dyDescent="0.35">
      <c r="A32" t="s">
        <v>5</v>
      </c>
      <c r="B32" t="str">
        <f>"18201"</f>
        <v>18201</v>
      </c>
      <c r="C32" t="str">
        <f>"003"</f>
        <v>003</v>
      </c>
      <c r="D32">
        <v>2001</v>
      </c>
      <c r="E32" s="3">
        <v>273240500</v>
      </c>
      <c r="F32" s="3">
        <v>268403200</v>
      </c>
      <c r="G32" t="s">
        <v>11</v>
      </c>
      <c r="H32" s="5" t="s">
        <v>30</v>
      </c>
      <c r="I32" t="s">
        <v>13</v>
      </c>
      <c r="J32" t="s">
        <v>13</v>
      </c>
    </row>
    <row r="33" spans="1:11" x14ac:dyDescent="0.35">
      <c r="A33" t="s">
        <v>5</v>
      </c>
      <c r="B33" t="str">
        <f>"18201"</f>
        <v>18201</v>
      </c>
      <c r="C33" t="str">
        <f>"004"</f>
        <v>004</v>
      </c>
      <c r="D33">
        <v>2008</v>
      </c>
      <c r="E33" s="3">
        <v>34461200</v>
      </c>
      <c r="F33" s="3">
        <v>26769700</v>
      </c>
      <c r="G33" t="s">
        <v>11</v>
      </c>
      <c r="H33" s="5" t="s">
        <v>30</v>
      </c>
      <c r="I33" t="s">
        <v>13</v>
      </c>
      <c r="J33" t="s">
        <v>13</v>
      </c>
    </row>
    <row r="34" spans="1:11" x14ac:dyDescent="0.35">
      <c r="A34" t="s">
        <v>31</v>
      </c>
      <c r="B34" t="s">
        <v>13</v>
      </c>
      <c r="C34" t="s">
        <v>7</v>
      </c>
      <c r="D34" t="s">
        <v>8</v>
      </c>
      <c r="E34" s="3">
        <v>320827800</v>
      </c>
      <c r="F34" s="3">
        <v>307104100</v>
      </c>
      <c r="G34" t="s">
        <v>11</v>
      </c>
      <c r="H34" s="5">
        <v>1014445100</v>
      </c>
      <c r="I34" t="s">
        <v>13</v>
      </c>
      <c r="J34" t="s">
        <v>13</v>
      </c>
      <c r="K34">
        <v>30.27</v>
      </c>
    </row>
    <row r="36" spans="1:11" x14ac:dyDescent="0.35">
      <c r="A36" t="s">
        <v>37</v>
      </c>
      <c r="B36" t="str">
        <f>"48201"</f>
        <v>48201</v>
      </c>
      <c r="C36" t="str">
        <f>"006"</f>
        <v>006</v>
      </c>
      <c r="D36">
        <v>2004</v>
      </c>
      <c r="E36" s="3">
        <v>33144800</v>
      </c>
      <c r="F36" s="3">
        <v>12046300</v>
      </c>
      <c r="G36" t="s">
        <v>11</v>
      </c>
      <c r="H36" s="5" t="s">
        <v>30</v>
      </c>
      <c r="I36" t="s">
        <v>13</v>
      </c>
      <c r="J36" t="s">
        <v>13</v>
      </c>
    </row>
    <row r="37" spans="1:11" x14ac:dyDescent="0.35">
      <c r="A37" t="s">
        <v>5</v>
      </c>
      <c r="B37" t="str">
        <f>"48201"</f>
        <v>48201</v>
      </c>
      <c r="C37" t="str">
        <f>"007"</f>
        <v>007</v>
      </c>
      <c r="D37">
        <v>2010</v>
      </c>
      <c r="E37" s="3">
        <v>6074100</v>
      </c>
      <c r="F37" s="3">
        <v>2755600</v>
      </c>
      <c r="G37" t="s">
        <v>11</v>
      </c>
      <c r="H37" s="5" t="s">
        <v>30</v>
      </c>
      <c r="I37" t="s">
        <v>13</v>
      </c>
      <c r="J37" t="s">
        <v>13</v>
      </c>
    </row>
    <row r="38" spans="1:11" x14ac:dyDescent="0.35">
      <c r="A38" t="s">
        <v>5</v>
      </c>
      <c r="B38" t="str">
        <f>"48201"</f>
        <v>48201</v>
      </c>
      <c r="C38" t="str">
        <f>"008"</f>
        <v>008</v>
      </c>
      <c r="D38">
        <v>2016</v>
      </c>
      <c r="E38" s="3">
        <v>14223700</v>
      </c>
      <c r="F38" s="3">
        <v>3037500</v>
      </c>
      <c r="G38" t="s">
        <v>11</v>
      </c>
      <c r="H38" s="5" t="s">
        <v>30</v>
      </c>
      <c r="I38" t="s">
        <v>13</v>
      </c>
      <c r="J38" t="s">
        <v>13</v>
      </c>
    </row>
    <row r="39" spans="1:11" x14ac:dyDescent="0.35">
      <c r="A39" t="s">
        <v>5</v>
      </c>
      <c r="B39" t="str">
        <f>"48201"</f>
        <v>48201</v>
      </c>
      <c r="C39" t="str">
        <f>"009"</f>
        <v>009</v>
      </c>
      <c r="D39">
        <v>2019</v>
      </c>
      <c r="E39" s="3">
        <v>34560000</v>
      </c>
      <c r="F39" s="3">
        <v>6197100</v>
      </c>
      <c r="G39" t="s">
        <v>11</v>
      </c>
      <c r="H39" s="5" t="s">
        <v>30</v>
      </c>
      <c r="I39" t="s">
        <v>13</v>
      </c>
      <c r="J39" t="s">
        <v>13</v>
      </c>
    </row>
    <row r="40" spans="1:11" x14ac:dyDescent="0.35">
      <c r="A40" t="s">
        <v>31</v>
      </c>
      <c r="B40" t="s">
        <v>13</v>
      </c>
      <c r="C40" t="s">
        <v>7</v>
      </c>
      <c r="D40" t="s">
        <v>8</v>
      </c>
      <c r="E40" s="3">
        <v>88002600</v>
      </c>
      <c r="F40" s="3">
        <v>24036500</v>
      </c>
      <c r="G40" t="s">
        <v>11</v>
      </c>
      <c r="H40" s="5">
        <v>309446600</v>
      </c>
      <c r="I40" t="s">
        <v>13</v>
      </c>
      <c r="J40" t="s">
        <v>13</v>
      </c>
      <c r="K40">
        <v>7.77</v>
      </c>
    </row>
    <row r="42" spans="1:11" x14ac:dyDescent="0.35">
      <c r="A42" t="s">
        <v>38</v>
      </c>
      <c r="B42" t="str">
        <f>"49102"</f>
        <v>49102</v>
      </c>
      <c r="C42" t="str">
        <f>"002"</f>
        <v>002</v>
      </c>
      <c r="D42">
        <v>2003</v>
      </c>
      <c r="E42" s="3">
        <v>1841200</v>
      </c>
      <c r="F42" s="3">
        <v>1824000</v>
      </c>
      <c r="G42" t="s">
        <v>11</v>
      </c>
      <c r="H42" s="5" t="s">
        <v>30</v>
      </c>
      <c r="I42" t="s">
        <v>13</v>
      </c>
      <c r="J42" t="s">
        <v>13</v>
      </c>
    </row>
    <row r="43" spans="1:11" x14ac:dyDescent="0.35">
      <c r="A43" t="s">
        <v>31</v>
      </c>
      <c r="B43" t="s">
        <v>13</v>
      </c>
      <c r="C43" t="s">
        <v>7</v>
      </c>
      <c r="D43" t="s">
        <v>8</v>
      </c>
      <c r="E43" s="3">
        <v>1841200</v>
      </c>
      <c r="F43" s="3">
        <v>1824000</v>
      </c>
      <c r="G43" t="s">
        <v>11</v>
      </c>
      <c r="H43" s="5">
        <v>95441000</v>
      </c>
      <c r="I43" t="s">
        <v>13</v>
      </c>
      <c r="J43" t="s">
        <v>13</v>
      </c>
      <c r="K43">
        <v>1.91</v>
      </c>
    </row>
    <row r="45" spans="1:11" x14ac:dyDescent="0.35">
      <c r="A45" t="s">
        <v>39</v>
      </c>
      <c r="B45" t="str">
        <f>"34201"</f>
        <v>34201</v>
      </c>
      <c r="C45" t="str">
        <f>"003"</f>
        <v>003</v>
      </c>
      <c r="D45">
        <v>1999</v>
      </c>
      <c r="E45" s="3">
        <v>9131300</v>
      </c>
      <c r="F45" s="3">
        <v>3965300</v>
      </c>
      <c r="G45" t="s">
        <v>11</v>
      </c>
      <c r="H45" s="5" t="s">
        <v>30</v>
      </c>
      <c r="I45" t="s">
        <v>13</v>
      </c>
      <c r="J45" t="s">
        <v>13</v>
      </c>
    </row>
    <row r="46" spans="1:11" x14ac:dyDescent="0.35">
      <c r="A46" t="s">
        <v>5</v>
      </c>
      <c r="B46" t="str">
        <f>"34201"</f>
        <v>34201</v>
      </c>
      <c r="C46" t="str">
        <f>"004"</f>
        <v>004</v>
      </c>
      <c r="D46">
        <v>1999</v>
      </c>
      <c r="E46" s="3">
        <v>29469400</v>
      </c>
      <c r="F46" s="3">
        <v>11145400</v>
      </c>
      <c r="G46" t="s">
        <v>11</v>
      </c>
      <c r="H46" s="5" t="s">
        <v>30</v>
      </c>
      <c r="I46" t="s">
        <v>13</v>
      </c>
      <c r="J46" t="s">
        <v>13</v>
      </c>
    </row>
    <row r="47" spans="1:11" x14ac:dyDescent="0.35">
      <c r="A47" t="s">
        <v>5</v>
      </c>
      <c r="B47" t="str">
        <f>"34201"</f>
        <v>34201</v>
      </c>
      <c r="C47" t="str">
        <f>"005"</f>
        <v>005</v>
      </c>
      <c r="D47">
        <v>2001</v>
      </c>
      <c r="E47" s="3">
        <v>11355400</v>
      </c>
      <c r="F47" s="3">
        <v>2051200</v>
      </c>
      <c r="G47" t="s">
        <v>11</v>
      </c>
      <c r="H47" s="5" t="s">
        <v>30</v>
      </c>
      <c r="I47" t="s">
        <v>13</v>
      </c>
      <c r="J47" t="s">
        <v>13</v>
      </c>
    </row>
    <row r="48" spans="1:11" x14ac:dyDescent="0.35">
      <c r="A48" t="s">
        <v>5</v>
      </c>
      <c r="B48" t="str">
        <f>"34201"</f>
        <v>34201</v>
      </c>
      <c r="C48" t="str">
        <f>"006"</f>
        <v>006</v>
      </c>
      <c r="D48">
        <v>2008</v>
      </c>
      <c r="E48" s="3">
        <v>8783300</v>
      </c>
      <c r="F48" s="3">
        <v>8153500</v>
      </c>
      <c r="G48" t="s">
        <v>11</v>
      </c>
      <c r="H48" s="5" t="s">
        <v>30</v>
      </c>
      <c r="I48" t="s">
        <v>13</v>
      </c>
      <c r="J48" t="s">
        <v>13</v>
      </c>
    </row>
    <row r="49" spans="1:11" x14ac:dyDescent="0.35">
      <c r="A49" t="s">
        <v>5</v>
      </c>
      <c r="B49" t="str">
        <f>"34201"</f>
        <v>34201</v>
      </c>
      <c r="C49" t="str">
        <f>"007"</f>
        <v>007</v>
      </c>
      <c r="D49">
        <v>2010</v>
      </c>
      <c r="E49" s="3">
        <v>14657600</v>
      </c>
      <c r="F49" s="3">
        <v>312800</v>
      </c>
      <c r="G49" t="s">
        <v>11</v>
      </c>
      <c r="H49" s="5" t="s">
        <v>30</v>
      </c>
      <c r="I49" t="s">
        <v>13</v>
      </c>
      <c r="J49" t="s">
        <v>13</v>
      </c>
    </row>
    <row r="50" spans="1:11" x14ac:dyDescent="0.35">
      <c r="A50" t="s">
        <v>31</v>
      </c>
      <c r="B50" t="s">
        <v>13</v>
      </c>
      <c r="C50" t="s">
        <v>7</v>
      </c>
      <c r="D50" t="s">
        <v>8</v>
      </c>
      <c r="E50" s="3">
        <v>73397000</v>
      </c>
      <c r="F50" s="3">
        <v>25628200</v>
      </c>
      <c r="G50" t="s">
        <v>11</v>
      </c>
      <c r="H50" s="5">
        <v>429730700</v>
      </c>
      <c r="I50" t="s">
        <v>13</v>
      </c>
      <c r="J50" t="s">
        <v>13</v>
      </c>
      <c r="K50">
        <v>5.96</v>
      </c>
    </row>
    <row r="52" spans="1:11" x14ac:dyDescent="0.35">
      <c r="A52" t="s">
        <v>40</v>
      </c>
      <c r="B52" t="str">
        <f>"44201"</f>
        <v>44201</v>
      </c>
      <c r="C52" t="str">
        <f>"003"</f>
        <v>003</v>
      </c>
      <c r="D52">
        <v>1993</v>
      </c>
      <c r="E52" s="3">
        <v>76226200</v>
      </c>
      <c r="F52" s="3">
        <v>65221800</v>
      </c>
      <c r="G52" t="s">
        <v>11</v>
      </c>
      <c r="H52" s="5" t="s">
        <v>30</v>
      </c>
      <c r="I52" t="s">
        <v>13</v>
      </c>
      <c r="J52" t="s">
        <v>13</v>
      </c>
    </row>
    <row r="53" spans="1:11" x14ac:dyDescent="0.35">
      <c r="A53" t="s">
        <v>5</v>
      </c>
      <c r="B53" t="str">
        <f>"08201"</f>
        <v>08201</v>
      </c>
      <c r="C53" t="str">
        <f>"006"</f>
        <v>006</v>
      </c>
      <c r="D53">
        <v>2000</v>
      </c>
      <c r="E53" s="3">
        <v>175068300</v>
      </c>
      <c r="F53" s="3">
        <v>167931900</v>
      </c>
      <c r="G53" t="s">
        <v>11</v>
      </c>
      <c r="H53" s="5" t="s">
        <v>30</v>
      </c>
      <c r="I53" t="s">
        <v>13</v>
      </c>
      <c r="J53" t="s">
        <v>13</v>
      </c>
    </row>
    <row r="54" spans="1:11" x14ac:dyDescent="0.35">
      <c r="A54" t="s">
        <v>5</v>
      </c>
      <c r="B54" t="str">
        <f>"70201"</f>
        <v>70201</v>
      </c>
      <c r="C54" t="str">
        <f>"007"</f>
        <v>007</v>
      </c>
      <c r="D54">
        <v>2007</v>
      </c>
      <c r="E54" s="3">
        <v>46748600</v>
      </c>
      <c r="F54" s="3">
        <v>21091600</v>
      </c>
      <c r="G54" t="s">
        <v>11</v>
      </c>
      <c r="H54" s="5" t="s">
        <v>30</v>
      </c>
      <c r="I54" t="s">
        <v>13</v>
      </c>
      <c r="J54" t="s">
        <v>13</v>
      </c>
    </row>
    <row r="55" spans="1:11" x14ac:dyDescent="0.35">
      <c r="A55" t="s">
        <v>5</v>
      </c>
      <c r="B55" t="str">
        <f>"44201"</f>
        <v>44201</v>
      </c>
      <c r="C55" t="str">
        <f>"008"</f>
        <v>008</v>
      </c>
      <c r="D55">
        <v>2009</v>
      </c>
      <c r="E55" s="3">
        <v>105125500</v>
      </c>
      <c r="F55" s="3">
        <v>98990400</v>
      </c>
      <c r="G55" t="s">
        <v>11</v>
      </c>
      <c r="H55" s="5" t="s">
        <v>30</v>
      </c>
      <c r="I55" t="s">
        <v>13</v>
      </c>
      <c r="J55" t="s">
        <v>13</v>
      </c>
    </row>
    <row r="56" spans="1:11" x14ac:dyDescent="0.35">
      <c r="A56" t="s">
        <v>5</v>
      </c>
      <c r="B56" t="str">
        <f>"44201"</f>
        <v>44201</v>
      </c>
      <c r="C56" t="str">
        <f>"009"</f>
        <v>009</v>
      </c>
      <c r="D56">
        <v>2013</v>
      </c>
      <c r="E56" s="3">
        <v>23981000</v>
      </c>
      <c r="F56" s="3">
        <v>2468100</v>
      </c>
      <c r="G56" t="s">
        <v>11</v>
      </c>
      <c r="H56" s="5" t="s">
        <v>30</v>
      </c>
      <c r="I56" t="s">
        <v>13</v>
      </c>
      <c r="J56" t="s">
        <v>13</v>
      </c>
    </row>
    <row r="57" spans="1:11" x14ac:dyDescent="0.35">
      <c r="A57" t="s">
        <v>5</v>
      </c>
      <c r="B57" t="str">
        <f>"44201"</f>
        <v>44201</v>
      </c>
      <c r="C57" t="str">
        <f>"010"</f>
        <v>010</v>
      </c>
      <c r="D57">
        <v>2013</v>
      </c>
      <c r="E57" s="3">
        <v>26062800</v>
      </c>
      <c r="F57" s="3">
        <v>1518900</v>
      </c>
      <c r="G57" t="s">
        <v>11</v>
      </c>
      <c r="H57" s="5" t="s">
        <v>30</v>
      </c>
      <c r="I57" t="s">
        <v>13</v>
      </c>
      <c r="J57" t="s">
        <v>13</v>
      </c>
    </row>
    <row r="58" spans="1:11" x14ac:dyDescent="0.35">
      <c r="A58" t="s">
        <v>5</v>
      </c>
      <c r="B58" t="str">
        <f>"44201"</f>
        <v>44201</v>
      </c>
      <c r="C58" t="str">
        <f>"011"</f>
        <v>011</v>
      </c>
      <c r="D58">
        <v>2017</v>
      </c>
      <c r="E58" s="3">
        <v>140188200</v>
      </c>
      <c r="F58" s="3">
        <v>48120400</v>
      </c>
      <c r="G58" t="s">
        <v>11</v>
      </c>
      <c r="H58" s="5" t="s">
        <v>30</v>
      </c>
      <c r="I58" t="s">
        <v>13</v>
      </c>
      <c r="J58" t="s">
        <v>13</v>
      </c>
    </row>
    <row r="59" spans="1:11" x14ac:dyDescent="0.35">
      <c r="A59" t="s">
        <v>5</v>
      </c>
      <c r="B59" t="str">
        <f>"44201"</f>
        <v>44201</v>
      </c>
      <c r="C59" t="str">
        <f>"012"</f>
        <v>012</v>
      </c>
      <c r="D59">
        <v>2017</v>
      </c>
      <c r="E59" s="3">
        <v>46780600</v>
      </c>
      <c r="F59" s="3">
        <v>15857200</v>
      </c>
      <c r="G59" t="s">
        <v>11</v>
      </c>
      <c r="H59" s="5" t="s">
        <v>30</v>
      </c>
      <c r="I59" t="s">
        <v>13</v>
      </c>
      <c r="J59" t="s">
        <v>13</v>
      </c>
    </row>
    <row r="60" spans="1:11" x14ac:dyDescent="0.35">
      <c r="A60" t="s">
        <v>31</v>
      </c>
      <c r="B60" t="s">
        <v>13</v>
      </c>
      <c r="C60" t="s">
        <v>7</v>
      </c>
      <c r="D60" t="s">
        <v>8</v>
      </c>
      <c r="E60" s="3">
        <v>640181200</v>
      </c>
      <c r="F60" s="3">
        <v>421200300</v>
      </c>
      <c r="G60" t="s">
        <v>11</v>
      </c>
      <c r="H60" s="5">
        <v>7511516400</v>
      </c>
      <c r="I60" t="s">
        <v>13</v>
      </c>
      <c r="J60" t="s">
        <v>13</v>
      </c>
      <c r="K60">
        <v>5.61</v>
      </c>
    </row>
    <row r="62" spans="1:11" x14ac:dyDescent="0.35">
      <c r="A62" t="s">
        <v>41</v>
      </c>
      <c r="B62" t="str">
        <f>"61201"</f>
        <v>61201</v>
      </c>
      <c r="C62" t="str">
        <f>"003"</f>
        <v>003</v>
      </c>
      <c r="D62">
        <v>1994</v>
      </c>
      <c r="E62" s="3">
        <v>23139200</v>
      </c>
      <c r="F62" s="3">
        <v>22959100</v>
      </c>
      <c r="G62" t="s">
        <v>11</v>
      </c>
      <c r="H62" s="5" t="s">
        <v>30</v>
      </c>
      <c r="I62" t="s">
        <v>13</v>
      </c>
      <c r="J62" t="s">
        <v>13</v>
      </c>
    </row>
    <row r="63" spans="1:11" x14ac:dyDescent="0.35">
      <c r="A63" t="s">
        <v>5</v>
      </c>
      <c r="B63" t="str">
        <f>"61201"</f>
        <v>61201</v>
      </c>
      <c r="C63" t="str">
        <f>"004"</f>
        <v>004</v>
      </c>
      <c r="D63">
        <v>1994</v>
      </c>
      <c r="E63" s="3">
        <v>29026800</v>
      </c>
      <c r="F63" s="3">
        <v>28439700</v>
      </c>
      <c r="G63" t="s">
        <v>11</v>
      </c>
      <c r="H63" s="5" t="s">
        <v>30</v>
      </c>
      <c r="I63" t="s">
        <v>13</v>
      </c>
      <c r="J63" t="s">
        <v>13</v>
      </c>
    </row>
    <row r="64" spans="1:11" x14ac:dyDescent="0.35">
      <c r="A64" t="s">
        <v>31</v>
      </c>
      <c r="B64" t="s">
        <v>13</v>
      </c>
      <c r="C64" t="s">
        <v>7</v>
      </c>
      <c r="D64" t="s">
        <v>8</v>
      </c>
      <c r="E64" s="3">
        <v>52166000</v>
      </c>
      <c r="F64" s="3">
        <v>51398800</v>
      </c>
      <c r="G64" t="s">
        <v>11</v>
      </c>
      <c r="H64" s="5">
        <v>231882200</v>
      </c>
      <c r="I64" t="s">
        <v>13</v>
      </c>
      <c r="J64" t="s">
        <v>13</v>
      </c>
      <c r="K64">
        <v>22.17</v>
      </c>
    </row>
    <row r="66" spans="1:11" x14ac:dyDescent="0.35">
      <c r="A66" t="s">
        <v>42</v>
      </c>
      <c r="B66" t="str">
        <f>"25101"</f>
        <v>25101</v>
      </c>
      <c r="C66" t="str">
        <f>"001"</f>
        <v>001</v>
      </c>
      <c r="D66">
        <v>2006</v>
      </c>
      <c r="E66" s="3">
        <v>19969900</v>
      </c>
      <c r="F66" s="3">
        <v>14749600</v>
      </c>
      <c r="G66" t="s">
        <v>11</v>
      </c>
      <c r="H66" s="5" t="s">
        <v>30</v>
      </c>
      <c r="I66" t="s">
        <v>13</v>
      </c>
      <c r="J66" t="s">
        <v>13</v>
      </c>
    </row>
    <row r="67" spans="1:11" x14ac:dyDescent="0.35">
      <c r="A67" t="s">
        <v>31</v>
      </c>
      <c r="B67" t="s">
        <v>13</v>
      </c>
      <c r="C67" t="s">
        <v>7</v>
      </c>
      <c r="D67" t="s">
        <v>8</v>
      </c>
      <c r="E67" s="3">
        <v>19969900</v>
      </c>
      <c r="F67" s="3">
        <v>14749600</v>
      </c>
      <c r="G67" t="s">
        <v>11</v>
      </c>
      <c r="H67" s="5">
        <v>66255900</v>
      </c>
      <c r="I67" t="s">
        <v>13</v>
      </c>
      <c r="J67" t="s">
        <v>13</v>
      </c>
      <c r="K67">
        <v>22.26</v>
      </c>
    </row>
    <row r="69" spans="1:11" x14ac:dyDescent="0.35">
      <c r="A69" t="s">
        <v>43</v>
      </c>
      <c r="B69" t="str">
        <f>"33101"</f>
        <v>33101</v>
      </c>
      <c r="C69" t="str">
        <f>"003"</f>
        <v>003</v>
      </c>
      <c r="D69">
        <v>2012</v>
      </c>
      <c r="E69" s="3">
        <v>2943200</v>
      </c>
      <c r="F69" s="3">
        <v>1191700</v>
      </c>
      <c r="G69" t="s">
        <v>11</v>
      </c>
      <c r="H69" s="5" t="s">
        <v>30</v>
      </c>
      <c r="I69" t="s">
        <v>13</v>
      </c>
      <c r="J69" t="s">
        <v>13</v>
      </c>
    </row>
    <row r="70" spans="1:11" x14ac:dyDescent="0.35">
      <c r="A70" t="s">
        <v>31</v>
      </c>
      <c r="B70" t="s">
        <v>13</v>
      </c>
      <c r="C70" t="s">
        <v>7</v>
      </c>
      <c r="D70" t="s">
        <v>8</v>
      </c>
      <c r="E70" s="3">
        <v>2943200</v>
      </c>
      <c r="F70" s="3">
        <v>1191700</v>
      </c>
      <c r="G70" t="s">
        <v>11</v>
      </c>
      <c r="H70" s="5">
        <v>47675500</v>
      </c>
      <c r="I70" t="s">
        <v>13</v>
      </c>
      <c r="J70" t="s">
        <v>13</v>
      </c>
      <c r="K70">
        <v>2.5</v>
      </c>
    </row>
    <row r="72" spans="1:11" x14ac:dyDescent="0.35">
      <c r="A72" t="s">
        <v>44</v>
      </c>
      <c r="B72" t="str">
        <f>"11101"</f>
        <v>11101</v>
      </c>
      <c r="C72" t="str">
        <f>"001"</f>
        <v>001</v>
      </c>
      <c r="D72">
        <v>1999</v>
      </c>
      <c r="E72" s="3">
        <v>13687700</v>
      </c>
      <c r="F72" s="3">
        <v>11184800</v>
      </c>
      <c r="G72" t="s">
        <v>11</v>
      </c>
      <c r="H72" s="5" t="s">
        <v>30</v>
      </c>
      <c r="I72" t="s">
        <v>13</v>
      </c>
      <c r="J72" t="s">
        <v>13</v>
      </c>
    </row>
    <row r="73" spans="1:11" x14ac:dyDescent="0.35">
      <c r="A73" t="s">
        <v>31</v>
      </c>
      <c r="B73" t="s">
        <v>13</v>
      </c>
      <c r="C73" t="s">
        <v>7</v>
      </c>
      <c r="D73" t="s">
        <v>8</v>
      </c>
      <c r="E73" s="3">
        <v>13687700</v>
      </c>
      <c r="F73" s="3">
        <v>11184800</v>
      </c>
      <c r="G73" t="s">
        <v>11</v>
      </c>
      <c r="H73" s="5">
        <v>105469700</v>
      </c>
      <c r="I73" t="s">
        <v>13</v>
      </c>
      <c r="J73" t="s">
        <v>13</v>
      </c>
      <c r="K73">
        <v>10.6</v>
      </c>
    </row>
    <row r="75" spans="1:11" x14ac:dyDescent="0.35">
      <c r="A75" t="s">
        <v>45</v>
      </c>
      <c r="B75" t="str">
        <f>"02201"</f>
        <v>02201</v>
      </c>
      <c r="C75" t="str">
        <f>"006"</f>
        <v>006</v>
      </c>
      <c r="D75">
        <v>1994</v>
      </c>
      <c r="E75" s="3">
        <v>18320300</v>
      </c>
      <c r="F75" s="3">
        <v>12660700</v>
      </c>
      <c r="G75" t="s">
        <v>11</v>
      </c>
      <c r="H75" s="5" t="s">
        <v>30</v>
      </c>
      <c r="I75" t="s">
        <v>13</v>
      </c>
      <c r="J75" t="s">
        <v>13</v>
      </c>
    </row>
    <row r="76" spans="1:11" x14ac:dyDescent="0.35">
      <c r="A76" t="s">
        <v>5</v>
      </c>
      <c r="B76" t="str">
        <f>"02201"</f>
        <v>02201</v>
      </c>
      <c r="C76" t="str">
        <f>"009"</f>
        <v>009</v>
      </c>
      <c r="D76">
        <v>2006</v>
      </c>
      <c r="E76" s="3">
        <v>12431400</v>
      </c>
      <c r="F76" s="3">
        <v>10071800</v>
      </c>
      <c r="G76" t="s">
        <v>11</v>
      </c>
      <c r="H76" s="5" t="s">
        <v>30</v>
      </c>
      <c r="I76" t="s">
        <v>13</v>
      </c>
      <c r="J76" t="s">
        <v>13</v>
      </c>
    </row>
    <row r="77" spans="1:11" x14ac:dyDescent="0.35">
      <c r="A77" t="s">
        <v>5</v>
      </c>
      <c r="B77" t="str">
        <f>"02201"</f>
        <v>02201</v>
      </c>
      <c r="C77" t="str">
        <f>"010"</f>
        <v>010</v>
      </c>
      <c r="D77">
        <v>2017</v>
      </c>
      <c r="E77" s="3">
        <v>9700700</v>
      </c>
      <c r="F77" s="3">
        <v>5304400</v>
      </c>
      <c r="G77" t="s">
        <v>11</v>
      </c>
      <c r="H77" s="5" t="s">
        <v>30</v>
      </c>
      <c r="I77" t="s">
        <v>13</v>
      </c>
      <c r="J77" t="s">
        <v>13</v>
      </c>
    </row>
    <row r="78" spans="1:11" x14ac:dyDescent="0.35">
      <c r="A78" t="s">
        <v>31</v>
      </c>
      <c r="B78" t="s">
        <v>13</v>
      </c>
      <c r="C78" t="s">
        <v>7</v>
      </c>
      <c r="D78" t="s">
        <v>8</v>
      </c>
      <c r="E78" s="3">
        <v>40452400</v>
      </c>
      <c r="F78" s="3">
        <v>28036900</v>
      </c>
      <c r="G78" t="s">
        <v>11</v>
      </c>
      <c r="H78" s="5">
        <v>549565000</v>
      </c>
      <c r="I78" t="s">
        <v>13</v>
      </c>
      <c r="J78" t="s">
        <v>13</v>
      </c>
      <c r="K78">
        <v>5.0999999999999996</v>
      </c>
    </row>
    <row r="80" spans="1:11" x14ac:dyDescent="0.35">
      <c r="A80" t="s">
        <v>46</v>
      </c>
      <c r="B80" t="str">
        <f>"05104"</f>
        <v>05104</v>
      </c>
      <c r="C80" t="str">
        <f>"003"</f>
        <v>003</v>
      </c>
      <c r="D80">
        <v>2008</v>
      </c>
      <c r="E80" s="3">
        <v>755582500</v>
      </c>
      <c r="F80" s="3">
        <v>406328600</v>
      </c>
      <c r="G80" t="s">
        <v>11</v>
      </c>
      <c r="H80" s="5" t="s">
        <v>30</v>
      </c>
      <c r="I80" t="s">
        <v>13</v>
      </c>
      <c r="J80" t="s">
        <v>13</v>
      </c>
    </row>
    <row r="81" spans="1:11" x14ac:dyDescent="0.35">
      <c r="A81" t="s">
        <v>5</v>
      </c>
      <c r="B81" t="str">
        <f>"05104"</f>
        <v>05104</v>
      </c>
      <c r="C81" t="str">
        <f>"004"</f>
        <v>004</v>
      </c>
      <c r="D81">
        <v>2008</v>
      </c>
      <c r="E81" s="3">
        <v>96846900</v>
      </c>
      <c r="F81" s="3">
        <v>80859500</v>
      </c>
      <c r="G81" t="s">
        <v>11</v>
      </c>
      <c r="H81" s="5" t="s">
        <v>30</v>
      </c>
      <c r="I81" t="s">
        <v>13</v>
      </c>
      <c r="J81" t="s">
        <v>13</v>
      </c>
    </row>
    <row r="82" spans="1:11" x14ac:dyDescent="0.35">
      <c r="A82" t="s">
        <v>5</v>
      </c>
      <c r="B82" t="str">
        <f>"05104"</f>
        <v>05104</v>
      </c>
      <c r="C82" t="str">
        <f>"005"</f>
        <v>005</v>
      </c>
      <c r="D82">
        <v>2014</v>
      </c>
      <c r="E82" s="3">
        <v>138797700</v>
      </c>
      <c r="F82" s="3">
        <v>53523400</v>
      </c>
      <c r="G82" t="s">
        <v>11</v>
      </c>
      <c r="H82" s="5" t="s">
        <v>30</v>
      </c>
      <c r="I82" t="s">
        <v>13</v>
      </c>
      <c r="J82" t="s">
        <v>13</v>
      </c>
    </row>
    <row r="83" spans="1:11" x14ac:dyDescent="0.35">
      <c r="A83" t="s">
        <v>31</v>
      </c>
      <c r="B83" t="s">
        <v>13</v>
      </c>
      <c r="C83" t="s">
        <v>7</v>
      </c>
      <c r="D83" t="s">
        <v>8</v>
      </c>
      <c r="E83" s="3">
        <v>991227100</v>
      </c>
      <c r="F83" s="3">
        <v>540711500</v>
      </c>
      <c r="G83" t="s">
        <v>11</v>
      </c>
      <c r="H83" s="5">
        <v>3133142400</v>
      </c>
      <c r="I83" t="s">
        <v>13</v>
      </c>
      <c r="J83" t="s">
        <v>13</v>
      </c>
      <c r="K83">
        <v>17.260000000000002</v>
      </c>
    </row>
    <row r="85" spans="1:11" x14ac:dyDescent="0.35">
      <c r="A85" t="s">
        <v>47</v>
      </c>
      <c r="B85" t="str">
        <f>"37102"</f>
        <v>37102</v>
      </c>
      <c r="C85" t="str">
        <f>"001"</f>
        <v>001</v>
      </c>
      <c r="D85">
        <v>1995</v>
      </c>
      <c r="E85" s="3">
        <v>6625100</v>
      </c>
      <c r="F85" s="3">
        <v>6580600</v>
      </c>
      <c r="G85" t="s">
        <v>11</v>
      </c>
      <c r="H85" s="5" t="s">
        <v>30</v>
      </c>
      <c r="I85" t="s">
        <v>13</v>
      </c>
      <c r="J85" t="s">
        <v>13</v>
      </c>
    </row>
    <row r="86" spans="1:11" x14ac:dyDescent="0.35">
      <c r="A86" t="s">
        <v>5</v>
      </c>
      <c r="B86" t="str">
        <f>"37102"</f>
        <v>37102</v>
      </c>
      <c r="C86" t="str">
        <f>"002"</f>
        <v>002</v>
      </c>
      <c r="D86">
        <v>2007</v>
      </c>
      <c r="E86" s="3">
        <v>13241100</v>
      </c>
      <c r="F86" s="3">
        <v>11351600</v>
      </c>
      <c r="G86" t="s">
        <v>11</v>
      </c>
      <c r="H86" s="5" t="s">
        <v>30</v>
      </c>
      <c r="I86" t="s">
        <v>13</v>
      </c>
      <c r="J86" t="s">
        <v>13</v>
      </c>
    </row>
    <row r="87" spans="1:11" x14ac:dyDescent="0.35">
      <c r="A87" t="s">
        <v>31</v>
      </c>
      <c r="B87" t="s">
        <v>13</v>
      </c>
      <c r="C87" t="s">
        <v>7</v>
      </c>
      <c r="D87" t="s">
        <v>8</v>
      </c>
      <c r="E87" s="3">
        <v>19866200</v>
      </c>
      <c r="F87" s="3">
        <v>17932200</v>
      </c>
      <c r="G87" t="s">
        <v>11</v>
      </c>
      <c r="H87" s="5">
        <v>88727700</v>
      </c>
      <c r="I87" t="s">
        <v>13</v>
      </c>
      <c r="J87" t="s">
        <v>13</v>
      </c>
      <c r="K87">
        <v>20.21</v>
      </c>
    </row>
    <row r="89" spans="1:11" x14ac:dyDescent="0.35">
      <c r="A89" t="s">
        <v>48</v>
      </c>
      <c r="B89" t="str">
        <f>"71101"</f>
        <v>71101</v>
      </c>
      <c r="C89" t="str">
        <f>"001"</f>
        <v>001</v>
      </c>
      <c r="D89">
        <v>2006</v>
      </c>
      <c r="E89" s="3">
        <v>4310100</v>
      </c>
      <c r="F89" s="3">
        <v>2237100</v>
      </c>
      <c r="G89" t="s">
        <v>11</v>
      </c>
      <c r="H89" s="5" t="s">
        <v>30</v>
      </c>
      <c r="I89" t="s">
        <v>13</v>
      </c>
      <c r="J89" t="s">
        <v>13</v>
      </c>
    </row>
    <row r="90" spans="1:11" x14ac:dyDescent="0.35">
      <c r="A90" t="s">
        <v>5</v>
      </c>
      <c r="B90" t="str">
        <f>"71101"</f>
        <v>71101</v>
      </c>
      <c r="C90" t="str">
        <f>"002"</f>
        <v>002</v>
      </c>
      <c r="D90">
        <v>2015</v>
      </c>
      <c r="E90" s="3">
        <v>3169700</v>
      </c>
      <c r="F90" s="3">
        <v>1369300</v>
      </c>
      <c r="G90" t="s">
        <v>11</v>
      </c>
      <c r="H90" s="5" t="s">
        <v>30</v>
      </c>
      <c r="I90" t="s">
        <v>13</v>
      </c>
      <c r="J90" t="s">
        <v>13</v>
      </c>
    </row>
    <row r="91" spans="1:11" x14ac:dyDescent="0.35">
      <c r="A91" t="s">
        <v>31</v>
      </c>
      <c r="B91" t="s">
        <v>13</v>
      </c>
      <c r="C91" t="s">
        <v>7</v>
      </c>
      <c r="D91" t="s">
        <v>8</v>
      </c>
      <c r="E91" s="3">
        <v>7479800</v>
      </c>
      <c r="F91" s="3">
        <v>3606400</v>
      </c>
      <c r="G91" t="s">
        <v>11</v>
      </c>
      <c r="H91" s="5">
        <v>45507900</v>
      </c>
      <c r="I91" t="s">
        <v>13</v>
      </c>
      <c r="J91" t="s">
        <v>13</v>
      </c>
      <c r="K91">
        <v>7.92</v>
      </c>
    </row>
    <row r="93" spans="1:11" x14ac:dyDescent="0.35">
      <c r="A93" t="s">
        <v>49</v>
      </c>
      <c r="B93" t="str">
        <f>"18202"</f>
        <v>18202</v>
      </c>
      <c r="C93" t="str">
        <f>"004"</f>
        <v>004</v>
      </c>
      <c r="D93">
        <v>2005</v>
      </c>
      <c r="E93" s="3">
        <v>19565300</v>
      </c>
      <c r="F93" s="3">
        <v>15609600</v>
      </c>
      <c r="G93" t="s">
        <v>11</v>
      </c>
      <c r="H93" s="5" t="s">
        <v>30</v>
      </c>
      <c r="I93" t="s">
        <v>13</v>
      </c>
      <c r="J93" t="s">
        <v>13</v>
      </c>
    </row>
    <row r="94" spans="1:11" x14ac:dyDescent="0.35">
      <c r="A94" t="s">
        <v>31</v>
      </c>
      <c r="B94" t="s">
        <v>13</v>
      </c>
      <c r="C94" t="s">
        <v>7</v>
      </c>
      <c r="D94" t="s">
        <v>8</v>
      </c>
      <c r="E94" s="3">
        <v>19565300</v>
      </c>
      <c r="F94" s="3">
        <v>15609600</v>
      </c>
      <c r="G94" t="s">
        <v>11</v>
      </c>
      <c r="H94" s="5">
        <v>107403400</v>
      </c>
      <c r="I94" t="s">
        <v>13</v>
      </c>
      <c r="J94" t="s">
        <v>13</v>
      </c>
      <c r="K94">
        <v>14.53</v>
      </c>
    </row>
    <row r="96" spans="1:11" x14ac:dyDescent="0.35">
      <c r="A96" t="s">
        <v>50</v>
      </c>
      <c r="B96" t="str">
        <f>"55106"</f>
        <v>55106</v>
      </c>
      <c r="C96" t="str">
        <f>"005"</f>
        <v>005</v>
      </c>
      <c r="D96">
        <v>1995</v>
      </c>
      <c r="E96" s="3">
        <v>3517000</v>
      </c>
      <c r="F96" s="3">
        <v>3494500</v>
      </c>
      <c r="G96" t="s">
        <v>11</v>
      </c>
      <c r="H96" s="5" t="s">
        <v>30</v>
      </c>
      <c r="I96" t="s">
        <v>13</v>
      </c>
      <c r="J96" t="s">
        <v>13</v>
      </c>
    </row>
    <row r="97" spans="1:11" x14ac:dyDescent="0.35">
      <c r="A97" t="s">
        <v>5</v>
      </c>
      <c r="B97" t="str">
        <f>"55106"</f>
        <v>55106</v>
      </c>
      <c r="C97" t="str">
        <f>"006"</f>
        <v>006</v>
      </c>
      <c r="D97">
        <v>2005</v>
      </c>
      <c r="E97" s="3">
        <v>14030900</v>
      </c>
      <c r="F97" s="3">
        <v>1806400</v>
      </c>
      <c r="G97" t="s">
        <v>11</v>
      </c>
      <c r="H97" s="5" t="s">
        <v>30</v>
      </c>
      <c r="I97" t="s">
        <v>13</v>
      </c>
      <c r="J97" t="s">
        <v>13</v>
      </c>
    </row>
    <row r="98" spans="1:11" x14ac:dyDescent="0.35">
      <c r="A98" t="s">
        <v>5</v>
      </c>
      <c r="B98" t="str">
        <f>"55106"</f>
        <v>55106</v>
      </c>
      <c r="C98" t="str">
        <f>"007"</f>
        <v>007</v>
      </c>
      <c r="D98">
        <v>2007</v>
      </c>
      <c r="E98" s="3">
        <v>17353000</v>
      </c>
      <c r="F98" s="3">
        <v>12350800</v>
      </c>
      <c r="G98" t="s">
        <v>11</v>
      </c>
      <c r="H98" s="5" t="s">
        <v>30</v>
      </c>
      <c r="I98" t="s">
        <v>13</v>
      </c>
      <c r="J98" t="s">
        <v>13</v>
      </c>
    </row>
    <row r="99" spans="1:11" x14ac:dyDescent="0.35">
      <c r="A99" t="s">
        <v>31</v>
      </c>
      <c r="B99" t="s">
        <v>13</v>
      </c>
      <c r="C99" t="s">
        <v>7</v>
      </c>
      <c r="D99" t="s">
        <v>8</v>
      </c>
      <c r="E99" s="3">
        <v>34900900</v>
      </c>
      <c r="F99" s="3">
        <v>17651700</v>
      </c>
      <c r="G99" t="s">
        <v>11</v>
      </c>
      <c r="H99" s="5">
        <v>449422600</v>
      </c>
      <c r="I99" t="s">
        <v>13</v>
      </c>
      <c r="J99" t="s">
        <v>13</v>
      </c>
      <c r="K99">
        <v>3.93</v>
      </c>
    </row>
    <row r="101" spans="1:11" x14ac:dyDescent="0.35">
      <c r="A101" t="s">
        <v>51</v>
      </c>
      <c r="B101" t="str">
        <f>"48106"</f>
        <v>48106</v>
      </c>
      <c r="C101" t="str">
        <f>"002"</f>
        <v>002</v>
      </c>
      <c r="D101">
        <v>1995</v>
      </c>
      <c r="E101" s="3">
        <v>3427800</v>
      </c>
      <c r="F101" s="3">
        <v>3416000</v>
      </c>
      <c r="G101" t="s">
        <v>11</v>
      </c>
      <c r="H101" s="5" t="s">
        <v>30</v>
      </c>
      <c r="I101" t="s">
        <v>13</v>
      </c>
      <c r="J101" t="s">
        <v>13</v>
      </c>
    </row>
    <row r="102" spans="1:11" x14ac:dyDescent="0.35">
      <c r="A102" t="s">
        <v>5</v>
      </c>
      <c r="B102" t="str">
        <f>"48106"</f>
        <v>48106</v>
      </c>
      <c r="C102" t="str">
        <f>"003"</f>
        <v>003</v>
      </c>
      <c r="D102">
        <v>2004</v>
      </c>
      <c r="E102" s="3">
        <v>0</v>
      </c>
      <c r="F102" s="3">
        <v>-22300</v>
      </c>
      <c r="G102" t="s">
        <v>52</v>
      </c>
      <c r="H102" s="5" t="s">
        <v>30</v>
      </c>
      <c r="I102" t="s">
        <v>13</v>
      </c>
      <c r="J102" t="s">
        <v>13</v>
      </c>
    </row>
    <row r="103" spans="1:11" x14ac:dyDescent="0.35">
      <c r="A103" t="s">
        <v>5</v>
      </c>
      <c r="B103" t="str">
        <f>"48106"</f>
        <v>48106</v>
      </c>
      <c r="C103" t="str">
        <f>"005"</f>
        <v>005</v>
      </c>
      <c r="D103">
        <v>2006</v>
      </c>
      <c r="E103" s="3">
        <v>9625000</v>
      </c>
      <c r="F103" s="3">
        <v>1889900</v>
      </c>
      <c r="G103" t="s">
        <v>11</v>
      </c>
      <c r="H103" s="5" t="s">
        <v>30</v>
      </c>
      <c r="I103" t="s">
        <v>13</v>
      </c>
      <c r="J103" t="s">
        <v>13</v>
      </c>
    </row>
    <row r="104" spans="1:11" x14ac:dyDescent="0.35">
      <c r="A104" t="s">
        <v>5</v>
      </c>
      <c r="B104" t="str">
        <f>"48106"</f>
        <v>48106</v>
      </c>
      <c r="C104" t="str">
        <f>"006"</f>
        <v>006</v>
      </c>
      <c r="D104">
        <v>2013</v>
      </c>
      <c r="E104" s="3">
        <v>10951500</v>
      </c>
      <c r="F104" s="3">
        <v>3157900</v>
      </c>
      <c r="G104" t="s">
        <v>11</v>
      </c>
      <c r="H104" s="5" t="s">
        <v>30</v>
      </c>
      <c r="I104" t="s">
        <v>13</v>
      </c>
      <c r="J104" t="s">
        <v>13</v>
      </c>
    </row>
    <row r="105" spans="1:11" x14ac:dyDescent="0.35">
      <c r="A105" t="s">
        <v>31</v>
      </c>
      <c r="B105" t="s">
        <v>13</v>
      </c>
      <c r="C105" t="s">
        <v>7</v>
      </c>
      <c r="D105" t="s">
        <v>8</v>
      </c>
      <c r="E105" s="3">
        <v>24004300</v>
      </c>
      <c r="F105" s="3">
        <v>8463800</v>
      </c>
      <c r="G105" t="s">
        <v>11</v>
      </c>
      <c r="H105" s="5">
        <v>170581200</v>
      </c>
      <c r="I105" t="s">
        <v>13</v>
      </c>
      <c r="J105" t="s">
        <v>13</v>
      </c>
      <c r="K105">
        <v>4.96</v>
      </c>
    </row>
    <row r="107" spans="1:11" x14ac:dyDescent="0.35">
      <c r="A107" t="s">
        <v>53</v>
      </c>
      <c r="B107" t="str">
        <f>"32106"</f>
        <v>32106</v>
      </c>
      <c r="C107" t="str">
        <f>"001"</f>
        <v>001</v>
      </c>
      <c r="D107">
        <v>2008</v>
      </c>
      <c r="E107" s="3">
        <v>2285400</v>
      </c>
      <c r="F107" s="3">
        <v>1800600</v>
      </c>
      <c r="G107" t="s">
        <v>11</v>
      </c>
      <c r="H107" s="5" t="s">
        <v>30</v>
      </c>
      <c r="I107" t="s">
        <v>13</v>
      </c>
      <c r="J107" t="s">
        <v>13</v>
      </c>
    </row>
    <row r="108" spans="1:11" x14ac:dyDescent="0.35">
      <c r="A108" t="s">
        <v>5</v>
      </c>
      <c r="B108" t="str">
        <f>"32106"</f>
        <v>32106</v>
      </c>
      <c r="C108" t="str">
        <f>"002"</f>
        <v>002</v>
      </c>
      <c r="D108">
        <v>2015</v>
      </c>
      <c r="E108" s="3">
        <v>2656700</v>
      </c>
      <c r="F108" s="3">
        <v>2036200</v>
      </c>
      <c r="G108" t="s">
        <v>11</v>
      </c>
      <c r="H108" s="5" t="s">
        <v>30</v>
      </c>
      <c r="I108" t="s">
        <v>13</v>
      </c>
      <c r="J108" t="s">
        <v>13</v>
      </c>
    </row>
    <row r="109" spans="1:11" x14ac:dyDescent="0.35">
      <c r="A109" t="s">
        <v>31</v>
      </c>
      <c r="B109" t="s">
        <v>13</v>
      </c>
      <c r="C109" t="s">
        <v>7</v>
      </c>
      <c r="D109" t="s">
        <v>8</v>
      </c>
      <c r="E109" s="3">
        <v>4942100</v>
      </c>
      <c r="F109" s="3">
        <v>3836800</v>
      </c>
      <c r="G109" t="s">
        <v>11</v>
      </c>
      <c r="H109" s="5">
        <v>120233100</v>
      </c>
      <c r="I109" t="s">
        <v>13</v>
      </c>
      <c r="J109" t="s">
        <v>13</v>
      </c>
      <c r="K109">
        <v>3.19</v>
      </c>
    </row>
    <row r="111" spans="1:11" x14ac:dyDescent="0.35">
      <c r="A111" t="s">
        <v>54</v>
      </c>
      <c r="B111" t="str">
        <f t="shared" ref="B111:B116" si="0">"56206"</f>
        <v>56206</v>
      </c>
      <c r="C111" t="str">
        <f>"006"</f>
        <v>006</v>
      </c>
      <c r="D111">
        <v>1999</v>
      </c>
      <c r="E111" s="3">
        <v>45982700</v>
      </c>
      <c r="F111" s="3">
        <v>37824700</v>
      </c>
      <c r="G111" t="s">
        <v>11</v>
      </c>
      <c r="H111" s="5" t="s">
        <v>30</v>
      </c>
      <c r="I111" t="s">
        <v>13</v>
      </c>
      <c r="J111" t="s">
        <v>13</v>
      </c>
    </row>
    <row r="112" spans="1:11" x14ac:dyDescent="0.35">
      <c r="A112" t="s">
        <v>5</v>
      </c>
      <c r="B112" t="str">
        <f t="shared" si="0"/>
        <v>56206</v>
      </c>
      <c r="C112" t="str">
        <f>"007"</f>
        <v>007</v>
      </c>
      <c r="D112">
        <v>2006</v>
      </c>
      <c r="E112" s="3">
        <v>10673500</v>
      </c>
      <c r="F112" s="3">
        <v>10425200</v>
      </c>
      <c r="G112" t="s">
        <v>11</v>
      </c>
      <c r="H112" s="5" t="s">
        <v>30</v>
      </c>
      <c r="I112" t="s">
        <v>13</v>
      </c>
      <c r="J112" t="s">
        <v>13</v>
      </c>
    </row>
    <row r="113" spans="1:11" x14ac:dyDescent="0.35">
      <c r="A113" t="s">
        <v>5</v>
      </c>
      <c r="B113" t="str">
        <f t="shared" si="0"/>
        <v>56206</v>
      </c>
      <c r="C113" t="str">
        <f>"008"</f>
        <v>008</v>
      </c>
      <c r="D113">
        <v>2006</v>
      </c>
      <c r="E113" s="3">
        <v>18907600</v>
      </c>
      <c r="F113" s="3">
        <v>1391000</v>
      </c>
      <c r="G113" t="s">
        <v>11</v>
      </c>
      <c r="H113" s="5" t="s">
        <v>30</v>
      </c>
      <c r="I113" t="s">
        <v>13</v>
      </c>
      <c r="J113" t="s">
        <v>13</v>
      </c>
    </row>
    <row r="114" spans="1:11" x14ac:dyDescent="0.35">
      <c r="A114" t="s">
        <v>5</v>
      </c>
      <c r="B114" t="str">
        <f t="shared" si="0"/>
        <v>56206</v>
      </c>
      <c r="C114" t="str">
        <f>"010"</f>
        <v>010</v>
      </c>
      <c r="D114">
        <v>2020</v>
      </c>
      <c r="E114" s="3">
        <v>9488300</v>
      </c>
      <c r="F114" s="3">
        <v>5889500</v>
      </c>
      <c r="G114" t="s">
        <v>11</v>
      </c>
      <c r="H114" s="5" t="s">
        <v>30</v>
      </c>
      <c r="I114" t="s">
        <v>13</v>
      </c>
      <c r="J114" t="s">
        <v>13</v>
      </c>
    </row>
    <row r="115" spans="1:11" x14ac:dyDescent="0.35">
      <c r="A115" t="s">
        <v>5</v>
      </c>
      <c r="B115" t="str">
        <f t="shared" si="0"/>
        <v>56206</v>
      </c>
      <c r="C115" t="str">
        <f>"011"</f>
        <v>011</v>
      </c>
      <c r="D115">
        <v>2020</v>
      </c>
      <c r="E115" s="3">
        <v>14132200</v>
      </c>
      <c r="F115" s="3">
        <v>3458700</v>
      </c>
      <c r="G115" t="s">
        <v>11</v>
      </c>
      <c r="H115" s="5" t="s">
        <v>30</v>
      </c>
      <c r="I115" t="s">
        <v>13</v>
      </c>
      <c r="J115" t="s">
        <v>13</v>
      </c>
    </row>
    <row r="116" spans="1:11" x14ac:dyDescent="0.35">
      <c r="A116" t="s">
        <v>5</v>
      </c>
      <c r="B116" t="str">
        <f t="shared" si="0"/>
        <v>56206</v>
      </c>
      <c r="C116" t="str">
        <f>"012"</f>
        <v>012</v>
      </c>
      <c r="D116">
        <v>2021</v>
      </c>
      <c r="E116" s="3">
        <v>21320900</v>
      </c>
      <c r="F116" s="3">
        <v>4078500</v>
      </c>
      <c r="G116" t="s">
        <v>11</v>
      </c>
      <c r="H116" s="5" t="s">
        <v>30</v>
      </c>
      <c r="I116" t="s">
        <v>13</v>
      </c>
      <c r="J116" t="s">
        <v>13</v>
      </c>
    </row>
    <row r="117" spans="1:11" x14ac:dyDescent="0.35">
      <c r="A117" t="s">
        <v>31</v>
      </c>
      <c r="B117" t="s">
        <v>13</v>
      </c>
      <c r="C117" t="s">
        <v>7</v>
      </c>
      <c r="D117" t="s">
        <v>8</v>
      </c>
      <c r="E117" s="3">
        <v>120505200</v>
      </c>
      <c r="F117" s="3">
        <v>63067600</v>
      </c>
      <c r="G117" t="s">
        <v>11</v>
      </c>
      <c r="H117" s="5">
        <v>1154957000</v>
      </c>
      <c r="I117" t="s">
        <v>13</v>
      </c>
      <c r="J117" t="s">
        <v>13</v>
      </c>
      <c r="K117">
        <v>5.46</v>
      </c>
    </row>
    <row r="119" spans="1:11" x14ac:dyDescent="0.35">
      <c r="A119" t="s">
        <v>55</v>
      </c>
      <c r="B119" t="str">
        <f>"25106"</f>
        <v>25106</v>
      </c>
      <c r="C119" t="str">
        <f>"001"</f>
        <v>001</v>
      </c>
      <c r="D119">
        <v>2002</v>
      </c>
      <c r="E119" s="3">
        <v>12181600</v>
      </c>
      <c r="F119" s="3">
        <v>10449300</v>
      </c>
      <c r="G119" t="s">
        <v>11</v>
      </c>
      <c r="H119" s="5" t="s">
        <v>30</v>
      </c>
      <c r="I119" t="s">
        <v>13</v>
      </c>
      <c r="J119" t="s">
        <v>13</v>
      </c>
    </row>
    <row r="120" spans="1:11" x14ac:dyDescent="0.35">
      <c r="A120" t="s">
        <v>5</v>
      </c>
      <c r="B120" t="str">
        <f>"25106"</f>
        <v>25106</v>
      </c>
      <c r="C120" t="str">
        <f>"002"</f>
        <v>002</v>
      </c>
      <c r="D120">
        <v>2015</v>
      </c>
      <c r="E120" s="3">
        <v>58247400</v>
      </c>
      <c r="F120" s="3">
        <v>58015400</v>
      </c>
      <c r="G120" t="s">
        <v>11</v>
      </c>
      <c r="H120" s="5" t="s">
        <v>30</v>
      </c>
      <c r="I120" t="s">
        <v>13</v>
      </c>
      <c r="J120" t="s">
        <v>13</v>
      </c>
    </row>
    <row r="121" spans="1:11" x14ac:dyDescent="0.35">
      <c r="A121" t="s">
        <v>31</v>
      </c>
      <c r="B121" t="s">
        <v>13</v>
      </c>
      <c r="C121" t="s">
        <v>7</v>
      </c>
      <c r="D121" t="s">
        <v>8</v>
      </c>
      <c r="E121" s="3">
        <v>70429000</v>
      </c>
      <c r="F121" s="3">
        <v>68464700</v>
      </c>
      <c r="G121" t="s">
        <v>11</v>
      </c>
      <c r="H121" s="5">
        <v>203875400</v>
      </c>
      <c r="I121" t="s">
        <v>13</v>
      </c>
      <c r="J121" t="s">
        <v>13</v>
      </c>
      <c r="K121">
        <v>33.58</v>
      </c>
    </row>
    <row r="123" spans="1:11" x14ac:dyDescent="0.35">
      <c r="A123" t="s">
        <v>56</v>
      </c>
      <c r="B123" t="str">
        <f>"03206"</f>
        <v>03206</v>
      </c>
      <c r="C123" t="str">
        <f>"002"</f>
        <v>002</v>
      </c>
      <c r="D123">
        <v>2000</v>
      </c>
      <c r="E123" s="3">
        <v>4642600</v>
      </c>
      <c r="F123" s="3">
        <v>2651200</v>
      </c>
      <c r="G123" t="s">
        <v>11</v>
      </c>
      <c r="H123" s="5" t="s">
        <v>30</v>
      </c>
      <c r="I123" t="s">
        <v>13</v>
      </c>
      <c r="J123" t="s">
        <v>13</v>
      </c>
    </row>
    <row r="124" spans="1:11" x14ac:dyDescent="0.35">
      <c r="A124" t="s">
        <v>5</v>
      </c>
      <c r="B124" t="str">
        <f>"03206"</f>
        <v>03206</v>
      </c>
      <c r="C124" t="str">
        <f>"003"</f>
        <v>003</v>
      </c>
      <c r="D124">
        <v>2005</v>
      </c>
      <c r="E124" s="3">
        <v>14684000</v>
      </c>
      <c r="F124" s="3">
        <v>4858600</v>
      </c>
      <c r="G124" t="s">
        <v>11</v>
      </c>
      <c r="H124" s="5" t="s">
        <v>30</v>
      </c>
      <c r="I124" t="s">
        <v>13</v>
      </c>
      <c r="J124" t="s">
        <v>13</v>
      </c>
    </row>
    <row r="125" spans="1:11" x14ac:dyDescent="0.35">
      <c r="A125" t="s">
        <v>5</v>
      </c>
      <c r="B125" t="str">
        <f>"03206"</f>
        <v>03206</v>
      </c>
      <c r="C125" t="str">
        <f>"004"</f>
        <v>004</v>
      </c>
      <c r="D125">
        <v>2007</v>
      </c>
      <c r="E125" s="3">
        <v>18720700</v>
      </c>
      <c r="F125" s="3">
        <v>6193500</v>
      </c>
      <c r="G125" t="s">
        <v>11</v>
      </c>
      <c r="H125" s="5" t="s">
        <v>30</v>
      </c>
      <c r="I125" t="s">
        <v>13</v>
      </c>
      <c r="J125" t="s">
        <v>13</v>
      </c>
    </row>
    <row r="126" spans="1:11" x14ac:dyDescent="0.35">
      <c r="A126" t="s">
        <v>5</v>
      </c>
      <c r="B126" t="str">
        <f>"03206"</f>
        <v>03206</v>
      </c>
      <c r="C126" t="str">
        <f>"005"</f>
        <v>005</v>
      </c>
      <c r="D126">
        <v>2010</v>
      </c>
      <c r="E126" s="3">
        <v>8540300</v>
      </c>
      <c r="F126" s="3">
        <v>2844100</v>
      </c>
      <c r="G126" t="s">
        <v>11</v>
      </c>
      <c r="H126" s="5" t="s">
        <v>30</v>
      </c>
      <c r="I126" t="s">
        <v>13</v>
      </c>
      <c r="J126" t="s">
        <v>13</v>
      </c>
    </row>
    <row r="127" spans="1:11" x14ac:dyDescent="0.35">
      <c r="A127" t="s">
        <v>5</v>
      </c>
      <c r="B127" t="str">
        <f>"03206"</f>
        <v>03206</v>
      </c>
      <c r="C127" t="str">
        <f>"006"</f>
        <v>006</v>
      </c>
      <c r="D127">
        <v>2015</v>
      </c>
      <c r="E127" s="3">
        <v>9236200</v>
      </c>
      <c r="F127" s="3">
        <v>4432900</v>
      </c>
      <c r="G127" t="s">
        <v>11</v>
      </c>
      <c r="H127" s="5" t="s">
        <v>30</v>
      </c>
      <c r="I127" t="s">
        <v>13</v>
      </c>
      <c r="J127" t="s">
        <v>13</v>
      </c>
    </row>
    <row r="128" spans="1:11" x14ac:dyDescent="0.35">
      <c r="A128" t="s">
        <v>31</v>
      </c>
      <c r="B128" t="s">
        <v>13</v>
      </c>
      <c r="C128" t="s">
        <v>7</v>
      </c>
      <c r="D128" t="s">
        <v>8</v>
      </c>
      <c r="E128" s="3">
        <v>55823800</v>
      </c>
      <c r="F128" s="3">
        <v>20980300</v>
      </c>
      <c r="G128" t="s">
        <v>11</v>
      </c>
      <c r="H128" s="5">
        <v>185013400</v>
      </c>
      <c r="I128" t="s">
        <v>13</v>
      </c>
      <c r="J128" t="s">
        <v>13</v>
      </c>
      <c r="K128">
        <v>11.34</v>
      </c>
    </row>
    <row r="130" spans="1:11" x14ac:dyDescent="0.35">
      <c r="A130" t="s">
        <v>57</v>
      </c>
      <c r="B130" t="str">
        <f>"14206"</f>
        <v>14206</v>
      </c>
      <c r="C130" t="str">
        <f>"006"</f>
        <v>006</v>
      </c>
      <c r="D130">
        <v>2009</v>
      </c>
      <c r="E130" s="3">
        <v>7195500</v>
      </c>
      <c r="F130" s="3">
        <v>6362800</v>
      </c>
      <c r="G130" t="s">
        <v>11</v>
      </c>
      <c r="H130" s="5" t="s">
        <v>30</v>
      </c>
      <c r="I130" t="s">
        <v>13</v>
      </c>
      <c r="J130" t="s">
        <v>13</v>
      </c>
    </row>
    <row r="131" spans="1:11" x14ac:dyDescent="0.35">
      <c r="A131" t="s">
        <v>5</v>
      </c>
      <c r="B131" t="str">
        <f>"14206"</f>
        <v>14206</v>
      </c>
      <c r="C131" t="str">
        <f>"007"</f>
        <v>007</v>
      </c>
      <c r="D131">
        <v>2016</v>
      </c>
      <c r="E131" s="3">
        <v>28040100</v>
      </c>
      <c r="F131" s="3">
        <v>28040100</v>
      </c>
      <c r="G131" t="s">
        <v>11</v>
      </c>
      <c r="H131" s="5" t="s">
        <v>30</v>
      </c>
      <c r="I131" t="s">
        <v>13</v>
      </c>
      <c r="J131" t="s">
        <v>13</v>
      </c>
    </row>
    <row r="132" spans="1:11" x14ac:dyDescent="0.35">
      <c r="A132" t="s">
        <v>5</v>
      </c>
      <c r="B132" t="str">
        <f>"14206"</f>
        <v>14206</v>
      </c>
      <c r="C132" t="str">
        <f>"008"</f>
        <v>008</v>
      </c>
      <c r="D132">
        <v>2018</v>
      </c>
      <c r="E132" s="3">
        <v>36292500</v>
      </c>
      <c r="F132" s="3">
        <v>29100500</v>
      </c>
      <c r="G132" t="s">
        <v>11</v>
      </c>
      <c r="H132" s="5" t="s">
        <v>30</v>
      </c>
      <c r="I132" t="s">
        <v>13</v>
      </c>
      <c r="J132" t="s">
        <v>13</v>
      </c>
    </row>
    <row r="133" spans="1:11" x14ac:dyDescent="0.35">
      <c r="A133" t="s">
        <v>5</v>
      </c>
      <c r="B133" t="str">
        <f>"14206"</f>
        <v>14206</v>
      </c>
      <c r="C133" t="str">
        <f>"009"</f>
        <v>009</v>
      </c>
      <c r="D133">
        <v>2019</v>
      </c>
      <c r="E133" s="3">
        <v>910400</v>
      </c>
      <c r="F133" s="3">
        <v>267700</v>
      </c>
      <c r="G133" t="s">
        <v>11</v>
      </c>
      <c r="H133" s="5" t="s">
        <v>30</v>
      </c>
      <c r="I133" t="s">
        <v>13</v>
      </c>
      <c r="J133" t="s">
        <v>13</v>
      </c>
    </row>
    <row r="134" spans="1:11" x14ac:dyDescent="0.35">
      <c r="A134" t="s">
        <v>31</v>
      </c>
      <c r="B134" t="s">
        <v>13</v>
      </c>
      <c r="C134" t="s">
        <v>7</v>
      </c>
      <c r="D134" t="s">
        <v>8</v>
      </c>
      <c r="E134" s="3">
        <v>72438500</v>
      </c>
      <c r="F134" s="3">
        <v>63771100</v>
      </c>
      <c r="G134" t="s">
        <v>11</v>
      </c>
      <c r="H134" s="5">
        <v>1562336300</v>
      </c>
      <c r="I134" t="s">
        <v>13</v>
      </c>
      <c r="J134" t="s">
        <v>13</v>
      </c>
      <c r="K134">
        <v>4.08</v>
      </c>
    </row>
    <row r="136" spans="1:11" x14ac:dyDescent="0.35">
      <c r="A136" t="s">
        <v>58</v>
      </c>
      <c r="B136" t="str">
        <f>"45106"</f>
        <v>45106</v>
      </c>
      <c r="C136" t="str">
        <f>"004"</f>
        <v>004</v>
      </c>
      <c r="D136">
        <v>1995</v>
      </c>
      <c r="E136" s="3">
        <v>58425200</v>
      </c>
      <c r="F136" s="3">
        <v>58000300</v>
      </c>
      <c r="G136" t="s">
        <v>11</v>
      </c>
      <c r="H136" s="5" t="s">
        <v>30</v>
      </c>
      <c r="I136" t="s">
        <v>13</v>
      </c>
      <c r="J136" t="s">
        <v>13</v>
      </c>
    </row>
    <row r="137" spans="1:11" x14ac:dyDescent="0.35">
      <c r="A137" t="s">
        <v>31</v>
      </c>
      <c r="B137" t="s">
        <v>13</v>
      </c>
      <c r="C137" t="s">
        <v>7</v>
      </c>
      <c r="D137" t="s">
        <v>8</v>
      </c>
      <c r="E137" s="3">
        <v>58425200</v>
      </c>
      <c r="F137" s="3">
        <v>58000300</v>
      </c>
      <c r="G137" t="s">
        <v>11</v>
      </c>
      <c r="H137" s="5">
        <v>273929200</v>
      </c>
      <c r="I137" t="s">
        <v>13</v>
      </c>
      <c r="J137" t="s">
        <v>13</v>
      </c>
      <c r="K137">
        <v>21.17</v>
      </c>
    </row>
    <row r="139" spans="1:11" x14ac:dyDescent="0.35">
      <c r="A139" t="s">
        <v>59</v>
      </c>
      <c r="B139" t="str">
        <f>"13106"</f>
        <v>13106</v>
      </c>
      <c r="C139" t="str">
        <f>"003"</f>
        <v>003</v>
      </c>
      <c r="D139">
        <v>2009</v>
      </c>
      <c r="E139" s="3">
        <v>39514500</v>
      </c>
      <c r="F139" s="3">
        <v>39352100</v>
      </c>
      <c r="G139" t="s">
        <v>11</v>
      </c>
      <c r="H139" s="5" t="s">
        <v>30</v>
      </c>
      <c r="I139" t="s">
        <v>13</v>
      </c>
      <c r="J139" t="s">
        <v>13</v>
      </c>
    </row>
    <row r="140" spans="1:11" x14ac:dyDescent="0.35">
      <c r="A140" t="s">
        <v>5</v>
      </c>
      <c r="B140" t="str">
        <f>"13106"</f>
        <v>13106</v>
      </c>
      <c r="C140" t="str">
        <f>"004"</f>
        <v>004</v>
      </c>
      <c r="D140">
        <v>2009</v>
      </c>
      <c r="E140" s="3">
        <v>1965700</v>
      </c>
      <c r="F140" s="3">
        <v>-365900</v>
      </c>
      <c r="G140" t="s">
        <v>52</v>
      </c>
      <c r="H140" s="5" t="s">
        <v>30</v>
      </c>
      <c r="I140" t="s">
        <v>13</v>
      </c>
      <c r="J140" t="s">
        <v>13</v>
      </c>
    </row>
    <row r="141" spans="1:11" x14ac:dyDescent="0.35">
      <c r="A141" t="s">
        <v>5</v>
      </c>
      <c r="B141" t="str">
        <f>"23106"</f>
        <v>23106</v>
      </c>
      <c r="C141" t="str">
        <f>"005"</f>
        <v>005</v>
      </c>
      <c r="D141">
        <v>2009</v>
      </c>
      <c r="E141" s="3">
        <v>443000</v>
      </c>
      <c r="F141" s="3">
        <v>74200</v>
      </c>
      <c r="G141" t="s">
        <v>11</v>
      </c>
      <c r="H141" s="5" t="s">
        <v>30</v>
      </c>
      <c r="I141" t="s">
        <v>13</v>
      </c>
      <c r="J141" t="s">
        <v>13</v>
      </c>
    </row>
    <row r="142" spans="1:11" x14ac:dyDescent="0.35">
      <c r="A142" t="s">
        <v>5</v>
      </c>
      <c r="B142" t="str">
        <f>"13106"</f>
        <v>13106</v>
      </c>
      <c r="C142" t="str">
        <f>"005"</f>
        <v>005</v>
      </c>
      <c r="D142">
        <v>2009</v>
      </c>
      <c r="E142" s="3">
        <v>7412700</v>
      </c>
      <c r="F142" s="3">
        <v>422500</v>
      </c>
      <c r="G142" t="s">
        <v>11</v>
      </c>
      <c r="H142" s="5" t="s">
        <v>30</v>
      </c>
      <c r="I142" t="s">
        <v>13</v>
      </c>
      <c r="J142" t="s">
        <v>13</v>
      </c>
    </row>
    <row r="143" spans="1:11" x14ac:dyDescent="0.35">
      <c r="A143" t="s">
        <v>31</v>
      </c>
      <c r="B143" t="s">
        <v>13</v>
      </c>
      <c r="C143" t="s">
        <v>7</v>
      </c>
      <c r="D143" t="s">
        <v>8</v>
      </c>
      <c r="E143" s="3">
        <v>49335900</v>
      </c>
      <c r="F143" s="3">
        <v>39848800</v>
      </c>
      <c r="G143" t="s">
        <v>11</v>
      </c>
      <c r="H143" s="5">
        <v>356972500</v>
      </c>
      <c r="I143" t="s">
        <v>13</v>
      </c>
      <c r="J143" t="s">
        <v>13</v>
      </c>
      <c r="K143">
        <v>11.16</v>
      </c>
    </row>
    <row r="145" spans="1:11" x14ac:dyDescent="0.35">
      <c r="A145" t="s">
        <v>60</v>
      </c>
      <c r="B145" t="str">
        <f>"05106"</f>
        <v>05106</v>
      </c>
      <c r="C145" t="str">
        <f>"001"</f>
        <v>001</v>
      </c>
      <c r="D145">
        <v>2013</v>
      </c>
      <c r="E145" s="3">
        <v>38640800</v>
      </c>
      <c r="F145" s="3">
        <v>31442100</v>
      </c>
      <c r="G145" t="s">
        <v>11</v>
      </c>
      <c r="H145" s="5" t="s">
        <v>30</v>
      </c>
      <c r="I145" t="s">
        <v>13</v>
      </c>
      <c r="J145" t="s">
        <v>13</v>
      </c>
    </row>
    <row r="146" spans="1:11" x14ac:dyDescent="0.35">
      <c r="A146" t="s">
        <v>5</v>
      </c>
      <c r="B146" t="str">
        <f>"05106"</f>
        <v>05106</v>
      </c>
      <c r="C146" t="str">
        <f>"002"</f>
        <v>002</v>
      </c>
      <c r="D146">
        <v>2016</v>
      </c>
      <c r="E146" s="3">
        <v>48941300</v>
      </c>
      <c r="F146" s="3">
        <v>45729100</v>
      </c>
      <c r="G146" t="s">
        <v>11</v>
      </c>
      <c r="H146" s="5" t="s">
        <v>30</v>
      </c>
      <c r="I146" t="s">
        <v>13</v>
      </c>
      <c r="J146" t="s">
        <v>13</v>
      </c>
    </row>
    <row r="147" spans="1:11" x14ac:dyDescent="0.35">
      <c r="A147" t="s">
        <v>31</v>
      </c>
      <c r="B147" t="s">
        <v>13</v>
      </c>
      <c r="C147" t="s">
        <v>7</v>
      </c>
      <c r="D147" t="s">
        <v>8</v>
      </c>
      <c r="E147" s="3">
        <v>87582100</v>
      </c>
      <c r="F147" s="3">
        <v>77171200</v>
      </c>
      <c r="G147" t="s">
        <v>11</v>
      </c>
      <c r="H147" s="5">
        <v>1815532400</v>
      </c>
      <c r="I147" t="s">
        <v>13</v>
      </c>
      <c r="J147" t="s">
        <v>13</v>
      </c>
      <c r="K147">
        <v>4.25</v>
      </c>
    </row>
    <row r="149" spans="1:11" x14ac:dyDescent="0.35">
      <c r="A149" t="s">
        <v>61</v>
      </c>
      <c r="B149" t="str">
        <f>"33106"</f>
        <v>33106</v>
      </c>
      <c r="C149" t="str">
        <f>"001"</f>
        <v>001</v>
      </c>
      <c r="D149">
        <v>2004</v>
      </c>
      <c r="E149" s="3">
        <v>8693500</v>
      </c>
      <c r="F149" s="3">
        <v>8637500</v>
      </c>
      <c r="G149" t="s">
        <v>11</v>
      </c>
      <c r="H149" s="5" t="s">
        <v>30</v>
      </c>
      <c r="I149" t="s">
        <v>13</v>
      </c>
      <c r="J149" t="s">
        <v>13</v>
      </c>
    </row>
    <row r="150" spans="1:11" x14ac:dyDescent="0.35">
      <c r="A150" t="s">
        <v>31</v>
      </c>
      <c r="B150" t="s">
        <v>13</v>
      </c>
      <c r="C150" t="s">
        <v>7</v>
      </c>
      <c r="D150" t="s">
        <v>8</v>
      </c>
      <c r="E150" s="3">
        <v>8693500</v>
      </c>
      <c r="F150" s="3">
        <v>8637500</v>
      </c>
      <c r="G150" t="s">
        <v>11</v>
      </c>
      <c r="H150" s="5">
        <v>95277100</v>
      </c>
      <c r="I150" t="s">
        <v>13</v>
      </c>
      <c r="J150" t="s">
        <v>13</v>
      </c>
      <c r="K150">
        <v>9.07</v>
      </c>
    </row>
    <row r="152" spans="1:11" x14ac:dyDescent="0.35">
      <c r="A152" t="s">
        <v>62</v>
      </c>
      <c r="B152" t="str">
        <f>"53206"</f>
        <v>53206</v>
      </c>
      <c r="C152" t="str">
        <f>"008"</f>
        <v>008</v>
      </c>
      <c r="D152">
        <v>1995</v>
      </c>
      <c r="E152" s="3">
        <v>23591300</v>
      </c>
      <c r="F152" s="3">
        <v>21945000</v>
      </c>
      <c r="G152" t="s">
        <v>11</v>
      </c>
      <c r="H152" s="5" t="s">
        <v>30</v>
      </c>
      <c r="I152" t="s">
        <v>13</v>
      </c>
      <c r="J152" t="s">
        <v>13</v>
      </c>
    </row>
    <row r="153" spans="1:11" x14ac:dyDescent="0.35">
      <c r="A153" t="s">
        <v>5</v>
      </c>
      <c r="B153" t="str">
        <f>"53206"</f>
        <v>53206</v>
      </c>
      <c r="C153" t="str">
        <f>"009"</f>
        <v>009</v>
      </c>
      <c r="D153">
        <v>1998</v>
      </c>
      <c r="E153" s="3">
        <v>7874000</v>
      </c>
      <c r="F153" s="3">
        <v>4207700</v>
      </c>
      <c r="G153" t="s">
        <v>11</v>
      </c>
      <c r="H153" s="5" t="s">
        <v>30</v>
      </c>
      <c r="I153" t="s">
        <v>13</v>
      </c>
      <c r="J153" t="s">
        <v>13</v>
      </c>
    </row>
    <row r="154" spans="1:11" x14ac:dyDescent="0.35">
      <c r="A154" t="s">
        <v>5</v>
      </c>
      <c r="B154" t="str">
        <f>"53206"</f>
        <v>53206</v>
      </c>
      <c r="C154" t="str">
        <f>"011"</f>
        <v>011</v>
      </c>
      <c r="D154">
        <v>2002</v>
      </c>
      <c r="E154" s="3">
        <v>11529200</v>
      </c>
      <c r="F154" s="3">
        <v>9566000</v>
      </c>
      <c r="G154" t="s">
        <v>11</v>
      </c>
      <c r="H154" s="5" t="s">
        <v>30</v>
      </c>
      <c r="I154" t="s">
        <v>13</v>
      </c>
      <c r="J154" t="s">
        <v>13</v>
      </c>
    </row>
    <row r="155" spans="1:11" x14ac:dyDescent="0.35">
      <c r="A155" t="s">
        <v>5</v>
      </c>
      <c r="B155" t="str">
        <f>"53206"</f>
        <v>53206</v>
      </c>
      <c r="C155" t="str">
        <f>"013"</f>
        <v>013</v>
      </c>
      <c r="D155">
        <v>2005</v>
      </c>
      <c r="E155" s="3">
        <v>59953800</v>
      </c>
      <c r="F155" s="3">
        <v>36099300</v>
      </c>
      <c r="G155" t="s">
        <v>11</v>
      </c>
      <c r="H155" s="5" t="s">
        <v>30</v>
      </c>
      <c r="I155" t="s">
        <v>13</v>
      </c>
      <c r="J155" t="s">
        <v>13</v>
      </c>
    </row>
    <row r="156" spans="1:11" x14ac:dyDescent="0.35">
      <c r="A156" t="s">
        <v>5</v>
      </c>
      <c r="B156" t="str">
        <f>"53206"</f>
        <v>53206</v>
      </c>
      <c r="C156" t="str">
        <f>"014"</f>
        <v>014</v>
      </c>
      <c r="D156">
        <v>2007</v>
      </c>
      <c r="E156" s="3">
        <v>17078100</v>
      </c>
      <c r="F156" s="3">
        <v>6567400</v>
      </c>
      <c r="G156" t="s">
        <v>11</v>
      </c>
      <c r="H156" s="5" t="s">
        <v>30</v>
      </c>
      <c r="I156" t="s">
        <v>13</v>
      </c>
      <c r="J156" t="s">
        <v>13</v>
      </c>
    </row>
    <row r="157" spans="1:11" x14ac:dyDescent="0.35">
      <c r="A157" t="s">
        <v>31</v>
      </c>
      <c r="B157" t="s">
        <v>13</v>
      </c>
      <c r="C157" t="s">
        <v>7</v>
      </c>
      <c r="D157" t="s">
        <v>8</v>
      </c>
      <c r="E157" s="3">
        <v>120026400</v>
      </c>
      <c r="F157" s="3">
        <v>78385400</v>
      </c>
      <c r="G157" t="s">
        <v>11</v>
      </c>
      <c r="H157" s="5">
        <v>2654129100</v>
      </c>
      <c r="I157" t="s">
        <v>13</v>
      </c>
      <c r="J157" t="s">
        <v>13</v>
      </c>
      <c r="K157">
        <v>2.95</v>
      </c>
    </row>
    <row r="159" spans="1:11" x14ac:dyDescent="0.35">
      <c r="A159" t="s">
        <v>63</v>
      </c>
      <c r="B159" t="str">
        <f>"69206"</f>
        <v>69206</v>
      </c>
      <c r="C159" t="str">
        <f>"010"</f>
        <v>010</v>
      </c>
      <c r="D159">
        <v>1993</v>
      </c>
      <c r="E159" s="3">
        <v>7888700</v>
      </c>
      <c r="F159" s="3">
        <v>7839400</v>
      </c>
      <c r="G159" t="s">
        <v>11</v>
      </c>
      <c r="H159" s="5" t="s">
        <v>30</v>
      </c>
      <c r="I159" t="s">
        <v>13</v>
      </c>
      <c r="J159" t="s">
        <v>13</v>
      </c>
    </row>
    <row r="160" spans="1:11" x14ac:dyDescent="0.35">
      <c r="A160" t="s">
        <v>5</v>
      </c>
      <c r="B160" t="str">
        <f>"24206"</f>
        <v>24206</v>
      </c>
      <c r="C160" t="str">
        <f>"015"</f>
        <v>015</v>
      </c>
      <c r="D160">
        <v>2008</v>
      </c>
      <c r="E160" s="3">
        <v>16966100</v>
      </c>
      <c r="F160" s="3">
        <v>4474600</v>
      </c>
      <c r="G160" t="s">
        <v>11</v>
      </c>
      <c r="H160" s="5" t="s">
        <v>30</v>
      </c>
      <c r="I160" t="s">
        <v>13</v>
      </c>
      <c r="J160" t="s">
        <v>13</v>
      </c>
    </row>
    <row r="161" spans="1:11" x14ac:dyDescent="0.35">
      <c r="A161" t="s">
        <v>31</v>
      </c>
      <c r="B161" t="s">
        <v>13</v>
      </c>
      <c r="C161" t="s">
        <v>7</v>
      </c>
      <c r="D161" t="s">
        <v>8</v>
      </c>
      <c r="E161" s="3">
        <v>24854800</v>
      </c>
      <c r="F161" s="3">
        <v>12314000</v>
      </c>
      <c r="G161" t="s">
        <v>11</v>
      </c>
      <c r="H161" s="5">
        <v>383773300</v>
      </c>
      <c r="I161" t="s">
        <v>13</v>
      </c>
      <c r="J161" t="s">
        <v>13</v>
      </c>
      <c r="K161">
        <v>3.21</v>
      </c>
    </row>
    <row r="163" spans="1:11" x14ac:dyDescent="0.35">
      <c r="A163" t="s">
        <v>64</v>
      </c>
      <c r="B163" t="str">
        <f>"67106"</f>
        <v>67106</v>
      </c>
      <c r="C163" t="str">
        <f>"001"</f>
        <v>001</v>
      </c>
      <c r="D163">
        <v>2013</v>
      </c>
      <c r="E163" s="3">
        <v>16859200</v>
      </c>
      <c r="F163" s="3">
        <v>2178600</v>
      </c>
      <c r="G163" t="s">
        <v>11</v>
      </c>
      <c r="H163" s="5" t="s">
        <v>30</v>
      </c>
      <c r="I163" t="s">
        <v>13</v>
      </c>
      <c r="J163" t="s">
        <v>13</v>
      </c>
    </row>
    <row r="164" spans="1:11" x14ac:dyDescent="0.35">
      <c r="A164" t="s">
        <v>31</v>
      </c>
      <c r="B164" t="s">
        <v>13</v>
      </c>
      <c r="C164" t="s">
        <v>7</v>
      </c>
      <c r="D164" t="s">
        <v>8</v>
      </c>
      <c r="E164" s="3">
        <v>16859200</v>
      </c>
      <c r="F164" s="3">
        <v>2178600</v>
      </c>
      <c r="G164" t="s">
        <v>11</v>
      </c>
      <c r="H164" s="5">
        <v>233145100</v>
      </c>
      <c r="I164" t="s">
        <v>13</v>
      </c>
      <c r="J164" t="s">
        <v>13</v>
      </c>
      <c r="K164">
        <v>0.93</v>
      </c>
    </row>
    <row r="166" spans="1:11" x14ac:dyDescent="0.35">
      <c r="A166" t="s">
        <v>65</v>
      </c>
      <c r="B166" t="str">
        <f>"65106"</f>
        <v>65106</v>
      </c>
      <c r="C166" t="str">
        <f>"001"</f>
        <v>001</v>
      </c>
      <c r="D166">
        <v>2004</v>
      </c>
      <c r="E166" s="3">
        <v>4557500</v>
      </c>
      <c r="F166" s="3">
        <v>2652500</v>
      </c>
      <c r="G166" t="s">
        <v>11</v>
      </c>
      <c r="H166" s="5" t="s">
        <v>30</v>
      </c>
      <c r="I166" t="s">
        <v>13</v>
      </c>
      <c r="J166" t="s">
        <v>13</v>
      </c>
    </row>
    <row r="167" spans="1:11" x14ac:dyDescent="0.35">
      <c r="A167" t="s">
        <v>5</v>
      </c>
      <c r="B167" t="str">
        <f>"65106"</f>
        <v>65106</v>
      </c>
      <c r="C167" t="str">
        <f>"002"</f>
        <v>002</v>
      </c>
      <c r="D167">
        <v>2005</v>
      </c>
      <c r="E167" s="3">
        <v>3591100</v>
      </c>
      <c r="F167" s="3">
        <v>1416800</v>
      </c>
      <c r="G167" t="s">
        <v>11</v>
      </c>
      <c r="H167" s="5" t="s">
        <v>30</v>
      </c>
      <c r="I167" t="s">
        <v>13</v>
      </c>
      <c r="J167" t="s">
        <v>13</v>
      </c>
    </row>
    <row r="168" spans="1:11" x14ac:dyDescent="0.35">
      <c r="A168" t="s">
        <v>31</v>
      </c>
      <c r="B168" t="s">
        <v>13</v>
      </c>
      <c r="C168" t="s">
        <v>7</v>
      </c>
      <c r="D168" t="s">
        <v>8</v>
      </c>
      <c r="E168" s="3">
        <v>8148600</v>
      </c>
      <c r="F168" s="3">
        <v>4069300</v>
      </c>
      <c r="G168" t="s">
        <v>11</v>
      </c>
      <c r="H168" s="5">
        <v>40716300</v>
      </c>
      <c r="I168" t="s">
        <v>13</v>
      </c>
      <c r="J168" t="s">
        <v>13</v>
      </c>
      <c r="K168">
        <v>9.99</v>
      </c>
    </row>
    <row r="170" spans="1:11" x14ac:dyDescent="0.35">
      <c r="A170" t="s">
        <v>66</v>
      </c>
      <c r="B170" t="str">
        <f>"71106"</f>
        <v>71106</v>
      </c>
      <c r="C170" t="str">
        <f>"001"</f>
        <v>001</v>
      </c>
      <c r="D170">
        <v>2006</v>
      </c>
      <c r="E170" s="3">
        <v>5094500</v>
      </c>
      <c r="F170" s="3">
        <v>1593800</v>
      </c>
      <c r="G170" t="s">
        <v>11</v>
      </c>
      <c r="H170" s="5" t="s">
        <v>30</v>
      </c>
      <c r="I170" t="s">
        <v>13</v>
      </c>
      <c r="J170" t="s">
        <v>13</v>
      </c>
    </row>
    <row r="171" spans="1:11" x14ac:dyDescent="0.35">
      <c r="A171" t="s">
        <v>5</v>
      </c>
      <c r="B171" t="str">
        <f>"71106"</f>
        <v>71106</v>
      </c>
      <c r="C171" t="str">
        <f>"002"</f>
        <v>002</v>
      </c>
      <c r="D171">
        <v>2006</v>
      </c>
      <c r="E171" s="3">
        <v>42705800</v>
      </c>
      <c r="F171" s="3">
        <v>37594800</v>
      </c>
      <c r="G171" t="s">
        <v>11</v>
      </c>
      <c r="H171" s="5" t="s">
        <v>30</v>
      </c>
      <c r="I171" t="s">
        <v>13</v>
      </c>
      <c r="J171" t="s">
        <v>13</v>
      </c>
    </row>
    <row r="172" spans="1:11" x14ac:dyDescent="0.35">
      <c r="A172" t="s">
        <v>5</v>
      </c>
      <c r="B172" t="str">
        <f>"71106"</f>
        <v>71106</v>
      </c>
      <c r="C172" t="str">
        <f>"003"</f>
        <v>003</v>
      </c>
      <c r="D172">
        <v>2009</v>
      </c>
      <c r="E172" s="3">
        <v>17120500</v>
      </c>
      <c r="F172" s="3">
        <v>13223300</v>
      </c>
      <c r="G172" t="s">
        <v>11</v>
      </c>
      <c r="H172" s="5" t="s">
        <v>30</v>
      </c>
      <c r="I172" t="s">
        <v>13</v>
      </c>
      <c r="J172" t="s">
        <v>13</v>
      </c>
    </row>
    <row r="173" spans="1:11" x14ac:dyDescent="0.35">
      <c r="A173" t="s">
        <v>31</v>
      </c>
      <c r="B173" t="s">
        <v>13</v>
      </c>
      <c r="C173" t="s">
        <v>7</v>
      </c>
      <c r="D173" t="s">
        <v>8</v>
      </c>
      <c r="E173" s="3">
        <v>64920800</v>
      </c>
      <c r="F173" s="3">
        <v>52411900</v>
      </c>
      <c r="G173" t="s">
        <v>11</v>
      </c>
      <c r="H173" s="5">
        <v>134791100</v>
      </c>
      <c r="I173" t="s">
        <v>13</v>
      </c>
      <c r="J173" t="s">
        <v>13</v>
      </c>
      <c r="K173">
        <v>38.880000000000003</v>
      </c>
    </row>
    <row r="175" spans="1:11" x14ac:dyDescent="0.35">
      <c r="A175" t="s">
        <v>67</v>
      </c>
      <c r="B175" t="str">
        <f>"13107"</f>
        <v>13107</v>
      </c>
      <c r="C175" t="str">
        <f>"003"</f>
        <v>003</v>
      </c>
      <c r="D175">
        <v>2009</v>
      </c>
      <c r="E175" s="3">
        <v>6490500</v>
      </c>
      <c r="F175" s="3">
        <v>3401200</v>
      </c>
      <c r="G175" t="s">
        <v>11</v>
      </c>
      <c r="H175" s="5" t="s">
        <v>30</v>
      </c>
      <c r="I175" t="s">
        <v>13</v>
      </c>
      <c r="J175" t="s">
        <v>13</v>
      </c>
    </row>
    <row r="176" spans="1:11" x14ac:dyDescent="0.35">
      <c r="A176" t="s">
        <v>5</v>
      </c>
      <c r="B176" t="str">
        <f>"13107"</f>
        <v>13107</v>
      </c>
      <c r="C176" t="str">
        <f>"005"</f>
        <v>005</v>
      </c>
      <c r="D176">
        <v>2018</v>
      </c>
      <c r="E176" s="3">
        <v>7969500</v>
      </c>
      <c r="F176" s="3">
        <v>2220900</v>
      </c>
      <c r="G176" t="s">
        <v>11</v>
      </c>
      <c r="H176" s="5" t="s">
        <v>30</v>
      </c>
      <c r="I176" t="s">
        <v>13</v>
      </c>
      <c r="J176" t="s">
        <v>13</v>
      </c>
    </row>
    <row r="177" spans="1:11" x14ac:dyDescent="0.35">
      <c r="A177" t="s">
        <v>31</v>
      </c>
      <c r="B177" t="s">
        <v>13</v>
      </c>
      <c r="C177" t="s">
        <v>7</v>
      </c>
      <c r="D177" t="s">
        <v>8</v>
      </c>
      <c r="E177" s="3">
        <v>14460000</v>
      </c>
      <c r="F177" s="3">
        <v>5622100</v>
      </c>
      <c r="G177" t="s">
        <v>11</v>
      </c>
      <c r="H177" s="5">
        <v>179211000</v>
      </c>
      <c r="I177" t="s">
        <v>13</v>
      </c>
      <c r="J177" t="s">
        <v>13</v>
      </c>
      <c r="K177">
        <v>3.14</v>
      </c>
    </row>
    <row r="179" spans="1:11" x14ac:dyDescent="0.35">
      <c r="A179" t="s">
        <v>68</v>
      </c>
      <c r="B179" t="str">
        <f t="shared" ref="B179:B184" si="1">"27206"</f>
        <v>27206</v>
      </c>
      <c r="C179" t="str">
        <f>"003"</f>
        <v>003</v>
      </c>
      <c r="D179">
        <v>2002</v>
      </c>
      <c r="E179" s="3">
        <v>16467300</v>
      </c>
      <c r="F179" s="3">
        <v>15971200</v>
      </c>
      <c r="G179" t="s">
        <v>11</v>
      </c>
      <c r="H179" s="5" t="s">
        <v>30</v>
      </c>
      <c r="I179" t="s">
        <v>13</v>
      </c>
      <c r="J179" t="s">
        <v>13</v>
      </c>
    </row>
    <row r="180" spans="1:11" x14ac:dyDescent="0.35">
      <c r="A180" t="s">
        <v>5</v>
      </c>
      <c r="B180" t="str">
        <f t="shared" si="1"/>
        <v>27206</v>
      </c>
      <c r="C180" t="str">
        <f>"004"</f>
        <v>004</v>
      </c>
      <c r="D180">
        <v>2003</v>
      </c>
      <c r="E180" s="3">
        <v>8565800</v>
      </c>
      <c r="F180" s="3">
        <v>8103600</v>
      </c>
      <c r="G180" t="s">
        <v>11</v>
      </c>
      <c r="H180" s="5" t="s">
        <v>30</v>
      </c>
      <c r="I180" t="s">
        <v>13</v>
      </c>
      <c r="J180" t="s">
        <v>13</v>
      </c>
    </row>
    <row r="181" spans="1:11" x14ac:dyDescent="0.35">
      <c r="A181" t="s">
        <v>5</v>
      </c>
      <c r="B181" t="str">
        <f t="shared" si="1"/>
        <v>27206</v>
      </c>
      <c r="C181" t="str">
        <f>"005"</f>
        <v>005</v>
      </c>
      <c r="D181">
        <v>2008</v>
      </c>
      <c r="E181" s="3">
        <v>575200</v>
      </c>
      <c r="F181" s="3">
        <v>-146500</v>
      </c>
      <c r="G181" t="s">
        <v>52</v>
      </c>
      <c r="H181" s="5" t="s">
        <v>30</v>
      </c>
      <c r="I181" t="s">
        <v>13</v>
      </c>
      <c r="J181" t="s">
        <v>13</v>
      </c>
    </row>
    <row r="182" spans="1:11" x14ac:dyDescent="0.35">
      <c r="A182" t="s">
        <v>5</v>
      </c>
      <c r="B182" t="str">
        <f t="shared" si="1"/>
        <v>27206</v>
      </c>
      <c r="C182" t="str">
        <f>"006"</f>
        <v>006</v>
      </c>
      <c r="D182">
        <v>2017</v>
      </c>
      <c r="E182" s="3">
        <v>10387800</v>
      </c>
      <c r="F182" s="3">
        <v>2595600</v>
      </c>
      <c r="G182" t="s">
        <v>11</v>
      </c>
      <c r="H182" s="5" t="s">
        <v>30</v>
      </c>
      <c r="I182" t="s">
        <v>13</v>
      </c>
      <c r="J182" t="s">
        <v>13</v>
      </c>
    </row>
    <row r="183" spans="1:11" x14ac:dyDescent="0.35">
      <c r="A183" t="s">
        <v>5</v>
      </c>
      <c r="B183" t="str">
        <f t="shared" si="1"/>
        <v>27206</v>
      </c>
      <c r="C183" t="str">
        <f>"007"</f>
        <v>007</v>
      </c>
      <c r="D183">
        <v>2017</v>
      </c>
      <c r="E183" s="3">
        <v>329200</v>
      </c>
      <c r="F183" s="3">
        <v>329200</v>
      </c>
      <c r="G183" t="s">
        <v>11</v>
      </c>
      <c r="H183" s="5" t="s">
        <v>30</v>
      </c>
      <c r="I183" t="s">
        <v>13</v>
      </c>
      <c r="J183" t="s">
        <v>13</v>
      </c>
    </row>
    <row r="184" spans="1:11" x14ac:dyDescent="0.35">
      <c r="A184" t="s">
        <v>5</v>
      </c>
      <c r="B184" t="str">
        <f t="shared" si="1"/>
        <v>27206</v>
      </c>
      <c r="C184" t="str">
        <f>"008"</f>
        <v>008</v>
      </c>
      <c r="D184">
        <v>2021</v>
      </c>
      <c r="E184" s="3">
        <v>443600</v>
      </c>
      <c r="F184" s="3">
        <v>105000</v>
      </c>
      <c r="G184" t="s">
        <v>11</v>
      </c>
      <c r="H184" s="5" t="s">
        <v>30</v>
      </c>
      <c r="I184" t="s">
        <v>13</v>
      </c>
      <c r="J184" t="s">
        <v>13</v>
      </c>
    </row>
    <row r="185" spans="1:11" x14ac:dyDescent="0.35">
      <c r="A185" t="s">
        <v>31</v>
      </c>
      <c r="B185" t="s">
        <v>13</v>
      </c>
      <c r="C185" t="s">
        <v>7</v>
      </c>
      <c r="D185" t="s">
        <v>8</v>
      </c>
      <c r="E185" s="3">
        <v>36768900</v>
      </c>
      <c r="F185" s="3">
        <v>27104600</v>
      </c>
      <c r="G185" t="s">
        <v>11</v>
      </c>
      <c r="H185" s="5">
        <v>306951300</v>
      </c>
      <c r="I185" t="s">
        <v>13</v>
      </c>
      <c r="J185" t="s">
        <v>13</v>
      </c>
      <c r="K185">
        <v>8.83</v>
      </c>
    </row>
    <row r="187" spans="1:11" x14ac:dyDescent="0.35">
      <c r="A187" t="s">
        <v>69</v>
      </c>
      <c r="B187" t="str">
        <f>"61206"</f>
        <v>61206</v>
      </c>
      <c r="C187" t="str">
        <f>"004"</f>
        <v>004</v>
      </c>
      <c r="D187">
        <v>2007</v>
      </c>
      <c r="E187" s="3">
        <v>5582100</v>
      </c>
      <c r="F187" s="3">
        <v>5564200</v>
      </c>
      <c r="G187" t="s">
        <v>11</v>
      </c>
      <c r="H187" s="5" t="s">
        <v>30</v>
      </c>
      <c r="I187" t="s">
        <v>13</v>
      </c>
      <c r="J187" t="s">
        <v>13</v>
      </c>
    </row>
    <row r="188" spans="1:11" x14ac:dyDescent="0.35">
      <c r="A188" t="s">
        <v>5</v>
      </c>
      <c r="B188" t="str">
        <f>"61206"</f>
        <v>61206</v>
      </c>
      <c r="C188" t="str">
        <f>"005"</f>
        <v>005</v>
      </c>
      <c r="D188">
        <v>2008</v>
      </c>
      <c r="E188" s="3">
        <v>3438000</v>
      </c>
      <c r="F188" s="3">
        <v>3383900</v>
      </c>
      <c r="G188" t="s">
        <v>11</v>
      </c>
      <c r="H188" s="5" t="s">
        <v>30</v>
      </c>
      <c r="I188" t="s">
        <v>13</v>
      </c>
      <c r="J188" t="s">
        <v>13</v>
      </c>
    </row>
    <row r="189" spans="1:11" x14ac:dyDescent="0.35">
      <c r="A189" t="s">
        <v>5</v>
      </c>
      <c r="B189" t="str">
        <f>"61206"</f>
        <v>61206</v>
      </c>
      <c r="C189" t="str">
        <f>"006"</f>
        <v>006</v>
      </c>
      <c r="D189">
        <v>2015</v>
      </c>
      <c r="E189" s="3">
        <v>7252500</v>
      </c>
      <c r="F189" s="3">
        <v>1740300</v>
      </c>
      <c r="G189" t="s">
        <v>11</v>
      </c>
      <c r="H189" s="5" t="s">
        <v>30</v>
      </c>
      <c r="I189" t="s">
        <v>13</v>
      </c>
      <c r="J189" t="s">
        <v>13</v>
      </c>
    </row>
    <row r="190" spans="1:11" x14ac:dyDescent="0.35">
      <c r="A190" t="s">
        <v>5</v>
      </c>
      <c r="B190" t="str">
        <f>"61206"</f>
        <v>61206</v>
      </c>
      <c r="C190" t="str">
        <f>"007"</f>
        <v>007</v>
      </c>
      <c r="D190">
        <v>2015</v>
      </c>
      <c r="E190" s="3">
        <v>3344100</v>
      </c>
      <c r="F190" s="3">
        <v>1619100</v>
      </c>
      <c r="G190" t="s">
        <v>11</v>
      </c>
      <c r="H190" s="5" t="s">
        <v>30</v>
      </c>
      <c r="I190" t="s">
        <v>13</v>
      </c>
      <c r="J190" t="s">
        <v>13</v>
      </c>
    </row>
    <row r="191" spans="1:11" x14ac:dyDescent="0.35">
      <c r="A191" t="s">
        <v>31</v>
      </c>
      <c r="B191" t="s">
        <v>13</v>
      </c>
      <c r="C191" t="s">
        <v>7</v>
      </c>
      <c r="D191" t="s">
        <v>8</v>
      </c>
      <c r="E191" s="3">
        <v>19616700</v>
      </c>
      <c r="F191" s="3">
        <v>12307500</v>
      </c>
      <c r="G191" t="s">
        <v>11</v>
      </c>
      <c r="H191" s="5">
        <v>128653400</v>
      </c>
      <c r="I191" t="s">
        <v>13</v>
      </c>
      <c r="J191" t="s">
        <v>13</v>
      </c>
      <c r="K191">
        <v>9.57</v>
      </c>
    </row>
    <row r="193" spans="1:11" x14ac:dyDescent="0.35">
      <c r="A193" t="s">
        <v>70</v>
      </c>
      <c r="B193" t="str">
        <f>"09206"</f>
        <v>09206</v>
      </c>
      <c r="C193" t="str">
        <f>"004"</f>
        <v>004</v>
      </c>
      <c r="D193">
        <v>2005</v>
      </c>
      <c r="E193" s="3">
        <v>38668600</v>
      </c>
      <c r="F193" s="3">
        <v>34881200</v>
      </c>
      <c r="G193" t="s">
        <v>11</v>
      </c>
      <c r="H193" s="5" t="s">
        <v>30</v>
      </c>
      <c r="I193" t="s">
        <v>13</v>
      </c>
      <c r="J193" t="s">
        <v>13</v>
      </c>
    </row>
    <row r="194" spans="1:11" x14ac:dyDescent="0.35">
      <c r="A194" t="s">
        <v>31</v>
      </c>
      <c r="B194" t="s">
        <v>13</v>
      </c>
      <c r="C194" t="s">
        <v>7</v>
      </c>
      <c r="D194" t="s">
        <v>8</v>
      </c>
      <c r="E194" s="3">
        <v>38668600</v>
      </c>
      <c r="F194" s="3">
        <v>34881200</v>
      </c>
      <c r="G194" t="s">
        <v>11</v>
      </c>
      <c r="H194" s="5">
        <v>355053700</v>
      </c>
      <c r="I194" t="s">
        <v>13</v>
      </c>
      <c r="J194" t="s">
        <v>13</v>
      </c>
      <c r="K194">
        <v>9.82</v>
      </c>
    </row>
    <row r="196" spans="1:11" x14ac:dyDescent="0.35">
      <c r="A196" t="s">
        <v>71</v>
      </c>
      <c r="B196" t="str">
        <f>"64115"</f>
        <v>64115</v>
      </c>
      <c r="C196" t="str">
        <f>"001"</f>
        <v>001</v>
      </c>
      <c r="D196">
        <v>2020</v>
      </c>
      <c r="E196" s="3">
        <v>1183100</v>
      </c>
      <c r="F196" s="3">
        <v>980300</v>
      </c>
      <c r="G196" t="s">
        <v>11</v>
      </c>
      <c r="H196" s="5" t="s">
        <v>30</v>
      </c>
      <c r="I196" t="s">
        <v>13</v>
      </c>
      <c r="J196" t="s">
        <v>13</v>
      </c>
    </row>
    <row r="197" spans="1:11" x14ac:dyDescent="0.35">
      <c r="A197" t="s">
        <v>31</v>
      </c>
      <c r="B197" t="s">
        <v>13</v>
      </c>
      <c r="C197" t="s">
        <v>7</v>
      </c>
      <c r="D197" t="s">
        <v>8</v>
      </c>
      <c r="E197" s="3">
        <v>1183100</v>
      </c>
      <c r="F197" s="3">
        <v>980300</v>
      </c>
      <c r="G197" t="s">
        <v>11</v>
      </c>
      <c r="H197" s="5">
        <v>544006800</v>
      </c>
      <c r="I197" t="s">
        <v>13</v>
      </c>
      <c r="J197" t="s">
        <v>13</v>
      </c>
      <c r="K197">
        <v>0.18</v>
      </c>
    </row>
    <row r="199" spans="1:11" x14ac:dyDescent="0.35">
      <c r="A199" t="s">
        <v>72</v>
      </c>
      <c r="B199" t="str">
        <f>"58107"</f>
        <v>58107</v>
      </c>
      <c r="C199" t="str">
        <f>"001"</f>
        <v>001</v>
      </c>
      <c r="D199">
        <v>1994</v>
      </c>
      <c r="E199" s="3">
        <v>17560100</v>
      </c>
      <c r="F199" s="3">
        <v>15578500</v>
      </c>
      <c r="G199" t="s">
        <v>11</v>
      </c>
      <c r="H199" s="5" t="s">
        <v>30</v>
      </c>
      <c r="I199" t="s">
        <v>13</v>
      </c>
      <c r="J199" t="s">
        <v>13</v>
      </c>
    </row>
    <row r="200" spans="1:11" x14ac:dyDescent="0.35">
      <c r="A200" t="s">
        <v>31</v>
      </c>
      <c r="B200" t="s">
        <v>13</v>
      </c>
      <c r="C200" t="s">
        <v>7</v>
      </c>
      <c r="D200" t="s">
        <v>8</v>
      </c>
      <c r="E200" s="3">
        <v>17560100</v>
      </c>
      <c r="F200" s="3">
        <v>15578500</v>
      </c>
      <c r="G200" t="s">
        <v>11</v>
      </c>
      <c r="H200" s="5">
        <v>93103500</v>
      </c>
      <c r="I200" t="s">
        <v>13</v>
      </c>
      <c r="J200" t="s">
        <v>13</v>
      </c>
      <c r="K200">
        <v>16.73</v>
      </c>
    </row>
    <row r="202" spans="1:11" x14ac:dyDescent="0.35">
      <c r="A202" t="s">
        <v>73</v>
      </c>
      <c r="B202" t="str">
        <f>"22206"</f>
        <v>22206</v>
      </c>
      <c r="C202" t="str">
        <f>"004"</f>
        <v>004</v>
      </c>
      <c r="D202">
        <v>2005</v>
      </c>
      <c r="E202" s="3">
        <v>9230500</v>
      </c>
      <c r="F202" s="3">
        <v>4140200</v>
      </c>
      <c r="G202" t="s">
        <v>11</v>
      </c>
      <c r="H202" s="5" t="s">
        <v>30</v>
      </c>
      <c r="I202" t="s">
        <v>13</v>
      </c>
      <c r="J202" t="s">
        <v>13</v>
      </c>
    </row>
    <row r="203" spans="1:11" x14ac:dyDescent="0.35">
      <c r="A203" t="s">
        <v>5</v>
      </c>
      <c r="B203" t="str">
        <f>"22206"</f>
        <v>22206</v>
      </c>
      <c r="C203" t="str">
        <f>"005"</f>
        <v>005</v>
      </c>
      <c r="D203">
        <v>2020</v>
      </c>
      <c r="E203" s="3">
        <v>14256900</v>
      </c>
      <c r="F203" s="3">
        <v>2440000</v>
      </c>
      <c r="G203" t="s">
        <v>11</v>
      </c>
      <c r="H203" s="5" t="s">
        <v>30</v>
      </c>
      <c r="I203" t="s">
        <v>13</v>
      </c>
      <c r="J203" t="s">
        <v>13</v>
      </c>
    </row>
    <row r="204" spans="1:11" x14ac:dyDescent="0.35">
      <c r="A204" t="s">
        <v>31</v>
      </c>
      <c r="B204" t="s">
        <v>13</v>
      </c>
      <c r="C204" t="s">
        <v>7</v>
      </c>
      <c r="D204" t="s">
        <v>8</v>
      </c>
      <c r="E204" s="3">
        <v>23487400</v>
      </c>
      <c r="F204" s="3">
        <v>6580200</v>
      </c>
      <c r="G204" t="s">
        <v>11</v>
      </c>
      <c r="H204" s="5">
        <v>168747000</v>
      </c>
      <c r="I204" t="s">
        <v>13</v>
      </c>
      <c r="J204" t="s">
        <v>13</v>
      </c>
      <c r="K204">
        <v>3.9</v>
      </c>
    </row>
    <row r="206" spans="1:11" x14ac:dyDescent="0.35">
      <c r="A206" t="s">
        <v>74</v>
      </c>
      <c r="B206" t="str">
        <f>"58108"</f>
        <v>58108</v>
      </c>
      <c r="C206" t="str">
        <f>"002"</f>
        <v>002</v>
      </c>
      <c r="D206">
        <v>1997</v>
      </c>
      <c r="E206" s="3">
        <v>250600</v>
      </c>
      <c r="F206" s="3">
        <v>213200</v>
      </c>
      <c r="G206" t="s">
        <v>11</v>
      </c>
      <c r="H206" s="5" t="s">
        <v>30</v>
      </c>
      <c r="I206" t="s">
        <v>13</v>
      </c>
      <c r="J206" t="s">
        <v>13</v>
      </c>
    </row>
    <row r="207" spans="1:11" x14ac:dyDescent="0.35">
      <c r="A207" t="s">
        <v>31</v>
      </c>
      <c r="B207" t="s">
        <v>13</v>
      </c>
      <c r="C207" t="s">
        <v>7</v>
      </c>
      <c r="D207" t="s">
        <v>8</v>
      </c>
      <c r="E207" s="3">
        <v>250600</v>
      </c>
      <c r="F207" s="3">
        <v>213200</v>
      </c>
      <c r="G207" t="s">
        <v>11</v>
      </c>
      <c r="H207" s="5">
        <v>11241200</v>
      </c>
      <c r="I207" t="s">
        <v>13</v>
      </c>
      <c r="J207" t="s">
        <v>13</v>
      </c>
      <c r="K207">
        <v>1.9</v>
      </c>
    </row>
    <row r="209" spans="1:11" x14ac:dyDescent="0.35">
      <c r="A209" t="s">
        <v>75</v>
      </c>
      <c r="B209" t="str">
        <f>"17106"</f>
        <v>17106</v>
      </c>
      <c r="C209" t="str">
        <f>"002"</f>
        <v>002</v>
      </c>
      <c r="D209">
        <v>1996</v>
      </c>
      <c r="E209" s="3">
        <v>10918700</v>
      </c>
      <c r="F209" s="3">
        <v>10583800</v>
      </c>
      <c r="G209" t="s">
        <v>11</v>
      </c>
      <c r="H209" s="5" t="s">
        <v>30</v>
      </c>
      <c r="I209" t="s">
        <v>13</v>
      </c>
      <c r="J209" t="s">
        <v>13</v>
      </c>
    </row>
    <row r="210" spans="1:11" x14ac:dyDescent="0.35">
      <c r="A210" t="s">
        <v>5</v>
      </c>
      <c r="B210" t="str">
        <f>"17106"</f>
        <v>17106</v>
      </c>
      <c r="C210" t="str">
        <f>"003"</f>
        <v>003</v>
      </c>
      <c r="D210">
        <v>2007</v>
      </c>
      <c r="E210" s="3">
        <v>1247100</v>
      </c>
      <c r="F210" s="3">
        <v>-273400</v>
      </c>
      <c r="G210" t="s">
        <v>52</v>
      </c>
      <c r="H210" s="5" t="s">
        <v>30</v>
      </c>
      <c r="I210" t="s">
        <v>13</v>
      </c>
      <c r="J210" t="s">
        <v>13</v>
      </c>
    </row>
    <row r="211" spans="1:11" x14ac:dyDescent="0.35">
      <c r="A211" t="s">
        <v>31</v>
      </c>
      <c r="B211" t="s">
        <v>13</v>
      </c>
      <c r="C211" t="s">
        <v>7</v>
      </c>
      <c r="D211" t="s">
        <v>8</v>
      </c>
      <c r="E211" s="3">
        <v>12165800</v>
      </c>
      <c r="F211" s="3">
        <v>10583800</v>
      </c>
      <c r="G211" t="s">
        <v>11</v>
      </c>
      <c r="H211" s="5">
        <v>67089800</v>
      </c>
      <c r="I211" t="s">
        <v>13</v>
      </c>
      <c r="J211" t="s">
        <v>13</v>
      </c>
      <c r="K211">
        <v>15.78</v>
      </c>
    </row>
    <row r="213" spans="1:11" x14ac:dyDescent="0.35">
      <c r="A213" t="s">
        <v>76</v>
      </c>
      <c r="B213" t="str">
        <f>"08206"</f>
        <v>08206</v>
      </c>
      <c r="C213" t="str">
        <f>"002"</f>
        <v>002</v>
      </c>
      <c r="D213">
        <v>2006</v>
      </c>
      <c r="E213" s="3">
        <v>6298700</v>
      </c>
      <c r="F213" s="3">
        <v>5301200</v>
      </c>
      <c r="G213" t="s">
        <v>11</v>
      </c>
      <c r="H213" s="5" t="s">
        <v>30</v>
      </c>
      <c r="I213" t="s">
        <v>13</v>
      </c>
      <c r="J213" t="s">
        <v>13</v>
      </c>
    </row>
    <row r="214" spans="1:11" x14ac:dyDescent="0.35">
      <c r="A214" t="s">
        <v>5</v>
      </c>
      <c r="B214" t="str">
        <f>"08206"</f>
        <v>08206</v>
      </c>
      <c r="C214" t="str">
        <f>"003"</f>
        <v>003</v>
      </c>
      <c r="D214">
        <v>2007</v>
      </c>
      <c r="E214" s="3">
        <v>9998300</v>
      </c>
      <c r="F214" s="3">
        <v>9871100</v>
      </c>
      <c r="G214" t="s">
        <v>11</v>
      </c>
      <c r="H214" s="5" t="s">
        <v>30</v>
      </c>
      <c r="I214" t="s">
        <v>13</v>
      </c>
      <c r="J214" t="s">
        <v>13</v>
      </c>
    </row>
    <row r="215" spans="1:11" x14ac:dyDescent="0.35">
      <c r="A215" t="s">
        <v>5</v>
      </c>
      <c r="B215" t="str">
        <f>"08206"</f>
        <v>08206</v>
      </c>
      <c r="C215" t="str">
        <f>"004"</f>
        <v>004</v>
      </c>
      <c r="D215">
        <v>2007</v>
      </c>
      <c r="E215" s="3">
        <v>19207500</v>
      </c>
      <c r="F215" s="3">
        <v>13795100</v>
      </c>
      <c r="G215" t="s">
        <v>11</v>
      </c>
      <c r="H215" s="5" t="s">
        <v>30</v>
      </c>
      <c r="I215" t="s">
        <v>13</v>
      </c>
      <c r="J215" t="s">
        <v>13</v>
      </c>
    </row>
    <row r="216" spans="1:11" x14ac:dyDescent="0.35">
      <c r="A216" t="s">
        <v>31</v>
      </c>
      <c r="B216" t="s">
        <v>13</v>
      </c>
      <c r="C216" t="s">
        <v>7</v>
      </c>
      <c r="D216" t="s">
        <v>8</v>
      </c>
      <c r="E216" s="3">
        <v>35504500</v>
      </c>
      <c r="F216" s="3">
        <v>28967400</v>
      </c>
      <c r="G216" t="s">
        <v>11</v>
      </c>
      <c r="H216" s="5">
        <v>296870400</v>
      </c>
      <c r="I216" t="s">
        <v>13</v>
      </c>
      <c r="J216" t="s">
        <v>13</v>
      </c>
      <c r="K216">
        <v>9.76</v>
      </c>
    </row>
    <row r="218" spans="1:11" x14ac:dyDescent="0.35">
      <c r="A218" t="s">
        <v>77</v>
      </c>
      <c r="B218" t="str">
        <f>"30104"</f>
        <v>30104</v>
      </c>
      <c r="C218" t="str">
        <f>"001"</f>
        <v>001</v>
      </c>
      <c r="D218">
        <v>2019</v>
      </c>
      <c r="E218" s="3">
        <v>63833000</v>
      </c>
      <c r="F218" s="3">
        <v>62542600</v>
      </c>
      <c r="G218" t="s">
        <v>11</v>
      </c>
      <c r="H218" s="5" t="s">
        <v>30</v>
      </c>
      <c r="I218" t="s">
        <v>13</v>
      </c>
      <c r="J218" t="s">
        <v>13</v>
      </c>
    </row>
    <row r="219" spans="1:11" x14ac:dyDescent="0.35">
      <c r="A219" t="s">
        <v>5</v>
      </c>
      <c r="B219" t="str">
        <f>"30104"</f>
        <v>30104</v>
      </c>
      <c r="C219" t="str">
        <f>"002"</f>
        <v>002</v>
      </c>
      <c r="D219">
        <v>2019</v>
      </c>
      <c r="E219" s="3">
        <v>69764500</v>
      </c>
      <c r="F219" s="3">
        <v>69764500</v>
      </c>
      <c r="G219" t="s">
        <v>11</v>
      </c>
      <c r="H219" s="5" t="s">
        <v>30</v>
      </c>
      <c r="I219" t="s">
        <v>13</v>
      </c>
      <c r="J219" t="s">
        <v>13</v>
      </c>
    </row>
    <row r="220" spans="1:11" x14ac:dyDescent="0.35">
      <c r="A220" t="s">
        <v>31</v>
      </c>
      <c r="B220" t="s">
        <v>13</v>
      </c>
      <c r="C220" t="s">
        <v>7</v>
      </c>
      <c r="D220" t="s">
        <v>8</v>
      </c>
      <c r="E220" s="3">
        <v>133597500</v>
      </c>
      <c r="F220" s="3">
        <v>132307100</v>
      </c>
      <c r="G220" t="s">
        <v>11</v>
      </c>
      <c r="H220" s="5">
        <v>971619800</v>
      </c>
      <c r="I220" t="s">
        <v>13</v>
      </c>
      <c r="J220" t="s">
        <v>13</v>
      </c>
      <c r="K220">
        <v>13.62</v>
      </c>
    </row>
    <row r="222" spans="1:11" x14ac:dyDescent="0.35">
      <c r="A222" t="s">
        <v>78</v>
      </c>
      <c r="B222" t="str">
        <f>"23206"</f>
        <v>23206</v>
      </c>
      <c r="C222" t="str">
        <f>"004"</f>
        <v>004</v>
      </c>
      <c r="D222">
        <v>2005</v>
      </c>
      <c r="E222" s="3">
        <v>234300</v>
      </c>
      <c r="F222" s="3">
        <v>125900</v>
      </c>
      <c r="G222" t="s">
        <v>11</v>
      </c>
      <c r="H222" s="5" t="s">
        <v>30</v>
      </c>
      <c r="I222" t="s">
        <v>13</v>
      </c>
      <c r="J222" t="s">
        <v>13</v>
      </c>
    </row>
    <row r="223" spans="1:11" x14ac:dyDescent="0.35">
      <c r="A223" t="s">
        <v>5</v>
      </c>
      <c r="B223" t="str">
        <f>"23206"</f>
        <v>23206</v>
      </c>
      <c r="C223" t="str">
        <f>"005"</f>
        <v>005</v>
      </c>
      <c r="D223">
        <v>2005</v>
      </c>
      <c r="E223" s="3">
        <v>1657100</v>
      </c>
      <c r="F223" s="3">
        <v>128100</v>
      </c>
      <c r="G223" t="s">
        <v>11</v>
      </c>
      <c r="H223" s="5" t="s">
        <v>30</v>
      </c>
      <c r="I223" t="s">
        <v>13</v>
      </c>
      <c r="J223" t="s">
        <v>13</v>
      </c>
    </row>
    <row r="224" spans="1:11" x14ac:dyDescent="0.35">
      <c r="A224" t="s">
        <v>5</v>
      </c>
      <c r="B224" t="str">
        <f>"53210"</f>
        <v>53210</v>
      </c>
      <c r="C224" t="str">
        <f>"006"</f>
        <v>006</v>
      </c>
      <c r="D224">
        <v>2006</v>
      </c>
      <c r="E224" s="3">
        <v>3198100</v>
      </c>
      <c r="F224" s="3">
        <v>3096000</v>
      </c>
      <c r="G224" t="s">
        <v>11</v>
      </c>
      <c r="H224" s="5" t="s">
        <v>30</v>
      </c>
      <c r="I224" t="s">
        <v>13</v>
      </c>
      <c r="J224" t="s">
        <v>13</v>
      </c>
    </row>
    <row r="225" spans="1:11" x14ac:dyDescent="0.35">
      <c r="A225" t="s">
        <v>5</v>
      </c>
      <c r="B225" t="str">
        <f>"23206"</f>
        <v>23206</v>
      </c>
      <c r="C225" t="str">
        <f>"006"</f>
        <v>006</v>
      </c>
      <c r="D225">
        <v>2006</v>
      </c>
      <c r="E225" s="3">
        <v>2726700</v>
      </c>
      <c r="F225" s="3">
        <v>1556400</v>
      </c>
      <c r="G225" t="s">
        <v>11</v>
      </c>
      <c r="H225" s="5" t="s">
        <v>30</v>
      </c>
      <c r="I225" t="s">
        <v>13</v>
      </c>
      <c r="J225" t="s">
        <v>13</v>
      </c>
    </row>
    <row r="226" spans="1:11" x14ac:dyDescent="0.35">
      <c r="A226" t="s">
        <v>5</v>
      </c>
      <c r="B226" t="str">
        <f>"23206"</f>
        <v>23206</v>
      </c>
      <c r="C226" t="str">
        <f>"007"</f>
        <v>007</v>
      </c>
      <c r="D226">
        <v>2013</v>
      </c>
      <c r="E226" s="3">
        <v>5845700</v>
      </c>
      <c r="F226" s="3">
        <v>1726900</v>
      </c>
      <c r="G226" t="s">
        <v>11</v>
      </c>
      <c r="H226" s="5" t="s">
        <v>30</v>
      </c>
      <c r="I226" t="s">
        <v>13</v>
      </c>
      <c r="J226" t="s">
        <v>13</v>
      </c>
    </row>
    <row r="227" spans="1:11" x14ac:dyDescent="0.35">
      <c r="A227" t="s">
        <v>5</v>
      </c>
      <c r="B227" t="str">
        <f>"23206"</f>
        <v>23206</v>
      </c>
      <c r="C227" t="str">
        <f>"008"</f>
        <v>008</v>
      </c>
      <c r="D227">
        <v>2021</v>
      </c>
      <c r="E227" s="3">
        <v>3860000</v>
      </c>
      <c r="F227" s="3">
        <v>263500</v>
      </c>
      <c r="G227" t="s">
        <v>11</v>
      </c>
      <c r="H227" s="5" t="s">
        <v>30</v>
      </c>
      <c r="I227" t="s">
        <v>13</v>
      </c>
      <c r="J227" t="s">
        <v>13</v>
      </c>
    </row>
    <row r="228" spans="1:11" x14ac:dyDescent="0.35">
      <c r="A228" t="s">
        <v>31</v>
      </c>
      <c r="B228" t="s">
        <v>13</v>
      </c>
      <c r="C228" t="s">
        <v>7</v>
      </c>
      <c r="D228" t="s">
        <v>8</v>
      </c>
      <c r="E228" s="3">
        <v>17521900</v>
      </c>
      <c r="F228" s="3">
        <v>6896800</v>
      </c>
      <c r="G228" t="s">
        <v>11</v>
      </c>
      <c r="H228" s="5">
        <v>250578400</v>
      </c>
      <c r="I228" t="s">
        <v>13</v>
      </c>
      <c r="J228" t="s">
        <v>13</v>
      </c>
      <c r="K228">
        <v>2.75</v>
      </c>
    </row>
    <row r="230" spans="1:11" x14ac:dyDescent="0.35">
      <c r="A230" t="s">
        <v>79</v>
      </c>
      <c r="B230" t="str">
        <f>"67002"</f>
        <v>67002</v>
      </c>
      <c r="C230" t="str">
        <f>"001A"</f>
        <v>001A</v>
      </c>
      <c r="D230">
        <v>2014</v>
      </c>
      <c r="E230" s="3">
        <v>320848500</v>
      </c>
      <c r="F230" s="3">
        <v>254861600</v>
      </c>
      <c r="G230" t="s">
        <v>11</v>
      </c>
      <c r="H230" s="5" t="s">
        <v>30</v>
      </c>
      <c r="I230" t="s">
        <v>13</v>
      </c>
      <c r="J230" t="s">
        <v>13</v>
      </c>
    </row>
    <row r="231" spans="1:11" x14ac:dyDescent="0.35">
      <c r="A231" t="s">
        <v>31</v>
      </c>
      <c r="B231" t="s">
        <v>13</v>
      </c>
      <c r="C231" t="s">
        <v>7</v>
      </c>
      <c r="D231" t="s">
        <v>8</v>
      </c>
      <c r="E231" s="3">
        <v>320848500</v>
      </c>
      <c r="F231" s="3">
        <v>254861600</v>
      </c>
      <c r="G231" t="s">
        <v>11</v>
      </c>
      <c r="H231" s="5">
        <v>1579707100</v>
      </c>
      <c r="I231" t="s">
        <v>13</v>
      </c>
      <c r="J231" t="s">
        <v>13</v>
      </c>
      <c r="K231">
        <v>16.13</v>
      </c>
    </row>
    <row r="232" spans="1:11" x14ac:dyDescent="0.35">
      <c r="A232" t="s">
        <v>79</v>
      </c>
      <c r="B232" t="str">
        <f>"67206"</f>
        <v>67206</v>
      </c>
      <c r="C232" t="str">
        <f>"004"</f>
        <v>004</v>
      </c>
      <c r="D232">
        <v>2015</v>
      </c>
      <c r="E232" s="3">
        <v>2286700</v>
      </c>
      <c r="F232" s="3">
        <v>2127900</v>
      </c>
      <c r="G232" t="s">
        <v>11</v>
      </c>
      <c r="H232" s="5" t="s">
        <v>30</v>
      </c>
      <c r="I232" t="s">
        <v>13</v>
      </c>
      <c r="J232" t="s">
        <v>13</v>
      </c>
    </row>
    <row r="233" spans="1:11" x14ac:dyDescent="0.35">
      <c r="A233" t="s">
        <v>5</v>
      </c>
      <c r="B233" t="str">
        <f>"67206"</f>
        <v>67206</v>
      </c>
      <c r="C233" t="str">
        <f>"005"</f>
        <v>005</v>
      </c>
      <c r="D233">
        <v>2015</v>
      </c>
      <c r="E233" s="3">
        <v>154776000</v>
      </c>
      <c r="F233" s="3">
        <v>153369000</v>
      </c>
      <c r="G233" t="s">
        <v>11</v>
      </c>
      <c r="H233" s="5" t="s">
        <v>30</v>
      </c>
      <c r="I233" t="s">
        <v>13</v>
      </c>
      <c r="J233" t="s">
        <v>13</v>
      </c>
    </row>
    <row r="234" spans="1:11" x14ac:dyDescent="0.35">
      <c r="A234" t="s">
        <v>5</v>
      </c>
      <c r="B234" t="str">
        <f>"67206"</f>
        <v>67206</v>
      </c>
      <c r="C234" t="str">
        <f>"006"</f>
        <v>006</v>
      </c>
      <c r="D234">
        <v>2016</v>
      </c>
      <c r="E234" s="3">
        <v>52090800</v>
      </c>
      <c r="F234" s="3">
        <v>36298400</v>
      </c>
      <c r="G234" t="s">
        <v>11</v>
      </c>
      <c r="H234" s="5" t="s">
        <v>30</v>
      </c>
      <c r="I234" t="s">
        <v>13</v>
      </c>
      <c r="J234" t="s">
        <v>13</v>
      </c>
    </row>
    <row r="235" spans="1:11" x14ac:dyDescent="0.35">
      <c r="A235" t="s">
        <v>5</v>
      </c>
      <c r="B235" t="str">
        <f>"67206"</f>
        <v>67206</v>
      </c>
      <c r="C235" t="str">
        <f>"007"</f>
        <v>007</v>
      </c>
      <c r="D235">
        <v>2018</v>
      </c>
      <c r="E235" s="3">
        <v>25164000</v>
      </c>
      <c r="F235" s="3">
        <v>24503400</v>
      </c>
      <c r="G235" t="s">
        <v>11</v>
      </c>
      <c r="H235" s="5" t="s">
        <v>30</v>
      </c>
      <c r="I235" t="s">
        <v>13</v>
      </c>
      <c r="J235" t="s">
        <v>13</v>
      </c>
    </row>
    <row r="236" spans="1:11" x14ac:dyDescent="0.35">
      <c r="A236" t="s">
        <v>5</v>
      </c>
      <c r="B236" t="str">
        <f>"67206"</f>
        <v>67206</v>
      </c>
      <c r="C236" t="str">
        <f>"008"</f>
        <v>008</v>
      </c>
      <c r="D236">
        <v>2018</v>
      </c>
      <c r="E236" s="3">
        <v>77666600</v>
      </c>
      <c r="F236" s="3">
        <v>51138400</v>
      </c>
      <c r="G236" t="s">
        <v>11</v>
      </c>
      <c r="H236" s="5" t="s">
        <v>30</v>
      </c>
      <c r="I236" t="s">
        <v>13</v>
      </c>
      <c r="J236" t="s">
        <v>13</v>
      </c>
    </row>
    <row r="237" spans="1:11" x14ac:dyDescent="0.35">
      <c r="A237" t="s">
        <v>31</v>
      </c>
      <c r="B237" t="s">
        <v>13</v>
      </c>
      <c r="C237" t="s">
        <v>7</v>
      </c>
      <c r="D237" t="s">
        <v>8</v>
      </c>
      <c r="E237" s="3">
        <v>311984100</v>
      </c>
      <c r="F237" s="3">
        <v>267437100</v>
      </c>
      <c r="G237" t="s">
        <v>11</v>
      </c>
      <c r="H237" s="5">
        <v>9027968300</v>
      </c>
      <c r="I237" t="s">
        <v>13</v>
      </c>
      <c r="J237" t="s">
        <v>13</v>
      </c>
      <c r="K237">
        <v>2.96</v>
      </c>
    </row>
    <row r="239" spans="1:11" x14ac:dyDescent="0.35">
      <c r="A239" t="s">
        <v>80</v>
      </c>
      <c r="B239" t="str">
        <f>"23109"</f>
        <v>23109</v>
      </c>
      <c r="C239" t="str">
        <f>"001"</f>
        <v>001</v>
      </c>
      <c r="D239">
        <v>2008</v>
      </c>
      <c r="E239" s="3">
        <v>6576500</v>
      </c>
      <c r="F239" s="3">
        <v>2175900</v>
      </c>
      <c r="G239" t="s">
        <v>11</v>
      </c>
      <c r="H239" s="5" t="s">
        <v>30</v>
      </c>
      <c r="I239" t="s">
        <v>13</v>
      </c>
      <c r="J239" t="s">
        <v>13</v>
      </c>
    </row>
    <row r="240" spans="1:11" x14ac:dyDescent="0.35">
      <c r="A240" t="s">
        <v>5</v>
      </c>
      <c r="B240" t="str">
        <f>"13109"</f>
        <v>13109</v>
      </c>
      <c r="C240" t="str">
        <f>"001"</f>
        <v>001</v>
      </c>
      <c r="D240">
        <v>2008</v>
      </c>
      <c r="E240" s="3">
        <v>1379400</v>
      </c>
      <c r="F240" s="3">
        <v>546400</v>
      </c>
      <c r="G240" t="s">
        <v>11</v>
      </c>
      <c r="H240" s="5" t="s">
        <v>30</v>
      </c>
      <c r="I240" t="s">
        <v>13</v>
      </c>
      <c r="J240" t="s">
        <v>13</v>
      </c>
    </row>
    <row r="241" spans="1:11" x14ac:dyDescent="0.35">
      <c r="A241" t="s">
        <v>5</v>
      </c>
      <c r="B241" t="str">
        <f>"13109"</f>
        <v>13109</v>
      </c>
      <c r="C241" t="str">
        <f>"002"</f>
        <v>002</v>
      </c>
      <c r="D241">
        <v>2013</v>
      </c>
      <c r="E241" s="3">
        <v>2808200</v>
      </c>
      <c r="F241" s="3">
        <v>2787100</v>
      </c>
      <c r="G241" t="s">
        <v>11</v>
      </c>
      <c r="H241" s="5" t="s">
        <v>30</v>
      </c>
      <c r="I241" t="s">
        <v>13</v>
      </c>
      <c r="J241" t="s">
        <v>13</v>
      </c>
    </row>
    <row r="242" spans="1:11" x14ac:dyDescent="0.35">
      <c r="A242" t="s">
        <v>31</v>
      </c>
      <c r="B242" t="s">
        <v>13</v>
      </c>
      <c r="C242" t="s">
        <v>7</v>
      </c>
      <c r="D242" t="s">
        <v>8</v>
      </c>
      <c r="E242" s="3">
        <v>10764100</v>
      </c>
      <c r="F242" s="3">
        <v>5509400</v>
      </c>
      <c r="G242" t="s">
        <v>11</v>
      </c>
      <c r="H242" s="5">
        <v>149124900</v>
      </c>
      <c r="I242" t="s">
        <v>13</v>
      </c>
      <c r="J242" t="s">
        <v>13</v>
      </c>
      <c r="K242">
        <v>3.69</v>
      </c>
    </row>
    <row r="244" spans="1:11" x14ac:dyDescent="0.35">
      <c r="A244" t="s">
        <v>81</v>
      </c>
      <c r="B244" t="str">
        <f>"40107"</f>
        <v>40107</v>
      </c>
      <c r="C244" t="str">
        <f>"002"</f>
        <v>002</v>
      </c>
      <c r="D244">
        <v>1995</v>
      </c>
      <c r="E244" s="3">
        <v>37415800</v>
      </c>
      <c r="F244" s="3">
        <v>25435900</v>
      </c>
      <c r="G244" t="s">
        <v>11</v>
      </c>
      <c r="H244" s="5" t="s">
        <v>30</v>
      </c>
      <c r="I244" t="s">
        <v>13</v>
      </c>
      <c r="J244" t="s">
        <v>13</v>
      </c>
    </row>
    <row r="245" spans="1:11" x14ac:dyDescent="0.35">
      <c r="A245" t="s">
        <v>5</v>
      </c>
      <c r="B245" t="str">
        <f>"40107"</f>
        <v>40107</v>
      </c>
      <c r="C245" t="str">
        <f>"003"</f>
        <v>003</v>
      </c>
      <c r="D245">
        <v>2005</v>
      </c>
      <c r="E245" s="3">
        <v>46409400</v>
      </c>
      <c r="F245" s="3">
        <v>23440500</v>
      </c>
      <c r="G245" t="s">
        <v>11</v>
      </c>
      <c r="H245" s="5" t="s">
        <v>30</v>
      </c>
      <c r="I245" t="s">
        <v>13</v>
      </c>
      <c r="J245" t="s">
        <v>13</v>
      </c>
    </row>
    <row r="246" spans="1:11" x14ac:dyDescent="0.35">
      <c r="A246" t="s">
        <v>5</v>
      </c>
      <c r="B246" t="str">
        <f>"40107"</f>
        <v>40107</v>
      </c>
      <c r="C246" t="str">
        <f>"004"</f>
        <v>004</v>
      </c>
      <c r="D246">
        <v>2005</v>
      </c>
      <c r="E246" s="3">
        <v>42833200</v>
      </c>
      <c r="F246" s="3">
        <v>23034600</v>
      </c>
      <c r="G246" t="s">
        <v>11</v>
      </c>
      <c r="H246" s="5" t="s">
        <v>30</v>
      </c>
      <c r="I246" t="s">
        <v>13</v>
      </c>
      <c r="J246" t="s">
        <v>13</v>
      </c>
    </row>
    <row r="247" spans="1:11" x14ac:dyDescent="0.35">
      <c r="A247" t="s">
        <v>31</v>
      </c>
      <c r="B247" t="s">
        <v>13</v>
      </c>
      <c r="C247" t="s">
        <v>7</v>
      </c>
      <c r="D247" t="s">
        <v>8</v>
      </c>
      <c r="E247" s="3">
        <v>126658400</v>
      </c>
      <c r="F247" s="3">
        <v>71911000</v>
      </c>
      <c r="G247" t="s">
        <v>11</v>
      </c>
      <c r="H247" s="5">
        <v>1295316300</v>
      </c>
      <c r="I247" t="s">
        <v>13</v>
      </c>
      <c r="J247" t="s">
        <v>13</v>
      </c>
      <c r="K247">
        <v>5.55</v>
      </c>
    </row>
    <row r="249" spans="1:11" x14ac:dyDescent="0.35">
      <c r="A249" t="s">
        <v>82</v>
      </c>
      <c r="B249" t="str">
        <f>"54106"</f>
        <v>54106</v>
      </c>
      <c r="C249" t="str">
        <f>"002"</f>
        <v>002</v>
      </c>
      <c r="D249">
        <v>2002</v>
      </c>
      <c r="E249" s="3">
        <v>1471400</v>
      </c>
      <c r="F249" s="3">
        <v>199000</v>
      </c>
      <c r="G249" t="s">
        <v>11</v>
      </c>
      <c r="H249" s="5" t="s">
        <v>30</v>
      </c>
      <c r="I249" t="s">
        <v>13</v>
      </c>
      <c r="J249" t="s">
        <v>13</v>
      </c>
    </row>
    <row r="250" spans="1:11" x14ac:dyDescent="0.35">
      <c r="A250" t="s">
        <v>31</v>
      </c>
      <c r="B250" t="s">
        <v>13</v>
      </c>
      <c r="C250" t="s">
        <v>7</v>
      </c>
      <c r="D250" t="s">
        <v>8</v>
      </c>
      <c r="E250" s="3">
        <v>1471400</v>
      </c>
      <c r="F250" s="3">
        <v>199000</v>
      </c>
      <c r="G250" t="s">
        <v>11</v>
      </c>
      <c r="H250" s="5">
        <v>34900000</v>
      </c>
      <c r="I250" t="s">
        <v>13</v>
      </c>
      <c r="J250" t="s">
        <v>13</v>
      </c>
      <c r="K250">
        <v>0.56999999999999995</v>
      </c>
    </row>
    <row r="252" spans="1:11" x14ac:dyDescent="0.35">
      <c r="A252" t="s">
        <v>83</v>
      </c>
      <c r="B252" t="str">
        <f>"09111"</f>
        <v>09111</v>
      </c>
      <c r="C252" t="str">
        <f>"004"</f>
        <v>004</v>
      </c>
      <c r="D252">
        <v>2013</v>
      </c>
      <c r="E252" s="3">
        <v>4944500</v>
      </c>
      <c r="F252" s="3">
        <v>2699300</v>
      </c>
      <c r="G252" t="s">
        <v>11</v>
      </c>
      <c r="H252" s="5" t="s">
        <v>30</v>
      </c>
      <c r="I252" t="s">
        <v>13</v>
      </c>
      <c r="J252" t="s">
        <v>13</v>
      </c>
    </row>
    <row r="253" spans="1:11" x14ac:dyDescent="0.35">
      <c r="A253" t="s">
        <v>5</v>
      </c>
      <c r="B253" t="str">
        <f>"09111"</f>
        <v>09111</v>
      </c>
      <c r="C253" t="str">
        <f>"005"</f>
        <v>005</v>
      </c>
      <c r="D253">
        <v>2019</v>
      </c>
      <c r="E253" s="3">
        <v>811600</v>
      </c>
      <c r="F253" s="3">
        <v>148100</v>
      </c>
      <c r="G253" t="s">
        <v>11</v>
      </c>
      <c r="H253" s="5" t="s">
        <v>30</v>
      </c>
      <c r="I253" t="s">
        <v>13</v>
      </c>
      <c r="J253" t="s">
        <v>13</v>
      </c>
    </row>
    <row r="254" spans="1:11" x14ac:dyDescent="0.35">
      <c r="A254" t="s">
        <v>31</v>
      </c>
      <c r="B254" t="s">
        <v>13</v>
      </c>
      <c r="C254" t="s">
        <v>7</v>
      </c>
      <c r="D254" t="s">
        <v>8</v>
      </c>
      <c r="E254" s="3">
        <v>5756100</v>
      </c>
      <c r="F254" s="3">
        <v>2847400</v>
      </c>
      <c r="G254" t="s">
        <v>11</v>
      </c>
      <c r="H254" s="5">
        <v>107926200</v>
      </c>
      <c r="I254" t="s">
        <v>13</v>
      </c>
      <c r="J254" t="s">
        <v>13</v>
      </c>
      <c r="K254">
        <v>2.64</v>
      </c>
    </row>
    <row r="256" spans="1:11" x14ac:dyDescent="0.35">
      <c r="A256" t="s">
        <v>84</v>
      </c>
      <c r="B256" t="str">
        <f>"51104"</f>
        <v>51104</v>
      </c>
      <c r="C256" t="str">
        <f>"001"</f>
        <v>001</v>
      </c>
      <c r="D256">
        <v>2007</v>
      </c>
      <c r="E256" s="3">
        <v>7592000</v>
      </c>
      <c r="F256" s="3">
        <v>5760200</v>
      </c>
      <c r="G256" t="s">
        <v>11</v>
      </c>
      <c r="H256" s="5" t="s">
        <v>30</v>
      </c>
      <c r="I256" t="s">
        <v>13</v>
      </c>
      <c r="J256" t="s">
        <v>13</v>
      </c>
    </row>
    <row r="257" spans="1:11" x14ac:dyDescent="0.35">
      <c r="A257" t="s">
        <v>5</v>
      </c>
      <c r="B257" t="str">
        <f>"51104"</f>
        <v>51104</v>
      </c>
      <c r="C257" t="str">
        <f>"003"</f>
        <v>003</v>
      </c>
      <c r="D257">
        <v>2011</v>
      </c>
      <c r="E257" s="3">
        <v>46094200</v>
      </c>
      <c r="F257" s="3">
        <v>17461500</v>
      </c>
      <c r="G257" t="s">
        <v>11</v>
      </c>
      <c r="H257" s="5" t="s">
        <v>30</v>
      </c>
      <c r="I257" t="s">
        <v>13</v>
      </c>
      <c r="J257" t="s">
        <v>13</v>
      </c>
    </row>
    <row r="258" spans="1:11" x14ac:dyDescent="0.35">
      <c r="A258" t="s">
        <v>5</v>
      </c>
      <c r="B258" t="str">
        <f>"51104"</f>
        <v>51104</v>
      </c>
      <c r="C258" t="str">
        <f>"004"</f>
        <v>004</v>
      </c>
      <c r="D258">
        <v>2014</v>
      </c>
      <c r="E258" s="3">
        <v>65881800</v>
      </c>
      <c r="F258" s="3">
        <v>50437600</v>
      </c>
      <c r="G258" t="s">
        <v>11</v>
      </c>
      <c r="H258" s="5" t="s">
        <v>30</v>
      </c>
      <c r="I258" t="s">
        <v>13</v>
      </c>
      <c r="J258" t="s">
        <v>13</v>
      </c>
    </row>
    <row r="259" spans="1:11" x14ac:dyDescent="0.35">
      <c r="A259" t="s">
        <v>5</v>
      </c>
      <c r="B259" t="str">
        <f>"51104"</f>
        <v>51104</v>
      </c>
      <c r="C259" t="str">
        <f>"005"</f>
        <v>005</v>
      </c>
      <c r="D259">
        <v>2019</v>
      </c>
      <c r="E259" s="3">
        <v>4798200</v>
      </c>
      <c r="F259" s="3">
        <v>4181000</v>
      </c>
      <c r="G259" t="s">
        <v>11</v>
      </c>
      <c r="H259" s="5" t="s">
        <v>30</v>
      </c>
      <c r="I259" t="s">
        <v>13</v>
      </c>
      <c r="J259" t="s">
        <v>13</v>
      </c>
    </row>
    <row r="260" spans="1:11" x14ac:dyDescent="0.35">
      <c r="A260" t="s">
        <v>31</v>
      </c>
      <c r="B260" t="s">
        <v>13</v>
      </c>
      <c r="C260" t="s">
        <v>7</v>
      </c>
      <c r="D260" t="s">
        <v>8</v>
      </c>
      <c r="E260" s="3">
        <v>124366200</v>
      </c>
      <c r="F260" s="3">
        <v>77840300</v>
      </c>
      <c r="G260" t="s">
        <v>11</v>
      </c>
      <c r="H260" s="5">
        <v>3102954000</v>
      </c>
      <c r="I260" t="s">
        <v>13</v>
      </c>
      <c r="J260" t="s">
        <v>13</v>
      </c>
      <c r="K260">
        <v>2.5099999999999998</v>
      </c>
    </row>
    <row r="262" spans="1:11" x14ac:dyDescent="0.35">
      <c r="A262" t="s">
        <v>85</v>
      </c>
      <c r="B262" t="str">
        <f>"13111"</f>
        <v>13111</v>
      </c>
      <c r="C262" t="str">
        <f>"004"</f>
        <v>004</v>
      </c>
      <c r="D262">
        <v>2013</v>
      </c>
      <c r="E262" s="3">
        <v>13874300</v>
      </c>
      <c r="F262" s="3">
        <v>3833300</v>
      </c>
      <c r="G262" t="s">
        <v>11</v>
      </c>
      <c r="H262" s="5" t="s">
        <v>30</v>
      </c>
      <c r="I262" t="s">
        <v>13</v>
      </c>
      <c r="J262" t="s">
        <v>13</v>
      </c>
    </row>
    <row r="263" spans="1:11" x14ac:dyDescent="0.35">
      <c r="A263" t="s">
        <v>5</v>
      </c>
      <c r="B263" t="str">
        <f>"13111"</f>
        <v>13111</v>
      </c>
      <c r="C263" t="str">
        <f>"005"</f>
        <v>005</v>
      </c>
      <c r="D263">
        <v>2020</v>
      </c>
      <c r="E263" s="3">
        <v>8170500</v>
      </c>
      <c r="F263" s="3">
        <v>5163300</v>
      </c>
      <c r="G263" t="s">
        <v>11</v>
      </c>
      <c r="H263" s="5" t="s">
        <v>30</v>
      </c>
      <c r="I263" t="s">
        <v>13</v>
      </c>
      <c r="J263" t="s">
        <v>13</v>
      </c>
    </row>
    <row r="264" spans="1:11" x14ac:dyDescent="0.35">
      <c r="A264" t="s">
        <v>31</v>
      </c>
      <c r="B264" t="s">
        <v>13</v>
      </c>
      <c r="C264" t="s">
        <v>7</v>
      </c>
      <c r="D264" t="s">
        <v>8</v>
      </c>
      <c r="E264" s="3">
        <v>22044800</v>
      </c>
      <c r="F264" s="3">
        <v>8996600</v>
      </c>
      <c r="G264" t="s">
        <v>11</v>
      </c>
      <c r="H264" s="5">
        <v>248676400</v>
      </c>
      <c r="I264" t="s">
        <v>13</v>
      </c>
      <c r="J264" t="s">
        <v>13</v>
      </c>
      <c r="K264">
        <v>3.62</v>
      </c>
    </row>
    <row r="266" spans="1:11" x14ac:dyDescent="0.35">
      <c r="A266" t="s">
        <v>86</v>
      </c>
      <c r="B266" t="str">
        <f>"03111"</f>
        <v>03111</v>
      </c>
      <c r="C266" t="str">
        <f>"001"</f>
        <v>001</v>
      </c>
      <c r="D266">
        <v>2005</v>
      </c>
      <c r="E266" s="3">
        <v>24104000</v>
      </c>
      <c r="F266" s="3">
        <v>21786500</v>
      </c>
      <c r="G266" t="s">
        <v>11</v>
      </c>
      <c r="H266" s="5" t="s">
        <v>30</v>
      </c>
      <c r="I266" t="s">
        <v>13</v>
      </c>
      <c r="J266" t="s">
        <v>13</v>
      </c>
    </row>
    <row r="267" spans="1:11" x14ac:dyDescent="0.35">
      <c r="A267" t="s">
        <v>31</v>
      </c>
      <c r="B267" t="s">
        <v>13</v>
      </c>
      <c r="C267" t="s">
        <v>7</v>
      </c>
      <c r="D267" t="s">
        <v>8</v>
      </c>
      <c r="E267" s="3">
        <v>24104000</v>
      </c>
      <c r="F267" s="3">
        <v>21786500</v>
      </c>
      <c r="G267" t="s">
        <v>11</v>
      </c>
      <c r="H267" s="5">
        <v>154952100</v>
      </c>
      <c r="I267" t="s">
        <v>13</v>
      </c>
      <c r="J267" t="s">
        <v>13</v>
      </c>
      <c r="K267">
        <v>14.06</v>
      </c>
    </row>
    <row r="269" spans="1:11" x14ac:dyDescent="0.35">
      <c r="A269" t="s">
        <v>87</v>
      </c>
      <c r="B269" t="str">
        <f>"20111"</f>
        <v>20111</v>
      </c>
      <c r="C269" t="str">
        <f>"001"</f>
        <v>001</v>
      </c>
      <c r="D269">
        <v>2011</v>
      </c>
      <c r="E269" s="3">
        <v>5793400</v>
      </c>
      <c r="F269" s="3">
        <v>4030100</v>
      </c>
      <c r="G269" t="s">
        <v>11</v>
      </c>
      <c r="H269" s="5" t="s">
        <v>30</v>
      </c>
      <c r="I269" t="s">
        <v>13</v>
      </c>
      <c r="J269" t="s">
        <v>13</v>
      </c>
    </row>
    <row r="270" spans="1:11" x14ac:dyDescent="0.35">
      <c r="A270" t="s">
        <v>31</v>
      </c>
      <c r="B270" t="s">
        <v>13</v>
      </c>
      <c r="C270" t="s">
        <v>7</v>
      </c>
      <c r="D270" t="s">
        <v>8</v>
      </c>
      <c r="E270" s="3">
        <v>5793400</v>
      </c>
      <c r="F270" s="3">
        <v>4030100</v>
      </c>
      <c r="G270" t="s">
        <v>11</v>
      </c>
      <c r="H270" s="5">
        <v>141666000</v>
      </c>
      <c r="I270" t="s">
        <v>13</v>
      </c>
      <c r="J270" t="s">
        <v>13</v>
      </c>
      <c r="K270">
        <v>2.84</v>
      </c>
    </row>
    <row r="272" spans="1:11" x14ac:dyDescent="0.35">
      <c r="A272" t="s">
        <v>88</v>
      </c>
      <c r="B272" t="str">
        <f>"59111"</f>
        <v>59111</v>
      </c>
      <c r="C272" t="str">
        <f>"001"</f>
        <v>001</v>
      </c>
      <c r="D272">
        <v>2011</v>
      </c>
      <c r="E272" s="3">
        <v>1246900</v>
      </c>
      <c r="F272" s="3">
        <v>669900</v>
      </c>
      <c r="G272" t="s">
        <v>11</v>
      </c>
      <c r="H272" s="5" t="s">
        <v>30</v>
      </c>
      <c r="I272" t="s">
        <v>13</v>
      </c>
      <c r="J272" t="s">
        <v>13</v>
      </c>
    </row>
    <row r="273" spans="1:11" x14ac:dyDescent="0.35">
      <c r="A273" t="s">
        <v>31</v>
      </c>
      <c r="B273" t="s">
        <v>13</v>
      </c>
      <c r="C273" t="s">
        <v>7</v>
      </c>
      <c r="D273" t="s">
        <v>8</v>
      </c>
      <c r="E273" s="3">
        <v>1246900</v>
      </c>
      <c r="F273" s="3">
        <v>669900</v>
      </c>
      <c r="G273" t="s">
        <v>11</v>
      </c>
      <c r="H273" s="5">
        <v>53130500</v>
      </c>
      <c r="I273" t="s">
        <v>13</v>
      </c>
      <c r="J273" t="s">
        <v>13</v>
      </c>
      <c r="K273">
        <v>1.26</v>
      </c>
    </row>
    <row r="275" spans="1:11" x14ac:dyDescent="0.35">
      <c r="A275" t="s">
        <v>89</v>
      </c>
      <c r="B275" t="str">
        <f>"41111"</f>
        <v>41111</v>
      </c>
      <c r="C275" t="str">
        <f>"002"</f>
        <v>002</v>
      </c>
      <c r="D275">
        <v>1998</v>
      </c>
      <c r="E275" s="3">
        <v>11366800</v>
      </c>
      <c r="F275" s="3">
        <v>10530800</v>
      </c>
      <c r="G275" t="s">
        <v>11</v>
      </c>
      <c r="H275" s="5" t="s">
        <v>30</v>
      </c>
      <c r="I275" t="s">
        <v>13</v>
      </c>
      <c r="J275" t="s">
        <v>13</v>
      </c>
    </row>
    <row r="276" spans="1:11" x14ac:dyDescent="0.35">
      <c r="A276" t="s">
        <v>5</v>
      </c>
      <c r="B276" t="str">
        <f>"41111"</f>
        <v>41111</v>
      </c>
      <c r="C276" t="str">
        <f>"003"</f>
        <v>003</v>
      </c>
      <c r="D276">
        <v>2005</v>
      </c>
      <c r="E276" s="3">
        <v>47253400</v>
      </c>
      <c r="F276" s="3">
        <v>46921100</v>
      </c>
      <c r="G276" t="s">
        <v>11</v>
      </c>
      <c r="H276" s="5" t="s">
        <v>30</v>
      </c>
      <c r="I276" t="s">
        <v>13</v>
      </c>
      <c r="J276" t="s">
        <v>13</v>
      </c>
    </row>
    <row r="277" spans="1:11" x14ac:dyDescent="0.35">
      <c r="A277" t="s">
        <v>31</v>
      </c>
      <c r="B277" t="s">
        <v>13</v>
      </c>
      <c r="C277" t="s">
        <v>7</v>
      </c>
      <c r="D277" t="s">
        <v>8</v>
      </c>
      <c r="E277" s="3">
        <v>58620200</v>
      </c>
      <c r="F277" s="3">
        <v>57451900</v>
      </c>
      <c r="G277" t="s">
        <v>11</v>
      </c>
      <c r="H277" s="5">
        <v>116591600</v>
      </c>
      <c r="I277" t="s">
        <v>13</v>
      </c>
      <c r="J277" t="s">
        <v>13</v>
      </c>
      <c r="K277">
        <v>49.28</v>
      </c>
    </row>
    <row r="279" spans="1:11" x14ac:dyDescent="0.35">
      <c r="A279" t="s">
        <v>90</v>
      </c>
      <c r="B279" t="str">
        <f>"59112"</f>
        <v>59112</v>
      </c>
      <c r="C279" t="str">
        <f>"001"</f>
        <v>001</v>
      </c>
      <c r="D279">
        <v>2009</v>
      </c>
      <c r="E279" s="3">
        <v>975800</v>
      </c>
      <c r="F279" s="3">
        <v>731000</v>
      </c>
      <c r="G279" t="s">
        <v>11</v>
      </c>
      <c r="H279" s="5" t="s">
        <v>30</v>
      </c>
      <c r="I279" t="s">
        <v>13</v>
      </c>
      <c r="J279" t="s">
        <v>13</v>
      </c>
    </row>
    <row r="280" spans="1:11" x14ac:dyDescent="0.35">
      <c r="A280" t="s">
        <v>31</v>
      </c>
      <c r="B280" t="s">
        <v>13</v>
      </c>
      <c r="C280" t="s">
        <v>7</v>
      </c>
      <c r="D280" t="s">
        <v>8</v>
      </c>
      <c r="E280" s="3">
        <v>975800</v>
      </c>
      <c r="F280" s="3">
        <v>731000</v>
      </c>
      <c r="G280" t="s">
        <v>11</v>
      </c>
      <c r="H280" s="5">
        <v>189385700</v>
      </c>
      <c r="I280" t="s">
        <v>13</v>
      </c>
      <c r="J280" t="s">
        <v>13</v>
      </c>
      <c r="K280">
        <v>0.39</v>
      </c>
    </row>
    <row r="282" spans="1:11" x14ac:dyDescent="0.35">
      <c r="A282" t="s">
        <v>91</v>
      </c>
      <c r="B282" t="str">
        <f>"45211"</f>
        <v>45211</v>
      </c>
      <c r="C282" t="str">
        <f>"003"</f>
        <v>003</v>
      </c>
      <c r="D282">
        <v>2015</v>
      </c>
      <c r="E282" s="3">
        <v>992300</v>
      </c>
      <c r="F282" s="3">
        <v>709800</v>
      </c>
      <c r="G282" t="s">
        <v>11</v>
      </c>
      <c r="H282" s="5" t="s">
        <v>30</v>
      </c>
      <c r="I282" t="s">
        <v>13</v>
      </c>
      <c r="J282" t="s">
        <v>13</v>
      </c>
    </row>
    <row r="283" spans="1:11" x14ac:dyDescent="0.35">
      <c r="A283" t="s">
        <v>5</v>
      </c>
      <c r="B283" t="str">
        <f>"45211"</f>
        <v>45211</v>
      </c>
      <c r="C283" t="str">
        <f>"004"</f>
        <v>004</v>
      </c>
      <c r="D283">
        <v>2018</v>
      </c>
      <c r="E283" s="3">
        <v>275300</v>
      </c>
      <c r="F283" s="3">
        <v>274700</v>
      </c>
      <c r="G283" t="s">
        <v>11</v>
      </c>
      <c r="H283" s="5" t="s">
        <v>30</v>
      </c>
      <c r="I283" t="s">
        <v>13</v>
      </c>
      <c r="J283" t="s">
        <v>13</v>
      </c>
    </row>
    <row r="284" spans="1:11" x14ac:dyDescent="0.35">
      <c r="A284" t="s">
        <v>5</v>
      </c>
      <c r="B284" t="str">
        <f>"45211"</f>
        <v>45211</v>
      </c>
      <c r="C284" t="str">
        <f>"005"</f>
        <v>005</v>
      </c>
      <c r="D284">
        <v>2018</v>
      </c>
      <c r="E284" s="3">
        <v>12972200</v>
      </c>
      <c r="F284" s="3">
        <v>12038000</v>
      </c>
      <c r="G284" t="s">
        <v>11</v>
      </c>
      <c r="H284" s="5" t="s">
        <v>30</v>
      </c>
      <c r="I284" t="s">
        <v>13</v>
      </c>
      <c r="J284" t="s">
        <v>13</v>
      </c>
    </row>
    <row r="285" spans="1:11" x14ac:dyDescent="0.35">
      <c r="A285" t="s">
        <v>5</v>
      </c>
      <c r="B285" t="str">
        <f>"45211"</f>
        <v>45211</v>
      </c>
      <c r="C285" t="str">
        <f>"006"</f>
        <v>006</v>
      </c>
      <c r="D285">
        <v>2020</v>
      </c>
      <c r="E285" s="3">
        <v>17745500</v>
      </c>
      <c r="F285" s="3">
        <v>17745500</v>
      </c>
      <c r="G285" t="s">
        <v>11</v>
      </c>
      <c r="H285" s="5" t="s">
        <v>30</v>
      </c>
      <c r="I285" t="s">
        <v>13</v>
      </c>
      <c r="J285" t="s">
        <v>13</v>
      </c>
    </row>
    <row r="286" spans="1:11" x14ac:dyDescent="0.35">
      <c r="A286" t="s">
        <v>31</v>
      </c>
      <c r="B286" t="s">
        <v>13</v>
      </c>
      <c r="C286" t="s">
        <v>7</v>
      </c>
      <c r="D286" t="s">
        <v>8</v>
      </c>
      <c r="E286" s="3">
        <v>31985300</v>
      </c>
      <c r="F286" s="3">
        <v>30768000</v>
      </c>
      <c r="G286" t="s">
        <v>11</v>
      </c>
      <c r="H286" s="5">
        <v>1978343600</v>
      </c>
      <c r="I286" t="s">
        <v>13</v>
      </c>
      <c r="J286" t="s">
        <v>13</v>
      </c>
      <c r="K286">
        <v>1.56</v>
      </c>
    </row>
    <row r="288" spans="1:11" x14ac:dyDescent="0.35">
      <c r="A288" t="s">
        <v>92</v>
      </c>
      <c r="B288" t="str">
        <f>"48111"</f>
        <v>48111</v>
      </c>
      <c r="C288" t="str">
        <f>"001"</f>
        <v>001</v>
      </c>
      <c r="D288">
        <v>1999</v>
      </c>
      <c r="E288" s="3">
        <v>12042000</v>
      </c>
      <c r="F288" s="3">
        <v>7359000</v>
      </c>
      <c r="G288" t="s">
        <v>11</v>
      </c>
      <c r="H288" s="5" t="s">
        <v>30</v>
      </c>
      <c r="I288" t="s">
        <v>13</v>
      </c>
      <c r="J288" t="s">
        <v>13</v>
      </c>
    </row>
    <row r="289" spans="1:11" x14ac:dyDescent="0.35">
      <c r="A289" t="s">
        <v>31</v>
      </c>
      <c r="B289" t="s">
        <v>13</v>
      </c>
      <c r="C289" t="s">
        <v>7</v>
      </c>
      <c r="D289" t="s">
        <v>8</v>
      </c>
      <c r="E289" s="3">
        <v>12042000</v>
      </c>
      <c r="F289" s="3">
        <v>7359000</v>
      </c>
      <c r="G289" t="s">
        <v>11</v>
      </c>
      <c r="H289" s="5">
        <v>42887400</v>
      </c>
      <c r="I289" t="s">
        <v>13</v>
      </c>
      <c r="J289" t="s">
        <v>13</v>
      </c>
      <c r="K289">
        <v>17.16</v>
      </c>
    </row>
    <row r="291" spans="1:11" x14ac:dyDescent="0.35">
      <c r="A291" t="s">
        <v>93</v>
      </c>
      <c r="B291" t="str">
        <f>"03211"</f>
        <v>03211</v>
      </c>
      <c r="C291" t="str">
        <f>"003"</f>
        <v>003</v>
      </c>
      <c r="D291">
        <v>2007</v>
      </c>
      <c r="E291" s="3">
        <v>120700</v>
      </c>
      <c r="F291" s="3">
        <v>-102100</v>
      </c>
      <c r="G291" t="s">
        <v>52</v>
      </c>
      <c r="H291" s="5" t="s">
        <v>30</v>
      </c>
      <c r="I291" t="s">
        <v>13</v>
      </c>
      <c r="J291" t="s">
        <v>13</v>
      </c>
    </row>
    <row r="292" spans="1:11" x14ac:dyDescent="0.35">
      <c r="A292" t="s">
        <v>5</v>
      </c>
      <c r="B292" t="str">
        <f>"03211"</f>
        <v>03211</v>
      </c>
      <c r="C292" t="str">
        <f>"004"</f>
        <v>004</v>
      </c>
      <c r="D292">
        <v>2020</v>
      </c>
      <c r="E292" s="3">
        <v>3717800</v>
      </c>
      <c r="F292" s="3">
        <v>40000</v>
      </c>
      <c r="G292" t="s">
        <v>11</v>
      </c>
      <c r="H292" s="5" t="s">
        <v>30</v>
      </c>
      <c r="I292" t="s">
        <v>13</v>
      </c>
      <c r="J292" t="s">
        <v>13</v>
      </c>
    </row>
    <row r="293" spans="1:11" x14ac:dyDescent="0.35">
      <c r="A293" t="s">
        <v>31</v>
      </c>
      <c r="B293" t="s">
        <v>13</v>
      </c>
      <c r="C293" t="s">
        <v>7</v>
      </c>
      <c r="D293" t="s">
        <v>8</v>
      </c>
      <c r="E293" s="3">
        <v>3838500</v>
      </c>
      <c r="F293" s="3">
        <v>40000</v>
      </c>
      <c r="G293" t="s">
        <v>11</v>
      </c>
      <c r="H293" s="5">
        <v>192144000</v>
      </c>
      <c r="I293" t="s">
        <v>13</v>
      </c>
      <c r="J293" t="s">
        <v>13</v>
      </c>
      <c r="K293">
        <v>0.02</v>
      </c>
    </row>
    <row r="295" spans="1:11" x14ac:dyDescent="0.35">
      <c r="A295" t="s">
        <v>94</v>
      </c>
      <c r="B295" t="str">
        <f>"08211"</f>
        <v>08211</v>
      </c>
      <c r="C295" t="str">
        <f>"004"</f>
        <v>004</v>
      </c>
      <c r="D295">
        <v>2005</v>
      </c>
      <c r="E295" s="3">
        <v>6768100</v>
      </c>
      <c r="F295" s="3">
        <v>4611800</v>
      </c>
      <c r="G295" t="s">
        <v>11</v>
      </c>
      <c r="H295" s="5" t="s">
        <v>30</v>
      </c>
      <c r="I295" t="s">
        <v>13</v>
      </c>
      <c r="J295" t="s">
        <v>13</v>
      </c>
    </row>
    <row r="296" spans="1:11" x14ac:dyDescent="0.35">
      <c r="A296" t="s">
        <v>5</v>
      </c>
      <c r="B296" t="str">
        <f>"08211"</f>
        <v>08211</v>
      </c>
      <c r="C296" t="str">
        <f>"006"</f>
        <v>006</v>
      </c>
      <c r="D296">
        <v>2017</v>
      </c>
      <c r="E296" s="3">
        <v>10428900</v>
      </c>
      <c r="F296" s="3">
        <v>9432500</v>
      </c>
      <c r="G296" t="s">
        <v>11</v>
      </c>
      <c r="H296" s="5" t="s">
        <v>30</v>
      </c>
      <c r="I296" t="s">
        <v>13</v>
      </c>
      <c r="J296" t="s">
        <v>13</v>
      </c>
    </row>
    <row r="297" spans="1:11" x14ac:dyDescent="0.35">
      <c r="A297" t="s">
        <v>5</v>
      </c>
      <c r="B297" t="str">
        <f>"08211"</f>
        <v>08211</v>
      </c>
      <c r="C297" t="str">
        <f>"007"</f>
        <v>007</v>
      </c>
      <c r="D297">
        <v>2017</v>
      </c>
      <c r="E297" s="3">
        <v>502300</v>
      </c>
      <c r="F297" s="3">
        <v>456500</v>
      </c>
      <c r="G297" t="s">
        <v>11</v>
      </c>
      <c r="H297" s="5" t="s">
        <v>30</v>
      </c>
      <c r="I297" t="s">
        <v>13</v>
      </c>
      <c r="J297" t="s">
        <v>13</v>
      </c>
    </row>
    <row r="298" spans="1:11" x14ac:dyDescent="0.35">
      <c r="A298" t="s">
        <v>5</v>
      </c>
      <c r="B298" t="str">
        <f>"08211"</f>
        <v>08211</v>
      </c>
      <c r="C298" t="str">
        <f>"008"</f>
        <v>008</v>
      </c>
      <c r="D298">
        <v>2020</v>
      </c>
      <c r="E298" s="3">
        <v>6307500</v>
      </c>
      <c r="F298" s="3">
        <v>4481500</v>
      </c>
      <c r="G298" t="s">
        <v>11</v>
      </c>
      <c r="H298" s="5" t="s">
        <v>30</v>
      </c>
      <c r="I298" t="s">
        <v>13</v>
      </c>
      <c r="J298" t="s">
        <v>13</v>
      </c>
    </row>
    <row r="299" spans="1:11" x14ac:dyDescent="0.35">
      <c r="A299" t="s">
        <v>31</v>
      </c>
      <c r="B299" t="s">
        <v>13</v>
      </c>
      <c r="C299" t="s">
        <v>7</v>
      </c>
      <c r="D299" t="s">
        <v>8</v>
      </c>
      <c r="E299" s="3">
        <v>24006800</v>
      </c>
      <c r="F299" s="3">
        <v>18982300</v>
      </c>
      <c r="G299" t="s">
        <v>11</v>
      </c>
      <c r="H299" s="5">
        <v>362099400</v>
      </c>
      <c r="I299" t="s">
        <v>13</v>
      </c>
      <c r="J299" t="s">
        <v>13</v>
      </c>
      <c r="K299">
        <v>5.24</v>
      </c>
    </row>
    <row r="301" spans="1:11" x14ac:dyDescent="0.35">
      <c r="A301" t="s">
        <v>95</v>
      </c>
      <c r="B301" t="str">
        <f t="shared" ref="B301:B309" si="2">"09211"</f>
        <v>09211</v>
      </c>
      <c r="C301" t="str">
        <f>"005"</f>
        <v>005</v>
      </c>
      <c r="D301">
        <v>1998</v>
      </c>
      <c r="E301" s="3">
        <v>79207200</v>
      </c>
      <c r="F301" s="3">
        <v>43313800</v>
      </c>
      <c r="G301" t="s">
        <v>11</v>
      </c>
      <c r="H301" s="5" t="s">
        <v>30</v>
      </c>
      <c r="I301" t="s">
        <v>13</v>
      </c>
      <c r="J301" t="s">
        <v>13</v>
      </c>
    </row>
    <row r="302" spans="1:11" x14ac:dyDescent="0.35">
      <c r="A302" t="s">
        <v>5</v>
      </c>
      <c r="B302" t="str">
        <f t="shared" si="2"/>
        <v>09211</v>
      </c>
      <c r="C302" t="str">
        <f>"007"</f>
        <v>007</v>
      </c>
      <c r="D302">
        <v>2001</v>
      </c>
      <c r="E302" s="3">
        <v>7954900</v>
      </c>
      <c r="F302" s="3">
        <v>6453300</v>
      </c>
      <c r="G302" t="s">
        <v>11</v>
      </c>
      <c r="H302" s="5" t="s">
        <v>30</v>
      </c>
      <c r="I302" t="s">
        <v>13</v>
      </c>
      <c r="J302" t="s">
        <v>13</v>
      </c>
    </row>
    <row r="303" spans="1:11" x14ac:dyDescent="0.35">
      <c r="A303" t="s">
        <v>5</v>
      </c>
      <c r="B303" t="str">
        <f t="shared" si="2"/>
        <v>09211</v>
      </c>
      <c r="C303" t="str">
        <f>"008"</f>
        <v>008</v>
      </c>
      <c r="D303">
        <v>2002</v>
      </c>
      <c r="E303" s="3">
        <v>4458000</v>
      </c>
      <c r="F303" s="3">
        <v>4019000</v>
      </c>
      <c r="G303" t="s">
        <v>11</v>
      </c>
      <c r="H303" s="5" t="s">
        <v>30</v>
      </c>
      <c r="I303" t="s">
        <v>13</v>
      </c>
      <c r="J303" t="s">
        <v>13</v>
      </c>
    </row>
    <row r="304" spans="1:11" x14ac:dyDescent="0.35">
      <c r="A304" t="s">
        <v>5</v>
      </c>
      <c r="B304" t="str">
        <f t="shared" si="2"/>
        <v>09211</v>
      </c>
      <c r="C304" t="str">
        <f>"010"</f>
        <v>010</v>
      </c>
      <c r="D304">
        <v>2005</v>
      </c>
      <c r="E304" s="3">
        <v>2961300</v>
      </c>
      <c r="F304" s="3">
        <v>2961300</v>
      </c>
      <c r="G304" t="s">
        <v>11</v>
      </c>
      <c r="H304" s="5" t="s">
        <v>30</v>
      </c>
      <c r="I304" t="s">
        <v>13</v>
      </c>
      <c r="J304" t="s">
        <v>13</v>
      </c>
    </row>
    <row r="305" spans="1:11" x14ac:dyDescent="0.35">
      <c r="A305" t="s">
        <v>5</v>
      </c>
      <c r="B305" t="str">
        <f t="shared" si="2"/>
        <v>09211</v>
      </c>
      <c r="C305" t="str">
        <f>"011"</f>
        <v>011</v>
      </c>
      <c r="D305">
        <v>2008</v>
      </c>
      <c r="E305" s="3">
        <v>32649000</v>
      </c>
      <c r="F305" s="3">
        <v>32569500</v>
      </c>
      <c r="G305" t="s">
        <v>11</v>
      </c>
      <c r="H305" s="5" t="s">
        <v>30</v>
      </c>
      <c r="I305" t="s">
        <v>13</v>
      </c>
      <c r="J305" t="s">
        <v>13</v>
      </c>
    </row>
    <row r="306" spans="1:11" x14ac:dyDescent="0.35">
      <c r="A306" t="s">
        <v>5</v>
      </c>
      <c r="B306" t="str">
        <f t="shared" si="2"/>
        <v>09211</v>
      </c>
      <c r="C306" t="str">
        <f>"012"</f>
        <v>012</v>
      </c>
      <c r="D306">
        <v>2012</v>
      </c>
      <c r="E306" s="3">
        <v>19176700</v>
      </c>
      <c r="F306" s="3">
        <v>13790000</v>
      </c>
      <c r="G306" t="s">
        <v>11</v>
      </c>
      <c r="H306" s="5" t="s">
        <v>30</v>
      </c>
      <c r="I306" t="s">
        <v>13</v>
      </c>
      <c r="J306" t="s">
        <v>13</v>
      </c>
    </row>
    <row r="307" spans="1:11" x14ac:dyDescent="0.35">
      <c r="A307" t="s">
        <v>5</v>
      </c>
      <c r="B307" t="str">
        <f t="shared" si="2"/>
        <v>09211</v>
      </c>
      <c r="C307" t="str">
        <f>"013"</f>
        <v>013</v>
      </c>
      <c r="D307">
        <v>2015</v>
      </c>
      <c r="E307" s="3">
        <v>10205800</v>
      </c>
      <c r="F307" s="3">
        <v>6702800</v>
      </c>
      <c r="G307" t="s">
        <v>11</v>
      </c>
      <c r="H307" s="5" t="s">
        <v>30</v>
      </c>
      <c r="I307" t="s">
        <v>13</v>
      </c>
      <c r="J307" t="s">
        <v>13</v>
      </c>
    </row>
    <row r="308" spans="1:11" x14ac:dyDescent="0.35">
      <c r="A308" t="s">
        <v>5</v>
      </c>
      <c r="B308" t="str">
        <f t="shared" si="2"/>
        <v>09211</v>
      </c>
      <c r="C308" t="str">
        <f>"014"</f>
        <v>014</v>
      </c>
      <c r="D308">
        <v>2015</v>
      </c>
      <c r="E308" s="3">
        <v>113340700</v>
      </c>
      <c r="F308" s="3">
        <v>113340700</v>
      </c>
      <c r="G308" t="s">
        <v>11</v>
      </c>
      <c r="H308" s="5" t="s">
        <v>30</v>
      </c>
      <c r="I308" t="s">
        <v>13</v>
      </c>
      <c r="J308" t="s">
        <v>13</v>
      </c>
    </row>
    <row r="309" spans="1:11" x14ac:dyDescent="0.35">
      <c r="A309" t="s">
        <v>5</v>
      </c>
      <c r="B309" t="str">
        <f t="shared" si="2"/>
        <v>09211</v>
      </c>
      <c r="C309" t="str">
        <f>"015"</f>
        <v>015</v>
      </c>
      <c r="D309">
        <v>2018</v>
      </c>
      <c r="E309" s="3">
        <v>2574800</v>
      </c>
      <c r="F309" s="3">
        <v>689700</v>
      </c>
      <c r="G309" t="s">
        <v>11</v>
      </c>
      <c r="H309" s="5" t="s">
        <v>30</v>
      </c>
      <c r="I309" t="s">
        <v>13</v>
      </c>
      <c r="J309" t="s">
        <v>13</v>
      </c>
    </row>
    <row r="310" spans="1:11" x14ac:dyDescent="0.35">
      <c r="A310" t="s">
        <v>31</v>
      </c>
      <c r="B310" t="s">
        <v>13</v>
      </c>
      <c r="C310" t="s">
        <v>7</v>
      </c>
      <c r="D310" t="s">
        <v>8</v>
      </c>
      <c r="E310" s="3">
        <v>272528400</v>
      </c>
      <c r="F310" s="3">
        <v>223840100</v>
      </c>
      <c r="G310" t="s">
        <v>11</v>
      </c>
      <c r="H310" s="5">
        <v>1447922300</v>
      </c>
      <c r="I310" t="s">
        <v>13</v>
      </c>
      <c r="J310" t="s">
        <v>13</v>
      </c>
      <c r="K310">
        <v>15.46</v>
      </c>
    </row>
    <row r="312" spans="1:11" x14ac:dyDescent="0.35">
      <c r="A312" t="s">
        <v>96</v>
      </c>
      <c r="B312" t="str">
        <f>"70006"</f>
        <v>70006</v>
      </c>
      <c r="C312" t="str">
        <f>"001A"</f>
        <v>001A</v>
      </c>
      <c r="D312">
        <v>2019</v>
      </c>
      <c r="E312" s="3">
        <v>58174300</v>
      </c>
      <c r="F312" s="3">
        <v>8452600</v>
      </c>
      <c r="G312" t="s">
        <v>11</v>
      </c>
      <c r="H312" s="5" t="s">
        <v>30</v>
      </c>
      <c r="I312" t="s">
        <v>13</v>
      </c>
      <c r="J312" t="s">
        <v>13</v>
      </c>
    </row>
    <row r="313" spans="1:11" x14ac:dyDescent="0.35">
      <c r="A313" t="s">
        <v>31</v>
      </c>
      <c r="B313" t="s">
        <v>13</v>
      </c>
      <c r="C313" t="s">
        <v>7</v>
      </c>
      <c r="D313" t="s">
        <v>8</v>
      </c>
      <c r="E313" s="3">
        <v>58174300</v>
      </c>
      <c r="F313" s="3">
        <v>8452600</v>
      </c>
      <c r="G313" t="s">
        <v>11</v>
      </c>
      <c r="H313" s="5">
        <v>669946700</v>
      </c>
      <c r="I313" t="s">
        <v>13</v>
      </c>
      <c r="J313" t="s">
        <v>13</v>
      </c>
      <c r="K313">
        <v>1.26</v>
      </c>
    </row>
    <row r="314" spans="1:11" x14ac:dyDescent="0.35">
      <c r="A314" t="s">
        <v>96</v>
      </c>
      <c r="B314" t="str">
        <f>"48112"</f>
        <v>48112</v>
      </c>
      <c r="C314" t="str">
        <f>"002"</f>
        <v>002</v>
      </c>
      <c r="D314">
        <v>1999</v>
      </c>
      <c r="E314" s="3">
        <v>2112800</v>
      </c>
      <c r="F314" s="3">
        <v>2096100</v>
      </c>
      <c r="G314" t="s">
        <v>11</v>
      </c>
      <c r="H314" s="5" t="s">
        <v>30</v>
      </c>
      <c r="I314" t="s">
        <v>13</v>
      </c>
      <c r="J314" t="s">
        <v>13</v>
      </c>
    </row>
    <row r="315" spans="1:11" x14ac:dyDescent="0.35">
      <c r="A315" t="s">
        <v>5</v>
      </c>
      <c r="B315" t="str">
        <f>"48112"</f>
        <v>48112</v>
      </c>
      <c r="C315" t="str">
        <f>"003"</f>
        <v>003</v>
      </c>
      <c r="D315">
        <v>2020</v>
      </c>
      <c r="E315" s="3">
        <v>2351600</v>
      </c>
      <c r="F315" s="3">
        <v>593500</v>
      </c>
      <c r="G315" t="s">
        <v>11</v>
      </c>
      <c r="H315" s="5" t="s">
        <v>30</v>
      </c>
      <c r="I315" t="s">
        <v>13</v>
      </c>
      <c r="J315" t="s">
        <v>13</v>
      </c>
    </row>
    <row r="316" spans="1:11" x14ac:dyDescent="0.35">
      <c r="A316" t="s">
        <v>31</v>
      </c>
      <c r="B316" t="s">
        <v>13</v>
      </c>
      <c r="C316" t="s">
        <v>7</v>
      </c>
      <c r="D316" t="s">
        <v>8</v>
      </c>
      <c r="E316" s="3">
        <v>4464400</v>
      </c>
      <c r="F316" s="3">
        <v>2689600</v>
      </c>
      <c r="G316" t="s">
        <v>11</v>
      </c>
      <c r="H316" s="5">
        <v>38000800</v>
      </c>
      <c r="I316" t="s">
        <v>13</v>
      </c>
      <c r="J316" t="s">
        <v>13</v>
      </c>
      <c r="K316">
        <v>7.08</v>
      </c>
    </row>
    <row r="318" spans="1:11" x14ac:dyDescent="0.35">
      <c r="A318" t="s">
        <v>97</v>
      </c>
      <c r="B318" t="str">
        <f>"48113"</f>
        <v>48113</v>
      </c>
      <c r="C318" t="str">
        <f>"003"</f>
        <v>003</v>
      </c>
      <c r="D318">
        <v>2003</v>
      </c>
      <c r="E318" s="3">
        <v>13298200</v>
      </c>
      <c r="F318" s="3">
        <v>11184600</v>
      </c>
      <c r="G318" t="s">
        <v>11</v>
      </c>
      <c r="H318" s="5" t="s">
        <v>30</v>
      </c>
      <c r="I318" t="s">
        <v>13</v>
      </c>
      <c r="J318" t="s">
        <v>13</v>
      </c>
    </row>
    <row r="319" spans="1:11" x14ac:dyDescent="0.35">
      <c r="A319" t="s">
        <v>31</v>
      </c>
      <c r="B319" t="s">
        <v>13</v>
      </c>
      <c r="C319" t="s">
        <v>7</v>
      </c>
      <c r="D319" t="s">
        <v>8</v>
      </c>
      <c r="E319" s="3">
        <v>13298200</v>
      </c>
      <c r="F319" s="3">
        <v>11184600</v>
      </c>
      <c r="G319" t="s">
        <v>11</v>
      </c>
      <c r="H319" s="5">
        <v>93063900</v>
      </c>
      <c r="I319" t="s">
        <v>13</v>
      </c>
      <c r="J319" t="s">
        <v>13</v>
      </c>
      <c r="K319">
        <v>12.02</v>
      </c>
    </row>
    <row r="321" spans="1:11" x14ac:dyDescent="0.35">
      <c r="A321" t="s">
        <v>98</v>
      </c>
      <c r="B321" t="str">
        <f>"68211"</f>
        <v>68211</v>
      </c>
      <c r="C321" t="str">
        <f>"008"</f>
        <v>008</v>
      </c>
      <c r="D321">
        <v>2018</v>
      </c>
      <c r="E321" s="3">
        <v>4777800</v>
      </c>
      <c r="F321" s="3">
        <v>3996600</v>
      </c>
      <c r="G321" t="s">
        <v>11</v>
      </c>
      <c r="H321" s="5" t="s">
        <v>30</v>
      </c>
      <c r="I321" t="s">
        <v>13</v>
      </c>
      <c r="J321" t="s">
        <v>13</v>
      </c>
    </row>
    <row r="322" spans="1:11" x14ac:dyDescent="0.35">
      <c r="A322" t="s">
        <v>5</v>
      </c>
      <c r="B322" t="str">
        <f>"68211"</f>
        <v>68211</v>
      </c>
      <c r="C322" t="str">
        <f>"009"</f>
        <v>009</v>
      </c>
      <c r="D322">
        <v>2018</v>
      </c>
      <c r="E322" s="3">
        <v>7343800</v>
      </c>
      <c r="F322" s="3">
        <v>2713500</v>
      </c>
      <c r="G322" t="s">
        <v>11</v>
      </c>
      <c r="H322" s="5" t="s">
        <v>30</v>
      </c>
      <c r="I322" t="s">
        <v>13</v>
      </c>
      <c r="J322" t="s">
        <v>13</v>
      </c>
    </row>
    <row r="323" spans="1:11" x14ac:dyDescent="0.35">
      <c r="A323" t="s">
        <v>31</v>
      </c>
      <c r="B323" t="s">
        <v>13</v>
      </c>
      <c r="C323" t="s">
        <v>7</v>
      </c>
      <c r="D323" t="s">
        <v>8</v>
      </c>
      <c r="E323" s="3">
        <v>12121600</v>
      </c>
      <c r="F323" s="3">
        <v>6710100</v>
      </c>
      <c r="G323" t="s">
        <v>11</v>
      </c>
      <c r="H323" s="5">
        <v>277648700</v>
      </c>
      <c r="I323" t="s">
        <v>13</v>
      </c>
      <c r="J323" t="s">
        <v>13</v>
      </c>
      <c r="K323">
        <v>2.42</v>
      </c>
    </row>
    <row r="325" spans="1:11" x14ac:dyDescent="0.35">
      <c r="A325" t="s">
        <v>99</v>
      </c>
      <c r="B325" t="str">
        <f>"06111"</f>
        <v>06111</v>
      </c>
      <c r="C325" t="str">
        <f>"001"</f>
        <v>001</v>
      </c>
      <c r="D325">
        <v>2019</v>
      </c>
      <c r="E325" s="3">
        <v>7919000</v>
      </c>
      <c r="F325" s="3">
        <v>5930300</v>
      </c>
      <c r="G325" t="s">
        <v>11</v>
      </c>
      <c r="H325" s="5" t="s">
        <v>30</v>
      </c>
      <c r="I325" t="s">
        <v>13</v>
      </c>
      <c r="J325" t="s">
        <v>13</v>
      </c>
    </row>
    <row r="326" spans="1:11" x14ac:dyDescent="0.35">
      <c r="A326" t="s">
        <v>31</v>
      </c>
      <c r="B326" t="s">
        <v>13</v>
      </c>
      <c r="C326" t="s">
        <v>7</v>
      </c>
      <c r="D326" t="s">
        <v>8</v>
      </c>
      <c r="E326" s="3">
        <v>7919000</v>
      </c>
      <c r="F326" s="3">
        <v>5930300</v>
      </c>
      <c r="G326" t="s">
        <v>11</v>
      </c>
      <c r="H326" s="5">
        <v>38124000</v>
      </c>
      <c r="I326" t="s">
        <v>13</v>
      </c>
      <c r="J326" t="s">
        <v>13</v>
      </c>
      <c r="K326">
        <v>15.56</v>
      </c>
    </row>
    <row r="328" spans="1:11" x14ac:dyDescent="0.35">
      <c r="A328" t="s">
        <v>100</v>
      </c>
      <c r="B328" t="str">
        <f>"37211"</f>
        <v>37211</v>
      </c>
      <c r="C328" t="str">
        <f>"003"</f>
        <v>003</v>
      </c>
      <c r="D328">
        <v>2021</v>
      </c>
      <c r="E328" s="3">
        <v>1367000</v>
      </c>
      <c r="F328" s="3">
        <v>31800</v>
      </c>
      <c r="G328" t="s">
        <v>11</v>
      </c>
      <c r="H328" s="5" t="s">
        <v>30</v>
      </c>
      <c r="I328" t="s">
        <v>13</v>
      </c>
      <c r="J328" t="s">
        <v>13</v>
      </c>
    </row>
    <row r="329" spans="1:11" x14ac:dyDescent="0.35">
      <c r="A329" t="s">
        <v>31</v>
      </c>
      <c r="B329" t="s">
        <v>13</v>
      </c>
      <c r="C329" t="s">
        <v>7</v>
      </c>
      <c r="D329" t="s">
        <v>8</v>
      </c>
      <c r="E329" s="3">
        <v>1367000</v>
      </c>
      <c r="F329" s="3">
        <v>31800</v>
      </c>
      <c r="G329" t="s">
        <v>11</v>
      </c>
      <c r="H329" s="5">
        <v>106067300</v>
      </c>
      <c r="I329" t="s">
        <v>13</v>
      </c>
      <c r="J329" t="s">
        <v>13</v>
      </c>
      <c r="K329">
        <v>0.03</v>
      </c>
    </row>
    <row r="331" spans="1:11" x14ac:dyDescent="0.35">
      <c r="A331" t="s">
        <v>101</v>
      </c>
      <c r="B331" t="str">
        <f>"38111"</f>
        <v>38111</v>
      </c>
      <c r="C331" t="str">
        <f>"001"</f>
        <v>001</v>
      </c>
      <c r="D331">
        <v>2005</v>
      </c>
      <c r="E331" s="3">
        <v>8239300</v>
      </c>
      <c r="F331" s="3">
        <v>5635200</v>
      </c>
      <c r="G331" t="s">
        <v>11</v>
      </c>
      <c r="H331" s="5" t="s">
        <v>30</v>
      </c>
      <c r="I331" t="s">
        <v>13</v>
      </c>
      <c r="J331" t="s">
        <v>13</v>
      </c>
    </row>
    <row r="332" spans="1:11" x14ac:dyDescent="0.35">
      <c r="A332" t="s">
        <v>5</v>
      </c>
      <c r="B332" t="str">
        <f>"38111"</f>
        <v>38111</v>
      </c>
      <c r="C332" t="str">
        <f>"002"</f>
        <v>002</v>
      </c>
      <c r="D332">
        <v>2017</v>
      </c>
      <c r="E332" s="3">
        <v>2573300</v>
      </c>
      <c r="F332" s="3">
        <v>2141400</v>
      </c>
      <c r="G332" t="s">
        <v>11</v>
      </c>
      <c r="H332" s="5" t="s">
        <v>30</v>
      </c>
      <c r="I332" t="s">
        <v>13</v>
      </c>
      <c r="J332" t="s">
        <v>13</v>
      </c>
    </row>
    <row r="333" spans="1:11" x14ac:dyDescent="0.35">
      <c r="A333" t="s">
        <v>5</v>
      </c>
      <c r="B333" t="str">
        <f>"38111"</f>
        <v>38111</v>
      </c>
      <c r="C333" t="str">
        <f>"003"</f>
        <v>003</v>
      </c>
      <c r="D333">
        <v>2018</v>
      </c>
      <c r="E333" s="3">
        <v>328400</v>
      </c>
      <c r="F333" s="3">
        <v>212600</v>
      </c>
      <c r="G333" t="s">
        <v>11</v>
      </c>
      <c r="H333" s="5" t="s">
        <v>30</v>
      </c>
      <c r="I333" t="s">
        <v>13</v>
      </c>
      <c r="J333" t="s">
        <v>13</v>
      </c>
    </row>
    <row r="334" spans="1:11" x14ac:dyDescent="0.35">
      <c r="A334" t="s">
        <v>31</v>
      </c>
      <c r="B334" t="s">
        <v>13</v>
      </c>
      <c r="C334" t="s">
        <v>7</v>
      </c>
      <c r="D334" t="s">
        <v>8</v>
      </c>
      <c r="E334" s="3">
        <v>11141000</v>
      </c>
      <c r="F334" s="3">
        <v>7989200</v>
      </c>
      <c r="G334" t="s">
        <v>11</v>
      </c>
      <c r="H334" s="5">
        <v>61288200</v>
      </c>
      <c r="I334" t="s">
        <v>13</v>
      </c>
      <c r="J334" t="s">
        <v>13</v>
      </c>
      <c r="K334">
        <v>13.04</v>
      </c>
    </row>
    <row r="336" spans="1:11" x14ac:dyDescent="0.35">
      <c r="A336" t="s">
        <v>102</v>
      </c>
      <c r="B336" t="str">
        <f>"17111"</f>
        <v>17111</v>
      </c>
      <c r="C336" t="str">
        <f>"003"</f>
        <v>003</v>
      </c>
      <c r="D336">
        <v>2002</v>
      </c>
      <c r="E336" s="3">
        <v>7860200</v>
      </c>
      <c r="F336" s="3">
        <v>3423300</v>
      </c>
      <c r="G336" t="s">
        <v>11</v>
      </c>
      <c r="H336" s="5" t="s">
        <v>30</v>
      </c>
      <c r="I336" t="s">
        <v>13</v>
      </c>
      <c r="J336" t="s">
        <v>13</v>
      </c>
    </row>
    <row r="337" spans="1:11" x14ac:dyDescent="0.35">
      <c r="A337" t="s">
        <v>5</v>
      </c>
      <c r="B337" t="str">
        <f>"17111"</f>
        <v>17111</v>
      </c>
      <c r="C337" t="str">
        <f>"004"</f>
        <v>004</v>
      </c>
      <c r="D337">
        <v>2006</v>
      </c>
      <c r="E337" s="3">
        <v>6300900</v>
      </c>
      <c r="F337" s="3">
        <v>4424300</v>
      </c>
      <c r="G337" t="s">
        <v>11</v>
      </c>
      <c r="H337" s="5" t="s">
        <v>30</v>
      </c>
      <c r="I337" t="s">
        <v>13</v>
      </c>
      <c r="J337" t="s">
        <v>13</v>
      </c>
    </row>
    <row r="338" spans="1:11" x14ac:dyDescent="0.35">
      <c r="A338" t="s">
        <v>5</v>
      </c>
      <c r="B338" t="str">
        <f>"17111"</f>
        <v>17111</v>
      </c>
      <c r="C338" t="str">
        <f>"005"</f>
        <v>005</v>
      </c>
      <c r="D338">
        <v>2021</v>
      </c>
      <c r="E338" s="3">
        <v>5319900</v>
      </c>
      <c r="F338" s="3">
        <v>457800</v>
      </c>
      <c r="G338" t="s">
        <v>11</v>
      </c>
      <c r="H338" s="5" t="s">
        <v>30</v>
      </c>
      <c r="I338" t="s">
        <v>13</v>
      </c>
      <c r="J338" t="s">
        <v>13</v>
      </c>
    </row>
    <row r="339" spans="1:11" x14ac:dyDescent="0.35">
      <c r="A339" t="s">
        <v>31</v>
      </c>
      <c r="B339" t="s">
        <v>13</v>
      </c>
      <c r="C339" t="s">
        <v>7</v>
      </c>
      <c r="D339" t="s">
        <v>8</v>
      </c>
      <c r="E339" s="3">
        <v>19481000</v>
      </c>
      <c r="F339" s="3">
        <v>8305400</v>
      </c>
      <c r="G339" t="s">
        <v>11</v>
      </c>
      <c r="H339" s="5">
        <v>69115000</v>
      </c>
      <c r="I339" t="s">
        <v>13</v>
      </c>
      <c r="J339" t="s">
        <v>13</v>
      </c>
      <c r="K339">
        <v>12.02</v>
      </c>
    </row>
    <row r="341" spans="1:11" x14ac:dyDescent="0.35">
      <c r="A341" t="s">
        <v>103</v>
      </c>
      <c r="B341" t="str">
        <f>"69111"</f>
        <v>69111</v>
      </c>
      <c r="C341" t="str">
        <f>"002"</f>
        <v>002</v>
      </c>
      <c r="D341">
        <v>2005</v>
      </c>
      <c r="E341" s="3">
        <v>5828300</v>
      </c>
      <c r="F341" s="3">
        <v>4585200</v>
      </c>
      <c r="G341" t="s">
        <v>11</v>
      </c>
      <c r="H341" s="5" t="s">
        <v>30</v>
      </c>
      <c r="I341" t="s">
        <v>13</v>
      </c>
      <c r="J341" t="s">
        <v>13</v>
      </c>
    </row>
    <row r="342" spans="1:11" x14ac:dyDescent="0.35">
      <c r="A342" t="s">
        <v>31</v>
      </c>
      <c r="B342" t="s">
        <v>13</v>
      </c>
      <c r="C342" t="s">
        <v>7</v>
      </c>
      <c r="D342" t="s">
        <v>8</v>
      </c>
      <c r="E342" s="3">
        <v>5828300</v>
      </c>
      <c r="F342" s="3">
        <v>4585200</v>
      </c>
      <c r="G342" t="s">
        <v>11</v>
      </c>
      <c r="H342" s="5">
        <v>35235600</v>
      </c>
      <c r="I342" t="s">
        <v>13</v>
      </c>
      <c r="J342" t="s">
        <v>13</v>
      </c>
      <c r="K342">
        <v>13.01</v>
      </c>
    </row>
    <row r="344" spans="1:11" x14ac:dyDescent="0.35">
      <c r="A344" t="s">
        <v>104</v>
      </c>
      <c r="B344" t="str">
        <f>"11211"</f>
        <v>11211</v>
      </c>
      <c r="C344" t="str">
        <f>"004"</f>
        <v>004</v>
      </c>
      <c r="D344">
        <v>2015</v>
      </c>
      <c r="E344" s="3">
        <v>21363800</v>
      </c>
      <c r="F344" s="3">
        <v>18239700</v>
      </c>
      <c r="G344" t="s">
        <v>11</v>
      </c>
      <c r="H344" s="5" t="s">
        <v>30</v>
      </c>
      <c r="I344" t="s">
        <v>13</v>
      </c>
      <c r="J344" t="s">
        <v>13</v>
      </c>
    </row>
    <row r="345" spans="1:11" x14ac:dyDescent="0.35">
      <c r="A345" t="s">
        <v>5</v>
      </c>
      <c r="B345" t="str">
        <f>"11211"</f>
        <v>11211</v>
      </c>
      <c r="C345" t="str">
        <f>"005"</f>
        <v>005</v>
      </c>
      <c r="D345">
        <v>2019</v>
      </c>
      <c r="E345" s="3">
        <v>6275300</v>
      </c>
      <c r="F345" s="3">
        <v>896200</v>
      </c>
      <c r="G345" t="s">
        <v>11</v>
      </c>
      <c r="H345" s="5" t="s">
        <v>30</v>
      </c>
      <c r="I345" t="s">
        <v>13</v>
      </c>
      <c r="J345" t="s">
        <v>13</v>
      </c>
    </row>
    <row r="346" spans="1:11" x14ac:dyDescent="0.35">
      <c r="A346" t="s">
        <v>5</v>
      </c>
      <c r="B346" t="str">
        <f>"11211"</f>
        <v>11211</v>
      </c>
      <c r="C346" t="str">
        <f>"006"</f>
        <v>006</v>
      </c>
      <c r="D346">
        <v>2021</v>
      </c>
      <c r="E346" s="3">
        <v>15855300</v>
      </c>
      <c r="F346" s="3">
        <v>1262800</v>
      </c>
      <c r="G346" t="s">
        <v>11</v>
      </c>
      <c r="H346" s="5" t="s">
        <v>30</v>
      </c>
      <c r="I346" t="s">
        <v>13</v>
      </c>
      <c r="J346" t="s">
        <v>13</v>
      </c>
    </row>
    <row r="347" spans="1:11" x14ac:dyDescent="0.35">
      <c r="A347" t="s">
        <v>31</v>
      </c>
      <c r="B347" t="s">
        <v>13</v>
      </c>
      <c r="C347" t="s">
        <v>7</v>
      </c>
      <c r="D347" t="s">
        <v>8</v>
      </c>
      <c r="E347" s="3">
        <v>43494400</v>
      </c>
      <c r="F347" s="3">
        <v>20398700</v>
      </c>
      <c r="G347" t="s">
        <v>11</v>
      </c>
      <c r="H347" s="5">
        <v>555927900</v>
      </c>
      <c r="I347" t="s">
        <v>13</v>
      </c>
      <c r="J347" t="s">
        <v>13</v>
      </c>
      <c r="K347">
        <v>3.67</v>
      </c>
    </row>
    <row r="349" spans="1:11" x14ac:dyDescent="0.35">
      <c r="A349" t="s">
        <v>105</v>
      </c>
      <c r="B349" t="str">
        <f>"44111"</f>
        <v>44111</v>
      </c>
      <c r="C349" t="str">
        <f>"002"</f>
        <v>002</v>
      </c>
      <c r="D349">
        <v>2015</v>
      </c>
      <c r="E349" s="3">
        <v>18349000</v>
      </c>
      <c r="F349" s="3">
        <v>2612200</v>
      </c>
      <c r="G349" t="s">
        <v>11</v>
      </c>
      <c r="H349" s="5" t="s">
        <v>30</v>
      </c>
      <c r="I349" t="s">
        <v>13</v>
      </c>
      <c r="J349" t="s">
        <v>13</v>
      </c>
    </row>
    <row r="350" spans="1:11" x14ac:dyDescent="0.35">
      <c r="A350" t="s">
        <v>5</v>
      </c>
      <c r="B350" t="str">
        <f>"44111"</f>
        <v>44111</v>
      </c>
      <c r="C350" t="str">
        <f>"003"</f>
        <v>003</v>
      </c>
      <c r="D350">
        <v>2019</v>
      </c>
      <c r="E350" s="3">
        <v>5530700</v>
      </c>
      <c r="F350" s="3">
        <v>5454700</v>
      </c>
      <c r="G350" t="s">
        <v>11</v>
      </c>
      <c r="H350" s="5" t="s">
        <v>30</v>
      </c>
      <c r="I350" t="s">
        <v>13</v>
      </c>
      <c r="J350" t="s">
        <v>13</v>
      </c>
    </row>
    <row r="351" spans="1:11" x14ac:dyDescent="0.35">
      <c r="A351" t="s">
        <v>31</v>
      </c>
      <c r="B351" t="s">
        <v>13</v>
      </c>
      <c r="C351" t="s">
        <v>7</v>
      </c>
      <c r="D351" t="s">
        <v>8</v>
      </c>
      <c r="E351" s="3">
        <v>23879700</v>
      </c>
      <c r="F351" s="3">
        <v>8066900</v>
      </c>
      <c r="G351" t="s">
        <v>11</v>
      </c>
      <c r="H351" s="5">
        <v>417033900</v>
      </c>
      <c r="I351" t="s">
        <v>13</v>
      </c>
      <c r="J351" t="s">
        <v>13</v>
      </c>
      <c r="K351">
        <v>1.93</v>
      </c>
    </row>
    <row r="353" spans="1:11" x14ac:dyDescent="0.35">
      <c r="A353" t="s">
        <v>106</v>
      </c>
      <c r="B353" t="str">
        <f t="shared" ref="B353:B358" si="3">"13112"</f>
        <v>13112</v>
      </c>
      <c r="C353" t="str">
        <f>"005"</f>
        <v>005</v>
      </c>
      <c r="D353">
        <v>2003</v>
      </c>
      <c r="E353" s="3">
        <v>163023600</v>
      </c>
      <c r="F353" s="3">
        <v>160127500</v>
      </c>
      <c r="G353" t="s">
        <v>11</v>
      </c>
      <c r="H353" s="5" t="s">
        <v>30</v>
      </c>
      <c r="I353" t="s">
        <v>13</v>
      </c>
      <c r="J353" t="s">
        <v>13</v>
      </c>
    </row>
    <row r="354" spans="1:11" x14ac:dyDescent="0.35">
      <c r="A354" t="s">
        <v>5</v>
      </c>
      <c r="B354" t="str">
        <f t="shared" si="3"/>
        <v>13112</v>
      </c>
      <c r="C354" t="str">
        <f>"006"</f>
        <v>006</v>
      </c>
      <c r="D354">
        <v>2005</v>
      </c>
      <c r="E354" s="3">
        <v>8781500</v>
      </c>
      <c r="F354" s="3">
        <v>2712700</v>
      </c>
      <c r="G354" t="s">
        <v>11</v>
      </c>
      <c r="H354" s="5" t="s">
        <v>30</v>
      </c>
      <c r="I354" t="s">
        <v>13</v>
      </c>
      <c r="J354" t="s">
        <v>13</v>
      </c>
    </row>
    <row r="355" spans="1:11" x14ac:dyDescent="0.35">
      <c r="A355" t="s">
        <v>5</v>
      </c>
      <c r="B355" t="str">
        <f t="shared" si="3"/>
        <v>13112</v>
      </c>
      <c r="C355" t="str">
        <f>"007"</f>
        <v>007</v>
      </c>
      <c r="D355">
        <v>2005</v>
      </c>
      <c r="E355" s="3">
        <v>47862700</v>
      </c>
      <c r="F355" s="3">
        <v>33443700</v>
      </c>
      <c r="G355" t="s">
        <v>11</v>
      </c>
      <c r="H355" s="5" t="s">
        <v>30</v>
      </c>
      <c r="I355" t="s">
        <v>13</v>
      </c>
      <c r="J355" t="s">
        <v>13</v>
      </c>
    </row>
    <row r="356" spans="1:11" x14ac:dyDescent="0.35">
      <c r="A356" t="s">
        <v>5</v>
      </c>
      <c r="B356" t="str">
        <f t="shared" si="3"/>
        <v>13112</v>
      </c>
      <c r="C356" t="str">
        <f>"008"</f>
        <v>008</v>
      </c>
      <c r="D356">
        <v>2018</v>
      </c>
      <c r="E356" s="3">
        <v>2443300</v>
      </c>
      <c r="F356" s="3">
        <v>-168300</v>
      </c>
      <c r="G356" t="s">
        <v>52</v>
      </c>
      <c r="H356" s="5" t="s">
        <v>30</v>
      </c>
      <c r="I356" t="s">
        <v>13</v>
      </c>
      <c r="J356" t="s">
        <v>13</v>
      </c>
    </row>
    <row r="357" spans="1:11" x14ac:dyDescent="0.35">
      <c r="A357" t="s">
        <v>5</v>
      </c>
      <c r="B357" t="str">
        <f t="shared" si="3"/>
        <v>13112</v>
      </c>
      <c r="C357" t="str">
        <f>"009"</f>
        <v>009</v>
      </c>
      <c r="D357">
        <v>2018</v>
      </c>
      <c r="E357" s="3">
        <v>11358400</v>
      </c>
      <c r="F357" s="3">
        <v>1464900</v>
      </c>
      <c r="G357" t="s">
        <v>11</v>
      </c>
      <c r="H357" s="5" t="s">
        <v>30</v>
      </c>
      <c r="I357" t="s">
        <v>13</v>
      </c>
      <c r="J357" t="s">
        <v>13</v>
      </c>
    </row>
    <row r="358" spans="1:11" x14ac:dyDescent="0.35">
      <c r="A358" t="s">
        <v>5</v>
      </c>
      <c r="B358" t="str">
        <f t="shared" si="3"/>
        <v>13112</v>
      </c>
      <c r="C358" t="str">
        <f>"010"</f>
        <v>010</v>
      </c>
      <c r="D358">
        <v>2018</v>
      </c>
      <c r="E358" s="3">
        <v>4171400</v>
      </c>
      <c r="F358" s="3">
        <v>2929800</v>
      </c>
      <c r="G358" t="s">
        <v>11</v>
      </c>
      <c r="H358" s="5" t="s">
        <v>30</v>
      </c>
      <c r="I358" t="s">
        <v>13</v>
      </c>
      <c r="J358" t="s">
        <v>13</v>
      </c>
    </row>
    <row r="359" spans="1:11" x14ac:dyDescent="0.35">
      <c r="A359" t="s">
        <v>31</v>
      </c>
      <c r="B359" t="s">
        <v>13</v>
      </c>
      <c r="C359" t="s">
        <v>7</v>
      </c>
      <c r="D359" t="s">
        <v>8</v>
      </c>
      <c r="E359" s="3">
        <v>237640900</v>
      </c>
      <c r="F359" s="3">
        <v>200678600</v>
      </c>
      <c r="G359" t="s">
        <v>11</v>
      </c>
      <c r="H359" s="5">
        <v>1006437800</v>
      </c>
      <c r="I359" t="s">
        <v>13</v>
      </c>
      <c r="J359" t="s">
        <v>13</v>
      </c>
      <c r="K359">
        <v>19.940000000000001</v>
      </c>
    </row>
    <row r="361" spans="1:11" x14ac:dyDescent="0.35">
      <c r="A361" t="s">
        <v>107</v>
      </c>
      <c r="B361" t="str">
        <f>"21211"</f>
        <v>21211</v>
      </c>
      <c r="C361" t="str">
        <f>"001"</f>
        <v>001</v>
      </c>
      <c r="D361">
        <v>2002</v>
      </c>
      <c r="E361" s="3">
        <v>4714800</v>
      </c>
      <c r="F361" s="3">
        <v>3163800</v>
      </c>
      <c r="G361" t="s">
        <v>11</v>
      </c>
      <c r="H361" s="5" t="s">
        <v>30</v>
      </c>
      <c r="I361" t="s">
        <v>13</v>
      </c>
      <c r="J361" t="s">
        <v>13</v>
      </c>
    </row>
    <row r="362" spans="1:11" x14ac:dyDescent="0.35">
      <c r="A362" t="s">
        <v>31</v>
      </c>
      <c r="B362" t="s">
        <v>13</v>
      </c>
      <c r="C362" t="s">
        <v>7</v>
      </c>
      <c r="D362" t="s">
        <v>8</v>
      </c>
      <c r="E362" s="3">
        <v>4714800</v>
      </c>
      <c r="F362" s="3">
        <v>3163800</v>
      </c>
      <c r="G362" t="s">
        <v>11</v>
      </c>
      <c r="H362" s="5">
        <v>121683200</v>
      </c>
      <c r="I362" t="s">
        <v>13</v>
      </c>
      <c r="J362" t="s">
        <v>13</v>
      </c>
      <c r="K362">
        <v>2.6</v>
      </c>
    </row>
    <row r="364" spans="1:11" x14ac:dyDescent="0.35">
      <c r="A364" t="s">
        <v>108</v>
      </c>
      <c r="B364" t="str">
        <f>"38121"</f>
        <v>38121</v>
      </c>
      <c r="C364" t="str">
        <f>"001"</f>
        <v>001</v>
      </c>
      <c r="D364">
        <v>2001</v>
      </c>
      <c r="E364" s="3">
        <v>29452300</v>
      </c>
      <c r="F364" s="3">
        <v>25166700</v>
      </c>
      <c r="G364" t="s">
        <v>11</v>
      </c>
      <c r="H364" s="5" t="s">
        <v>30</v>
      </c>
      <c r="I364" t="s">
        <v>13</v>
      </c>
      <c r="J364" t="s">
        <v>13</v>
      </c>
    </row>
    <row r="365" spans="1:11" x14ac:dyDescent="0.35">
      <c r="A365" t="s">
        <v>31</v>
      </c>
      <c r="B365" t="s">
        <v>13</v>
      </c>
      <c r="C365" t="s">
        <v>7</v>
      </c>
      <c r="D365" t="s">
        <v>8</v>
      </c>
      <c r="E365" s="3">
        <v>29452300</v>
      </c>
      <c r="F365" s="3">
        <v>25166700</v>
      </c>
      <c r="G365" t="s">
        <v>11</v>
      </c>
      <c r="H365" s="5">
        <v>103183400</v>
      </c>
      <c r="I365" t="s">
        <v>13</v>
      </c>
      <c r="J365" t="s">
        <v>13</v>
      </c>
      <c r="K365">
        <v>24.39</v>
      </c>
    </row>
    <row r="367" spans="1:11" x14ac:dyDescent="0.35">
      <c r="A367" t="s">
        <v>109</v>
      </c>
      <c r="B367" t="str">
        <f>"13113"</f>
        <v>13113</v>
      </c>
      <c r="C367" t="str">
        <f>"003"</f>
        <v>003</v>
      </c>
      <c r="D367">
        <v>2008</v>
      </c>
      <c r="E367" s="3">
        <v>67008700</v>
      </c>
      <c r="F367" s="3">
        <v>38880100</v>
      </c>
      <c r="G367" t="s">
        <v>11</v>
      </c>
      <c r="H367" s="5" t="s">
        <v>30</v>
      </c>
      <c r="I367" t="s">
        <v>13</v>
      </c>
      <c r="J367" t="s">
        <v>13</v>
      </c>
    </row>
    <row r="368" spans="1:11" x14ac:dyDescent="0.35">
      <c r="A368" t="s">
        <v>31</v>
      </c>
      <c r="B368" t="s">
        <v>13</v>
      </c>
      <c r="C368" t="s">
        <v>7</v>
      </c>
      <c r="D368" t="s">
        <v>8</v>
      </c>
      <c r="E368" s="3">
        <v>67008700</v>
      </c>
      <c r="F368" s="3">
        <v>38880100</v>
      </c>
      <c r="G368" t="s">
        <v>11</v>
      </c>
      <c r="H368" s="5">
        <v>494388700</v>
      </c>
      <c r="I368" t="s">
        <v>13</v>
      </c>
      <c r="J368" t="s">
        <v>13</v>
      </c>
      <c r="K368">
        <v>7.86</v>
      </c>
    </row>
    <row r="370" spans="1:11" x14ac:dyDescent="0.35">
      <c r="A370" t="s">
        <v>110</v>
      </c>
      <c r="B370" t="str">
        <f>"33211"</f>
        <v>33211</v>
      </c>
      <c r="C370" t="str">
        <f>"002"</f>
        <v>002</v>
      </c>
      <c r="D370">
        <v>1999</v>
      </c>
      <c r="E370" s="3">
        <v>2233100</v>
      </c>
      <c r="F370" s="3">
        <v>2166400</v>
      </c>
      <c r="G370" t="s">
        <v>11</v>
      </c>
      <c r="H370" s="5" t="s">
        <v>30</v>
      </c>
      <c r="I370" t="s">
        <v>13</v>
      </c>
      <c r="J370" t="s">
        <v>13</v>
      </c>
    </row>
    <row r="371" spans="1:11" x14ac:dyDescent="0.35">
      <c r="A371" t="s">
        <v>5</v>
      </c>
      <c r="B371" t="str">
        <f>"22211"</f>
        <v>22211</v>
      </c>
      <c r="C371" t="str">
        <f>"002"</f>
        <v>002</v>
      </c>
      <c r="D371">
        <v>1999</v>
      </c>
      <c r="E371" s="3">
        <v>10913000</v>
      </c>
      <c r="F371" s="3">
        <v>9210000</v>
      </c>
      <c r="G371" t="s">
        <v>11</v>
      </c>
      <c r="H371" s="5" t="s">
        <v>30</v>
      </c>
      <c r="I371" t="s">
        <v>13</v>
      </c>
      <c r="J371" t="s">
        <v>13</v>
      </c>
    </row>
    <row r="372" spans="1:11" x14ac:dyDescent="0.35">
      <c r="A372" t="s">
        <v>5</v>
      </c>
      <c r="B372" t="str">
        <f>"22211"</f>
        <v>22211</v>
      </c>
      <c r="C372" t="str">
        <f>"003"</f>
        <v>003</v>
      </c>
      <c r="D372">
        <v>2012</v>
      </c>
      <c r="E372" s="3">
        <v>5127000</v>
      </c>
      <c r="F372" s="3">
        <v>2823600</v>
      </c>
      <c r="G372" t="s">
        <v>11</v>
      </c>
      <c r="H372" s="5" t="s">
        <v>30</v>
      </c>
      <c r="I372" t="s">
        <v>13</v>
      </c>
      <c r="J372" t="s">
        <v>13</v>
      </c>
    </row>
    <row r="373" spans="1:11" x14ac:dyDescent="0.35">
      <c r="A373" t="s">
        <v>5</v>
      </c>
      <c r="B373" t="str">
        <f>"33211"</f>
        <v>33211</v>
      </c>
      <c r="C373" t="str">
        <f>"004"</f>
        <v>004</v>
      </c>
      <c r="D373">
        <v>2019</v>
      </c>
      <c r="E373" s="3">
        <v>3210800</v>
      </c>
      <c r="F373" s="3">
        <v>977700</v>
      </c>
      <c r="G373" t="s">
        <v>11</v>
      </c>
      <c r="H373" s="5" t="s">
        <v>30</v>
      </c>
      <c r="I373" t="s">
        <v>13</v>
      </c>
      <c r="J373" t="s">
        <v>13</v>
      </c>
    </row>
    <row r="374" spans="1:11" x14ac:dyDescent="0.35">
      <c r="A374" t="s">
        <v>5</v>
      </c>
      <c r="B374" t="str">
        <f>"22211"</f>
        <v>22211</v>
      </c>
      <c r="C374" t="str">
        <f>"004"</f>
        <v>004</v>
      </c>
      <c r="D374">
        <v>2019</v>
      </c>
      <c r="E374" s="3">
        <v>12134400</v>
      </c>
      <c r="F374" s="3">
        <v>6169400</v>
      </c>
      <c r="G374" t="s">
        <v>11</v>
      </c>
      <c r="H374" s="5" t="s">
        <v>30</v>
      </c>
      <c r="I374" t="s">
        <v>13</v>
      </c>
      <c r="J374" t="s">
        <v>13</v>
      </c>
    </row>
    <row r="375" spans="1:11" x14ac:dyDescent="0.35">
      <c r="A375" t="s">
        <v>31</v>
      </c>
      <c r="B375" t="s">
        <v>13</v>
      </c>
      <c r="C375" t="s">
        <v>7</v>
      </c>
      <c r="D375" t="s">
        <v>8</v>
      </c>
      <c r="E375" s="3">
        <v>33618300</v>
      </c>
      <c r="F375" s="3">
        <v>21347100</v>
      </c>
      <c r="G375" t="s">
        <v>11</v>
      </c>
      <c r="H375" s="5">
        <v>175449600</v>
      </c>
      <c r="I375" t="s">
        <v>13</v>
      </c>
      <c r="J375" t="s">
        <v>13</v>
      </c>
      <c r="K375">
        <v>12.17</v>
      </c>
    </row>
    <row r="377" spans="1:11" x14ac:dyDescent="0.35">
      <c r="A377" t="s">
        <v>111</v>
      </c>
      <c r="B377" t="str">
        <f>"40211"</f>
        <v>40211</v>
      </c>
      <c r="C377" t="str">
        <f>"005"</f>
        <v>005</v>
      </c>
      <c r="D377">
        <v>2021</v>
      </c>
      <c r="E377" s="3">
        <v>42873600</v>
      </c>
      <c r="F377" s="3">
        <v>-3997500</v>
      </c>
      <c r="G377" t="s">
        <v>52</v>
      </c>
      <c r="H377" s="5" t="s">
        <v>30</v>
      </c>
      <c r="I377" t="s">
        <v>13</v>
      </c>
      <c r="J377" t="s">
        <v>13</v>
      </c>
    </row>
    <row r="378" spans="1:11" x14ac:dyDescent="0.35">
      <c r="A378" t="s">
        <v>31</v>
      </c>
      <c r="B378" t="s">
        <v>13</v>
      </c>
      <c r="C378" t="s">
        <v>7</v>
      </c>
      <c r="D378" t="s">
        <v>8</v>
      </c>
      <c r="E378" s="3">
        <v>42873600</v>
      </c>
      <c r="F378" s="3">
        <v>0</v>
      </c>
      <c r="G378" t="s">
        <v>11</v>
      </c>
      <c r="H378" s="5">
        <v>1530067600</v>
      </c>
      <c r="I378" t="s">
        <v>13</v>
      </c>
      <c r="J378" t="s">
        <v>13</v>
      </c>
      <c r="K378">
        <v>0</v>
      </c>
    </row>
    <row r="380" spans="1:11" x14ac:dyDescent="0.35">
      <c r="A380" t="s">
        <v>112</v>
      </c>
      <c r="B380" t="str">
        <f>"03212"</f>
        <v>03212</v>
      </c>
      <c r="C380" t="str">
        <f>"007"</f>
        <v>007</v>
      </c>
      <c r="D380">
        <v>1995</v>
      </c>
      <c r="E380" s="3">
        <v>21059800</v>
      </c>
      <c r="F380" s="3">
        <v>20053400</v>
      </c>
      <c r="G380" t="s">
        <v>11</v>
      </c>
      <c r="H380" s="5" t="s">
        <v>30</v>
      </c>
      <c r="I380" t="s">
        <v>13</v>
      </c>
      <c r="J380" t="s">
        <v>13</v>
      </c>
    </row>
    <row r="381" spans="1:11" x14ac:dyDescent="0.35">
      <c r="A381" t="s">
        <v>5</v>
      </c>
      <c r="B381" t="str">
        <f>"03212"</f>
        <v>03212</v>
      </c>
      <c r="C381" t="str">
        <f>"008"</f>
        <v>008</v>
      </c>
      <c r="D381">
        <v>2017</v>
      </c>
      <c r="E381" s="3">
        <v>3011500</v>
      </c>
      <c r="F381" s="3">
        <v>2534000</v>
      </c>
      <c r="G381" t="s">
        <v>11</v>
      </c>
      <c r="H381" s="5" t="s">
        <v>30</v>
      </c>
      <c r="I381" t="s">
        <v>13</v>
      </c>
      <c r="J381" t="s">
        <v>13</v>
      </c>
    </row>
    <row r="382" spans="1:11" x14ac:dyDescent="0.35">
      <c r="A382" t="s">
        <v>5</v>
      </c>
      <c r="B382" t="str">
        <f>"03212"</f>
        <v>03212</v>
      </c>
      <c r="C382" t="str">
        <f>"009"</f>
        <v>009</v>
      </c>
      <c r="D382">
        <v>2018</v>
      </c>
      <c r="E382" s="3">
        <v>24190600</v>
      </c>
      <c r="F382" s="3">
        <v>17778300</v>
      </c>
      <c r="G382" t="s">
        <v>11</v>
      </c>
      <c r="H382" s="5" t="s">
        <v>30</v>
      </c>
      <c r="I382" t="s">
        <v>13</v>
      </c>
      <c r="J382" t="s">
        <v>13</v>
      </c>
    </row>
    <row r="383" spans="1:11" x14ac:dyDescent="0.35">
      <c r="A383" t="s">
        <v>31</v>
      </c>
      <c r="B383" t="s">
        <v>13</v>
      </c>
      <c r="C383" t="s">
        <v>7</v>
      </c>
      <c r="D383" t="s">
        <v>8</v>
      </c>
      <c r="E383" s="3">
        <v>48261900</v>
      </c>
      <c r="F383" s="3">
        <v>40365700</v>
      </c>
      <c r="G383" t="s">
        <v>11</v>
      </c>
      <c r="H383" s="5">
        <v>264774600</v>
      </c>
      <c r="I383" t="s">
        <v>13</v>
      </c>
      <c r="J383" t="s">
        <v>13</v>
      </c>
      <c r="K383">
        <v>15.25</v>
      </c>
    </row>
    <row r="385" spans="1:11" x14ac:dyDescent="0.35">
      <c r="A385" t="s">
        <v>113</v>
      </c>
      <c r="B385" t="str">
        <f>"03116"</f>
        <v>03116</v>
      </c>
      <c r="C385" t="str">
        <f>"002"</f>
        <v>002</v>
      </c>
      <c r="D385">
        <v>2001</v>
      </c>
      <c r="E385" s="3">
        <v>1705400</v>
      </c>
      <c r="F385" s="3">
        <v>1675500</v>
      </c>
      <c r="G385" t="s">
        <v>11</v>
      </c>
      <c r="H385" s="5" t="s">
        <v>30</v>
      </c>
      <c r="I385" t="s">
        <v>13</v>
      </c>
      <c r="J385" t="s">
        <v>13</v>
      </c>
    </row>
    <row r="386" spans="1:11" x14ac:dyDescent="0.35">
      <c r="A386" t="s">
        <v>31</v>
      </c>
      <c r="B386" t="s">
        <v>13</v>
      </c>
      <c r="C386" t="s">
        <v>7</v>
      </c>
      <c r="D386" t="s">
        <v>8</v>
      </c>
      <c r="E386" s="3">
        <v>1705400</v>
      </c>
      <c r="F386" s="3">
        <v>1675500</v>
      </c>
      <c r="G386" t="s">
        <v>11</v>
      </c>
      <c r="H386" s="5">
        <v>21228400</v>
      </c>
      <c r="I386" t="s">
        <v>13</v>
      </c>
      <c r="J386" t="s">
        <v>13</v>
      </c>
      <c r="K386">
        <v>7.89</v>
      </c>
    </row>
    <row r="388" spans="1:11" x14ac:dyDescent="0.35">
      <c r="A388" t="s">
        <v>114</v>
      </c>
      <c r="B388" t="str">
        <f>"13116"</f>
        <v>13116</v>
      </c>
      <c r="C388" t="str">
        <f>"002"</f>
        <v>002</v>
      </c>
      <c r="D388">
        <v>2007</v>
      </c>
      <c r="E388" s="3">
        <v>5669400</v>
      </c>
      <c r="F388" s="3">
        <v>1243300</v>
      </c>
      <c r="G388" t="s">
        <v>11</v>
      </c>
      <c r="H388" s="5" t="s">
        <v>30</v>
      </c>
      <c r="I388" t="s">
        <v>13</v>
      </c>
      <c r="J388" t="s">
        <v>13</v>
      </c>
    </row>
    <row r="389" spans="1:11" x14ac:dyDescent="0.35">
      <c r="A389" t="s">
        <v>31</v>
      </c>
      <c r="B389" t="s">
        <v>13</v>
      </c>
      <c r="C389" t="s">
        <v>7</v>
      </c>
      <c r="D389" t="s">
        <v>8</v>
      </c>
      <c r="E389" s="3">
        <v>5669400</v>
      </c>
      <c r="F389" s="3">
        <v>1243300</v>
      </c>
      <c r="G389" t="s">
        <v>11</v>
      </c>
      <c r="H389" s="5">
        <v>133321400</v>
      </c>
      <c r="I389" t="s">
        <v>13</v>
      </c>
      <c r="J389" t="s">
        <v>13</v>
      </c>
      <c r="K389">
        <v>0.93</v>
      </c>
    </row>
    <row r="391" spans="1:11" x14ac:dyDescent="0.35">
      <c r="A391" t="s">
        <v>115</v>
      </c>
      <c r="B391" t="str">
        <f>"64116"</f>
        <v>64116</v>
      </c>
      <c r="C391" t="str">
        <f>"003"</f>
        <v>003</v>
      </c>
      <c r="D391">
        <v>2015</v>
      </c>
      <c r="E391" s="3">
        <v>11052000</v>
      </c>
      <c r="F391" s="3">
        <v>8877400</v>
      </c>
      <c r="G391" t="s">
        <v>11</v>
      </c>
      <c r="H391" s="5" t="s">
        <v>30</v>
      </c>
      <c r="I391" t="s">
        <v>13</v>
      </c>
      <c r="J391" t="s">
        <v>13</v>
      </c>
    </row>
    <row r="392" spans="1:11" x14ac:dyDescent="0.35">
      <c r="A392" t="s">
        <v>31</v>
      </c>
      <c r="B392" t="s">
        <v>13</v>
      </c>
      <c r="C392" t="s">
        <v>7</v>
      </c>
      <c r="D392" t="s">
        <v>8</v>
      </c>
      <c r="E392" s="3">
        <v>11052000</v>
      </c>
      <c r="F392" s="3">
        <v>8877400</v>
      </c>
      <c r="G392" t="s">
        <v>11</v>
      </c>
      <c r="H392" s="5">
        <v>156344700</v>
      </c>
      <c r="I392" t="s">
        <v>13</v>
      </c>
      <c r="J392" t="s">
        <v>13</v>
      </c>
      <c r="K392">
        <v>5.68</v>
      </c>
    </row>
    <row r="394" spans="1:11" x14ac:dyDescent="0.35">
      <c r="A394" t="s">
        <v>116</v>
      </c>
      <c r="B394" t="str">
        <f>"33216"</f>
        <v>33216</v>
      </c>
      <c r="C394" t="str">
        <f>"006"</f>
        <v>006</v>
      </c>
      <c r="D394">
        <v>2003</v>
      </c>
      <c r="E394" s="3">
        <v>31150900</v>
      </c>
      <c r="F394" s="3">
        <v>26846000</v>
      </c>
      <c r="G394" t="s">
        <v>11</v>
      </c>
      <c r="H394" s="5" t="s">
        <v>30</v>
      </c>
      <c r="I394" t="s">
        <v>13</v>
      </c>
      <c r="J394" t="s">
        <v>13</v>
      </c>
    </row>
    <row r="395" spans="1:11" x14ac:dyDescent="0.35">
      <c r="A395" t="s">
        <v>5</v>
      </c>
      <c r="B395" t="str">
        <f>"33216"</f>
        <v>33216</v>
      </c>
      <c r="C395" t="str">
        <f>"007"</f>
        <v>007</v>
      </c>
      <c r="D395">
        <v>2006</v>
      </c>
      <c r="E395" s="3">
        <v>5580200</v>
      </c>
      <c r="F395" s="3">
        <v>3393900</v>
      </c>
      <c r="G395" t="s">
        <v>11</v>
      </c>
      <c r="H395" s="5" t="s">
        <v>30</v>
      </c>
      <c r="I395" t="s">
        <v>13</v>
      </c>
      <c r="J395" t="s">
        <v>13</v>
      </c>
    </row>
    <row r="396" spans="1:11" x14ac:dyDescent="0.35">
      <c r="A396" t="s">
        <v>5</v>
      </c>
      <c r="B396" t="str">
        <f>"33216"</f>
        <v>33216</v>
      </c>
      <c r="C396" t="str">
        <f>"008"</f>
        <v>008</v>
      </c>
      <c r="D396">
        <v>2018</v>
      </c>
      <c r="E396" s="3">
        <v>15800</v>
      </c>
      <c r="F396" s="3">
        <v>-6700</v>
      </c>
      <c r="G396" t="s">
        <v>52</v>
      </c>
      <c r="H396" s="5" t="s">
        <v>30</v>
      </c>
      <c r="I396" t="s">
        <v>13</v>
      </c>
      <c r="J396" t="s">
        <v>13</v>
      </c>
    </row>
    <row r="397" spans="1:11" x14ac:dyDescent="0.35">
      <c r="A397" t="s">
        <v>31</v>
      </c>
      <c r="B397" t="s">
        <v>13</v>
      </c>
      <c r="C397" t="s">
        <v>7</v>
      </c>
      <c r="D397" t="s">
        <v>8</v>
      </c>
      <c r="E397" s="3">
        <v>36746900</v>
      </c>
      <c r="F397" s="3">
        <v>30239900</v>
      </c>
      <c r="G397" t="s">
        <v>11</v>
      </c>
      <c r="H397" s="5">
        <v>160049500</v>
      </c>
      <c r="I397" t="s">
        <v>13</v>
      </c>
      <c r="J397" t="s">
        <v>13</v>
      </c>
      <c r="K397">
        <v>18.89</v>
      </c>
    </row>
    <row r="399" spans="1:11" x14ac:dyDescent="0.35">
      <c r="A399" t="s">
        <v>117</v>
      </c>
      <c r="B399" t="str">
        <f t="shared" ref="B399:B409" si="4">"05216"</f>
        <v>05216</v>
      </c>
      <c r="C399" t="str">
        <f>"007"</f>
        <v>007</v>
      </c>
      <c r="D399">
        <v>2007</v>
      </c>
      <c r="E399" s="3">
        <v>17784900</v>
      </c>
      <c r="F399" s="3">
        <v>5728900</v>
      </c>
      <c r="G399" t="s">
        <v>11</v>
      </c>
      <c r="H399" s="5" t="s">
        <v>30</v>
      </c>
      <c r="I399" t="s">
        <v>13</v>
      </c>
      <c r="J399" t="s">
        <v>13</v>
      </c>
    </row>
    <row r="400" spans="1:11" x14ac:dyDescent="0.35">
      <c r="A400" t="s">
        <v>5</v>
      </c>
      <c r="B400" t="str">
        <f t="shared" si="4"/>
        <v>05216</v>
      </c>
      <c r="C400" t="str">
        <f>"008"</f>
        <v>008</v>
      </c>
      <c r="D400">
        <v>2007</v>
      </c>
      <c r="E400" s="3">
        <v>58857800</v>
      </c>
      <c r="F400" s="3">
        <v>22224600</v>
      </c>
      <c r="G400" t="s">
        <v>11</v>
      </c>
      <c r="H400" s="5" t="s">
        <v>30</v>
      </c>
      <c r="I400" t="s">
        <v>13</v>
      </c>
      <c r="J400" t="s">
        <v>13</v>
      </c>
    </row>
    <row r="401" spans="1:11" x14ac:dyDescent="0.35">
      <c r="A401" t="s">
        <v>5</v>
      </c>
      <c r="B401" t="str">
        <f t="shared" si="4"/>
        <v>05216</v>
      </c>
      <c r="C401" t="str">
        <f>"009"</f>
        <v>009</v>
      </c>
      <c r="D401">
        <v>2012</v>
      </c>
      <c r="E401" s="3">
        <v>17332100</v>
      </c>
      <c r="F401" s="3">
        <v>2556000</v>
      </c>
      <c r="G401" t="s">
        <v>11</v>
      </c>
      <c r="H401" s="5" t="s">
        <v>30</v>
      </c>
      <c r="I401" t="s">
        <v>13</v>
      </c>
      <c r="J401" t="s">
        <v>13</v>
      </c>
    </row>
    <row r="402" spans="1:11" x14ac:dyDescent="0.35">
      <c r="A402" t="s">
        <v>5</v>
      </c>
      <c r="B402" t="str">
        <f t="shared" si="4"/>
        <v>05216</v>
      </c>
      <c r="C402" t="str">
        <f>"010"</f>
        <v>010</v>
      </c>
      <c r="D402">
        <v>2012</v>
      </c>
      <c r="E402" s="3">
        <v>36088000</v>
      </c>
      <c r="F402" s="3">
        <v>11276100</v>
      </c>
      <c r="G402" t="s">
        <v>11</v>
      </c>
      <c r="H402" s="5" t="s">
        <v>30</v>
      </c>
      <c r="I402" t="s">
        <v>13</v>
      </c>
      <c r="J402" t="s">
        <v>13</v>
      </c>
    </row>
    <row r="403" spans="1:11" x14ac:dyDescent="0.35">
      <c r="A403" t="s">
        <v>5</v>
      </c>
      <c r="B403" t="str">
        <f t="shared" si="4"/>
        <v>05216</v>
      </c>
      <c r="C403" t="str">
        <f>"011"</f>
        <v>011</v>
      </c>
      <c r="D403">
        <v>2015</v>
      </c>
      <c r="E403" s="3">
        <v>31835300</v>
      </c>
      <c r="F403" s="3">
        <v>18821300</v>
      </c>
      <c r="G403" t="s">
        <v>11</v>
      </c>
      <c r="H403" s="5" t="s">
        <v>30</v>
      </c>
      <c r="I403" t="s">
        <v>13</v>
      </c>
      <c r="J403" t="s">
        <v>13</v>
      </c>
    </row>
    <row r="404" spans="1:11" x14ac:dyDescent="0.35">
      <c r="A404" t="s">
        <v>5</v>
      </c>
      <c r="B404" t="str">
        <f t="shared" si="4"/>
        <v>05216</v>
      </c>
      <c r="C404" t="str">
        <f>"012"</f>
        <v>012</v>
      </c>
      <c r="D404">
        <v>2015</v>
      </c>
      <c r="E404" s="3">
        <v>63257100</v>
      </c>
      <c r="F404" s="3">
        <v>39816800</v>
      </c>
      <c r="G404" t="s">
        <v>11</v>
      </c>
      <c r="H404" s="5" t="s">
        <v>30</v>
      </c>
      <c r="I404" t="s">
        <v>13</v>
      </c>
      <c r="J404" t="s">
        <v>13</v>
      </c>
    </row>
    <row r="405" spans="1:11" x14ac:dyDescent="0.35">
      <c r="A405" t="s">
        <v>5</v>
      </c>
      <c r="B405" t="str">
        <f t="shared" si="4"/>
        <v>05216</v>
      </c>
      <c r="C405" t="str">
        <f>"013"</f>
        <v>013</v>
      </c>
      <c r="D405">
        <v>2017</v>
      </c>
      <c r="E405" s="3">
        <v>62898500</v>
      </c>
      <c r="F405" s="3">
        <v>9537400</v>
      </c>
      <c r="G405" t="s">
        <v>11</v>
      </c>
      <c r="H405" s="5" t="s">
        <v>30</v>
      </c>
      <c r="I405" t="s">
        <v>13</v>
      </c>
      <c r="J405" t="s">
        <v>13</v>
      </c>
    </row>
    <row r="406" spans="1:11" x14ac:dyDescent="0.35">
      <c r="A406" t="s">
        <v>5</v>
      </c>
      <c r="B406" t="str">
        <f t="shared" si="4"/>
        <v>05216</v>
      </c>
      <c r="C406" t="str">
        <f>"014"</f>
        <v>014</v>
      </c>
      <c r="D406">
        <v>2019</v>
      </c>
      <c r="E406" s="3">
        <v>2362800</v>
      </c>
      <c r="F406" s="3">
        <v>1783200</v>
      </c>
      <c r="G406" t="s">
        <v>11</v>
      </c>
      <c r="H406" s="5" t="s">
        <v>30</v>
      </c>
      <c r="I406" t="s">
        <v>13</v>
      </c>
      <c r="J406" t="s">
        <v>13</v>
      </c>
    </row>
    <row r="407" spans="1:11" x14ac:dyDescent="0.35">
      <c r="A407" t="s">
        <v>5</v>
      </c>
      <c r="B407" t="str">
        <f t="shared" si="4"/>
        <v>05216</v>
      </c>
      <c r="C407" t="str">
        <f>"015"</f>
        <v>015</v>
      </c>
      <c r="D407">
        <v>2020</v>
      </c>
      <c r="E407" s="3">
        <v>29034000</v>
      </c>
      <c r="F407" s="3">
        <v>26418000</v>
      </c>
      <c r="G407" t="s">
        <v>11</v>
      </c>
      <c r="H407" s="5" t="s">
        <v>30</v>
      </c>
      <c r="I407" t="s">
        <v>13</v>
      </c>
      <c r="J407" t="s">
        <v>13</v>
      </c>
    </row>
    <row r="408" spans="1:11" x14ac:dyDescent="0.35">
      <c r="A408" t="s">
        <v>5</v>
      </c>
      <c r="B408" t="str">
        <f t="shared" si="4"/>
        <v>05216</v>
      </c>
      <c r="C408" t="str">
        <f>"016"</f>
        <v>016</v>
      </c>
      <c r="D408">
        <v>2020</v>
      </c>
      <c r="E408" s="3">
        <v>0</v>
      </c>
      <c r="F408" s="3">
        <v>0</v>
      </c>
      <c r="G408" t="s">
        <v>11</v>
      </c>
      <c r="H408" s="5" t="s">
        <v>30</v>
      </c>
      <c r="I408" t="s">
        <v>13</v>
      </c>
      <c r="J408" t="s">
        <v>13</v>
      </c>
    </row>
    <row r="409" spans="1:11" x14ac:dyDescent="0.35">
      <c r="A409" t="s">
        <v>5</v>
      </c>
      <c r="B409" t="str">
        <f t="shared" si="4"/>
        <v>05216</v>
      </c>
      <c r="C409" t="str">
        <f>"017"</f>
        <v>017</v>
      </c>
      <c r="D409">
        <v>2021</v>
      </c>
      <c r="E409" s="3">
        <v>0</v>
      </c>
      <c r="F409" s="3">
        <v>0</v>
      </c>
      <c r="G409" t="s">
        <v>11</v>
      </c>
      <c r="H409" s="5" t="s">
        <v>30</v>
      </c>
      <c r="I409" t="s">
        <v>13</v>
      </c>
      <c r="J409" t="s">
        <v>13</v>
      </c>
    </row>
    <row r="410" spans="1:11" x14ac:dyDescent="0.35">
      <c r="A410" t="s">
        <v>31</v>
      </c>
      <c r="B410" t="s">
        <v>13</v>
      </c>
      <c r="C410" t="s">
        <v>7</v>
      </c>
      <c r="D410" t="s">
        <v>8</v>
      </c>
      <c r="E410" s="3">
        <v>319450500</v>
      </c>
      <c r="F410" s="3">
        <v>138162300</v>
      </c>
      <c r="G410" t="s">
        <v>11</v>
      </c>
      <c r="H410" s="5">
        <v>2887309500</v>
      </c>
      <c r="I410" t="s">
        <v>13</v>
      </c>
      <c r="J410" t="s">
        <v>13</v>
      </c>
      <c r="K410">
        <v>4.79</v>
      </c>
    </row>
    <row r="412" spans="1:11" x14ac:dyDescent="0.35">
      <c r="A412" t="s">
        <v>118</v>
      </c>
      <c r="B412" t="str">
        <f>"62116"</f>
        <v>62116</v>
      </c>
      <c r="C412" t="str">
        <f>"001"</f>
        <v>001</v>
      </c>
      <c r="D412">
        <v>2001</v>
      </c>
      <c r="E412" s="3">
        <v>850700</v>
      </c>
      <c r="F412" s="3">
        <v>510500</v>
      </c>
      <c r="G412" t="s">
        <v>11</v>
      </c>
      <c r="H412" s="5" t="s">
        <v>30</v>
      </c>
      <c r="I412" t="s">
        <v>13</v>
      </c>
      <c r="J412" t="s">
        <v>13</v>
      </c>
    </row>
    <row r="413" spans="1:11" x14ac:dyDescent="0.35">
      <c r="A413" t="s">
        <v>5</v>
      </c>
      <c r="B413" t="str">
        <f>"12116"</f>
        <v>12116</v>
      </c>
      <c r="C413" t="str">
        <f>"001"</f>
        <v>001</v>
      </c>
      <c r="D413">
        <v>2001</v>
      </c>
      <c r="E413" s="3">
        <v>608900</v>
      </c>
      <c r="F413" s="3">
        <v>447200</v>
      </c>
      <c r="G413" t="s">
        <v>11</v>
      </c>
      <c r="H413" s="5" t="s">
        <v>30</v>
      </c>
      <c r="I413" t="s">
        <v>13</v>
      </c>
      <c r="J413" t="s">
        <v>13</v>
      </c>
    </row>
    <row r="414" spans="1:11" x14ac:dyDescent="0.35">
      <c r="A414" t="s">
        <v>31</v>
      </c>
      <c r="B414" t="s">
        <v>13</v>
      </c>
      <c r="C414" t="s">
        <v>7</v>
      </c>
      <c r="D414" t="s">
        <v>8</v>
      </c>
      <c r="E414" s="3">
        <v>1459600</v>
      </c>
      <c r="F414" s="3">
        <v>957700</v>
      </c>
      <c r="G414" t="s">
        <v>11</v>
      </c>
      <c r="H414" s="5">
        <v>27039100</v>
      </c>
      <c r="I414" t="s">
        <v>13</v>
      </c>
      <c r="J414" t="s">
        <v>13</v>
      </c>
      <c r="K414">
        <v>3.54</v>
      </c>
    </row>
    <row r="416" spans="1:11" x14ac:dyDescent="0.35">
      <c r="A416" t="s">
        <v>119</v>
      </c>
      <c r="B416" t="str">
        <f>"13117"</f>
        <v>13117</v>
      </c>
      <c r="C416" t="str">
        <f>"003"</f>
        <v>003</v>
      </c>
      <c r="D416">
        <v>2005</v>
      </c>
      <c r="E416" s="3">
        <v>42801000</v>
      </c>
      <c r="F416" s="3">
        <v>32830600</v>
      </c>
      <c r="G416" t="s">
        <v>11</v>
      </c>
      <c r="H416" s="5" t="s">
        <v>30</v>
      </c>
      <c r="I416" t="s">
        <v>13</v>
      </c>
      <c r="J416" t="s">
        <v>13</v>
      </c>
    </row>
    <row r="417" spans="1:11" x14ac:dyDescent="0.35">
      <c r="A417" t="s">
        <v>5</v>
      </c>
      <c r="B417" t="str">
        <f>"13117"</f>
        <v>13117</v>
      </c>
      <c r="C417" t="str">
        <f>"005"</f>
        <v>005</v>
      </c>
      <c r="D417">
        <v>2008</v>
      </c>
      <c r="E417" s="3">
        <v>344900</v>
      </c>
      <c r="F417" s="3">
        <v>333200</v>
      </c>
      <c r="G417" t="s">
        <v>11</v>
      </c>
      <c r="H417" s="5" t="s">
        <v>30</v>
      </c>
      <c r="I417" t="s">
        <v>13</v>
      </c>
      <c r="J417" t="s">
        <v>13</v>
      </c>
    </row>
    <row r="418" spans="1:11" x14ac:dyDescent="0.35">
      <c r="A418" t="s">
        <v>5</v>
      </c>
      <c r="B418" t="str">
        <f>"13117"</f>
        <v>13117</v>
      </c>
      <c r="C418" t="str">
        <f>"006"</f>
        <v>006</v>
      </c>
      <c r="D418">
        <v>2019</v>
      </c>
      <c r="E418" s="3">
        <v>1912600</v>
      </c>
      <c r="F418" s="3">
        <v>846900</v>
      </c>
      <c r="G418" t="s">
        <v>11</v>
      </c>
      <c r="H418" s="5" t="s">
        <v>30</v>
      </c>
      <c r="I418" t="s">
        <v>13</v>
      </c>
      <c r="J418" t="s">
        <v>13</v>
      </c>
    </row>
    <row r="419" spans="1:11" x14ac:dyDescent="0.35">
      <c r="A419" t="s">
        <v>5</v>
      </c>
      <c r="B419" t="str">
        <f>"13117"</f>
        <v>13117</v>
      </c>
      <c r="C419" t="str">
        <f>"007"</f>
        <v>007</v>
      </c>
      <c r="D419">
        <v>2021</v>
      </c>
      <c r="E419" s="3">
        <v>2798400</v>
      </c>
      <c r="F419" s="3">
        <v>479900</v>
      </c>
      <c r="G419" t="s">
        <v>11</v>
      </c>
      <c r="H419" s="5" t="s">
        <v>30</v>
      </c>
      <c r="I419" t="s">
        <v>13</v>
      </c>
      <c r="J419" t="s">
        <v>13</v>
      </c>
    </row>
    <row r="420" spans="1:11" x14ac:dyDescent="0.35">
      <c r="A420" t="s">
        <v>31</v>
      </c>
      <c r="B420" t="s">
        <v>13</v>
      </c>
      <c r="C420" t="s">
        <v>7</v>
      </c>
      <c r="D420" t="s">
        <v>8</v>
      </c>
      <c r="E420" s="3">
        <v>47856900</v>
      </c>
      <c r="F420" s="3">
        <v>34490600</v>
      </c>
      <c r="G420" t="s">
        <v>11</v>
      </c>
      <c r="H420" s="5">
        <v>300008900</v>
      </c>
      <c r="I420" t="s">
        <v>13</v>
      </c>
      <c r="J420" t="s">
        <v>13</v>
      </c>
      <c r="K420">
        <v>11.5</v>
      </c>
    </row>
    <row r="422" spans="1:11" x14ac:dyDescent="0.35">
      <c r="A422" t="s">
        <v>120</v>
      </c>
      <c r="B422" t="str">
        <f t="shared" ref="B422:B429" si="5">"13118"</f>
        <v>13118</v>
      </c>
      <c r="C422" t="str">
        <f>"002"</f>
        <v>002</v>
      </c>
      <c r="D422">
        <v>2009</v>
      </c>
      <c r="E422" s="3">
        <v>73847200</v>
      </c>
      <c r="F422" s="3">
        <v>73819300</v>
      </c>
      <c r="G422" t="s">
        <v>11</v>
      </c>
      <c r="H422" s="5" t="s">
        <v>30</v>
      </c>
      <c r="I422" t="s">
        <v>13</v>
      </c>
      <c r="J422" t="s">
        <v>13</v>
      </c>
    </row>
    <row r="423" spans="1:11" x14ac:dyDescent="0.35">
      <c r="A423" t="s">
        <v>5</v>
      </c>
      <c r="B423" t="str">
        <f t="shared" si="5"/>
        <v>13118</v>
      </c>
      <c r="C423" t="str">
        <f>"003"</f>
        <v>003</v>
      </c>
      <c r="D423">
        <v>2009</v>
      </c>
      <c r="E423" s="3">
        <v>20930600</v>
      </c>
      <c r="F423" s="3">
        <v>19948700</v>
      </c>
      <c r="G423" t="s">
        <v>11</v>
      </c>
      <c r="H423" s="5" t="s">
        <v>30</v>
      </c>
      <c r="I423" t="s">
        <v>13</v>
      </c>
      <c r="J423" t="s">
        <v>13</v>
      </c>
    </row>
    <row r="424" spans="1:11" x14ac:dyDescent="0.35">
      <c r="A424" t="s">
        <v>5</v>
      </c>
      <c r="B424" t="str">
        <f t="shared" si="5"/>
        <v>13118</v>
      </c>
      <c r="C424" t="str">
        <f>"004"</f>
        <v>004</v>
      </c>
      <c r="D424">
        <v>2009</v>
      </c>
      <c r="E424" s="3">
        <v>64139900</v>
      </c>
      <c r="F424" s="3">
        <v>63794200</v>
      </c>
      <c r="G424" t="s">
        <v>11</v>
      </c>
      <c r="H424" s="5" t="s">
        <v>30</v>
      </c>
      <c r="I424" t="s">
        <v>13</v>
      </c>
      <c r="J424" t="s">
        <v>13</v>
      </c>
    </row>
    <row r="425" spans="1:11" x14ac:dyDescent="0.35">
      <c r="A425" t="s">
        <v>5</v>
      </c>
      <c r="B425" t="str">
        <f t="shared" si="5"/>
        <v>13118</v>
      </c>
      <c r="C425" t="str">
        <f>"005"</f>
        <v>005</v>
      </c>
      <c r="D425">
        <v>2010</v>
      </c>
      <c r="E425" s="3">
        <v>36336700</v>
      </c>
      <c r="F425" s="3">
        <v>35986200</v>
      </c>
      <c r="G425" t="s">
        <v>11</v>
      </c>
      <c r="H425" s="5" t="s">
        <v>30</v>
      </c>
      <c r="I425" t="s">
        <v>13</v>
      </c>
      <c r="J425" t="s">
        <v>13</v>
      </c>
    </row>
    <row r="426" spans="1:11" x14ac:dyDescent="0.35">
      <c r="A426" t="s">
        <v>5</v>
      </c>
      <c r="B426" t="str">
        <f t="shared" si="5"/>
        <v>13118</v>
      </c>
      <c r="C426" t="str">
        <f>"006"</f>
        <v>006</v>
      </c>
      <c r="D426">
        <v>2011</v>
      </c>
      <c r="E426" s="3">
        <v>46389200</v>
      </c>
      <c r="F426" s="3">
        <v>43624600</v>
      </c>
      <c r="G426" t="s">
        <v>11</v>
      </c>
      <c r="H426" s="5" t="s">
        <v>30</v>
      </c>
      <c r="I426" t="s">
        <v>13</v>
      </c>
      <c r="J426" t="s">
        <v>13</v>
      </c>
    </row>
    <row r="427" spans="1:11" x14ac:dyDescent="0.35">
      <c r="A427" t="s">
        <v>5</v>
      </c>
      <c r="B427" t="str">
        <f t="shared" si="5"/>
        <v>13118</v>
      </c>
      <c r="C427" t="str">
        <f>"007"</f>
        <v>007</v>
      </c>
      <c r="D427">
        <v>2011</v>
      </c>
      <c r="E427" s="3">
        <v>72513300</v>
      </c>
      <c r="F427" s="3">
        <v>68021300</v>
      </c>
      <c r="G427" t="s">
        <v>11</v>
      </c>
      <c r="H427" s="5" t="s">
        <v>30</v>
      </c>
      <c r="I427" t="s">
        <v>13</v>
      </c>
      <c r="J427" t="s">
        <v>13</v>
      </c>
    </row>
    <row r="428" spans="1:11" x14ac:dyDescent="0.35">
      <c r="A428" t="s">
        <v>5</v>
      </c>
      <c r="B428" t="str">
        <f t="shared" si="5"/>
        <v>13118</v>
      </c>
      <c r="C428" t="str">
        <f>"008"</f>
        <v>008</v>
      </c>
      <c r="D428">
        <v>2017</v>
      </c>
      <c r="E428" s="3">
        <v>55050600</v>
      </c>
      <c r="F428" s="3">
        <v>48322200</v>
      </c>
      <c r="G428" t="s">
        <v>11</v>
      </c>
      <c r="H428" s="5" t="s">
        <v>30</v>
      </c>
      <c r="I428" t="s">
        <v>13</v>
      </c>
      <c r="J428" t="s">
        <v>13</v>
      </c>
    </row>
    <row r="429" spans="1:11" x14ac:dyDescent="0.35">
      <c r="A429" t="s">
        <v>5</v>
      </c>
      <c r="B429" t="str">
        <f t="shared" si="5"/>
        <v>13118</v>
      </c>
      <c r="C429" t="str">
        <f>"009"</f>
        <v>009</v>
      </c>
      <c r="D429">
        <v>2017</v>
      </c>
      <c r="E429" s="3">
        <v>41938600</v>
      </c>
      <c r="F429" s="3">
        <v>34357700</v>
      </c>
      <c r="G429" t="s">
        <v>11</v>
      </c>
      <c r="H429" s="5" t="s">
        <v>30</v>
      </c>
      <c r="I429" t="s">
        <v>13</v>
      </c>
      <c r="J429" t="s">
        <v>13</v>
      </c>
    </row>
    <row r="430" spans="1:11" x14ac:dyDescent="0.35">
      <c r="A430" t="s">
        <v>31</v>
      </c>
      <c r="B430" t="s">
        <v>13</v>
      </c>
      <c r="C430" t="s">
        <v>7</v>
      </c>
      <c r="D430" t="s">
        <v>8</v>
      </c>
      <c r="E430" s="3">
        <v>411146100</v>
      </c>
      <c r="F430" s="3">
        <v>387874200</v>
      </c>
      <c r="G430" t="s">
        <v>11</v>
      </c>
      <c r="H430" s="5">
        <v>1828925000</v>
      </c>
      <c r="I430" t="s">
        <v>13</v>
      </c>
      <c r="J430" t="s">
        <v>13</v>
      </c>
      <c r="K430">
        <v>21.21</v>
      </c>
    </row>
    <row r="432" spans="1:11" x14ac:dyDescent="0.35">
      <c r="A432" t="s">
        <v>121</v>
      </c>
      <c r="B432" t="str">
        <f>"67216"</f>
        <v>67216</v>
      </c>
      <c r="C432" t="str">
        <f>"004"</f>
        <v>004</v>
      </c>
      <c r="D432">
        <v>2012</v>
      </c>
      <c r="E432" s="3">
        <v>14564200</v>
      </c>
      <c r="F432" s="3">
        <v>6467200</v>
      </c>
      <c r="G432" t="s">
        <v>11</v>
      </c>
      <c r="H432" s="5" t="s">
        <v>30</v>
      </c>
      <c r="I432" t="s">
        <v>13</v>
      </c>
      <c r="J432" t="s">
        <v>13</v>
      </c>
    </row>
    <row r="433" spans="1:11" x14ac:dyDescent="0.35">
      <c r="A433" t="s">
        <v>31</v>
      </c>
      <c r="B433" t="s">
        <v>13</v>
      </c>
      <c r="C433" t="s">
        <v>7</v>
      </c>
      <c r="D433" t="s">
        <v>8</v>
      </c>
      <c r="E433" s="3">
        <v>14564200</v>
      </c>
      <c r="F433" s="3">
        <v>6467200</v>
      </c>
      <c r="G433" t="s">
        <v>11</v>
      </c>
      <c r="H433" s="5">
        <v>1937919800</v>
      </c>
      <c r="I433" t="s">
        <v>13</v>
      </c>
      <c r="J433" t="s">
        <v>13</v>
      </c>
      <c r="K433">
        <v>0.33</v>
      </c>
    </row>
    <row r="435" spans="1:11" x14ac:dyDescent="0.35">
      <c r="A435" t="s">
        <v>122</v>
      </c>
      <c r="B435" t="str">
        <f>"64216"</f>
        <v>64216</v>
      </c>
      <c r="C435" t="str">
        <f>"004"</f>
        <v>004</v>
      </c>
      <c r="D435">
        <v>2003</v>
      </c>
      <c r="E435" s="3">
        <v>84034200</v>
      </c>
      <c r="F435" s="3">
        <v>61036400</v>
      </c>
      <c r="G435" t="s">
        <v>11</v>
      </c>
      <c r="H435" s="5" t="s">
        <v>30</v>
      </c>
      <c r="I435" t="s">
        <v>13</v>
      </c>
      <c r="J435" t="s">
        <v>13</v>
      </c>
    </row>
    <row r="436" spans="1:11" x14ac:dyDescent="0.35">
      <c r="A436" t="s">
        <v>5</v>
      </c>
      <c r="B436" t="str">
        <f>"64216"</f>
        <v>64216</v>
      </c>
      <c r="C436" t="str">
        <f>"005"</f>
        <v>005</v>
      </c>
      <c r="D436">
        <v>2012</v>
      </c>
      <c r="E436" s="3">
        <v>35769900</v>
      </c>
      <c r="F436" s="3">
        <v>13939100</v>
      </c>
      <c r="G436" t="s">
        <v>11</v>
      </c>
      <c r="H436" s="5" t="s">
        <v>30</v>
      </c>
      <c r="I436" t="s">
        <v>13</v>
      </c>
      <c r="J436" t="s">
        <v>13</v>
      </c>
    </row>
    <row r="437" spans="1:11" x14ac:dyDescent="0.35">
      <c r="A437" t="s">
        <v>31</v>
      </c>
      <c r="B437" t="s">
        <v>13</v>
      </c>
      <c r="C437" t="s">
        <v>7</v>
      </c>
      <c r="D437" t="s">
        <v>8</v>
      </c>
      <c r="E437" s="3">
        <v>119804100</v>
      </c>
      <c r="F437" s="3">
        <v>74975500</v>
      </c>
      <c r="G437" t="s">
        <v>11</v>
      </c>
      <c r="H437" s="5">
        <v>861006400</v>
      </c>
      <c r="I437" t="s">
        <v>13</v>
      </c>
      <c r="J437" t="s">
        <v>13</v>
      </c>
      <c r="K437">
        <v>8.7100000000000009</v>
      </c>
    </row>
    <row r="439" spans="1:11" x14ac:dyDescent="0.35">
      <c r="A439" t="s">
        <v>123</v>
      </c>
      <c r="B439" t="str">
        <f>"05116"</f>
        <v>05116</v>
      </c>
      <c r="C439" t="str">
        <f>"002"</f>
        <v>002</v>
      </c>
      <c r="D439">
        <v>2021</v>
      </c>
      <c r="E439" s="3">
        <v>15368600</v>
      </c>
      <c r="F439" s="3">
        <v>5996100</v>
      </c>
      <c r="G439" t="s">
        <v>11</v>
      </c>
      <c r="H439" s="5" t="s">
        <v>30</v>
      </c>
      <c r="I439" t="s">
        <v>13</v>
      </c>
      <c r="J439" t="s">
        <v>13</v>
      </c>
    </row>
    <row r="440" spans="1:11" x14ac:dyDescent="0.35">
      <c r="A440" t="s">
        <v>31</v>
      </c>
      <c r="B440" t="s">
        <v>13</v>
      </c>
      <c r="C440" t="s">
        <v>7</v>
      </c>
      <c r="D440" t="s">
        <v>8</v>
      </c>
      <c r="E440" s="3">
        <v>15368600</v>
      </c>
      <c r="F440" s="3">
        <v>5996100</v>
      </c>
      <c r="G440" t="s">
        <v>11</v>
      </c>
      <c r="H440" s="5">
        <v>227933600</v>
      </c>
      <c r="I440" t="s">
        <v>13</v>
      </c>
      <c r="J440" t="s">
        <v>13</v>
      </c>
      <c r="K440">
        <v>2.63</v>
      </c>
    </row>
    <row r="442" spans="1:11" x14ac:dyDescent="0.35">
      <c r="A442" t="s">
        <v>124</v>
      </c>
      <c r="B442" t="str">
        <f>"22116"</f>
        <v>22116</v>
      </c>
      <c r="C442" t="str">
        <f>"001"</f>
        <v>001</v>
      </c>
      <c r="D442">
        <v>2014</v>
      </c>
      <c r="E442" s="3">
        <v>5377900</v>
      </c>
      <c r="F442" s="3">
        <v>3827200</v>
      </c>
      <c r="G442" t="s">
        <v>11</v>
      </c>
      <c r="H442" s="5" t="s">
        <v>30</v>
      </c>
      <c r="I442" t="s">
        <v>13</v>
      </c>
      <c r="J442" t="s">
        <v>13</v>
      </c>
    </row>
    <row r="443" spans="1:11" x14ac:dyDescent="0.35">
      <c r="A443" t="s">
        <v>31</v>
      </c>
      <c r="B443" t="s">
        <v>13</v>
      </c>
      <c r="C443" t="s">
        <v>7</v>
      </c>
      <c r="D443" t="s">
        <v>8</v>
      </c>
      <c r="E443" s="3">
        <v>5377900</v>
      </c>
      <c r="F443" s="3">
        <v>3827200</v>
      </c>
      <c r="G443" t="s">
        <v>11</v>
      </c>
      <c r="H443" s="5">
        <v>79908300</v>
      </c>
      <c r="I443" t="s">
        <v>13</v>
      </c>
      <c r="J443" t="s">
        <v>13</v>
      </c>
      <c r="K443">
        <v>4.79</v>
      </c>
    </row>
    <row r="445" spans="1:11" x14ac:dyDescent="0.35">
      <c r="A445" t="s">
        <v>125</v>
      </c>
      <c r="B445" t="str">
        <f>"25216"</f>
        <v>25216</v>
      </c>
      <c r="C445" t="str">
        <f>"003"</f>
        <v>003</v>
      </c>
      <c r="D445">
        <v>2020</v>
      </c>
      <c r="E445" s="3">
        <v>2995600</v>
      </c>
      <c r="F445" s="3">
        <v>1127700</v>
      </c>
      <c r="G445" t="s">
        <v>11</v>
      </c>
      <c r="H445" s="5" t="s">
        <v>30</v>
      </c>
      <c r="I445" t="s">
        <v>13</v>
      </c>
      <c r="J445" t="s">
        <v>13</v>
      </c>
    </row>
    <row r="446" spans="1:11" x14ac:dyDescent="0.35">
      <c r="A446" t="s">
        <v>31</v>
      </c>
      <c r="B446" t="s">
        <v>13</v>
      </c>
      <c r="C446" t="s">
        <v>7</v>
      </c>
      <c r="D446" t="s">
        <v>8</v>
      </c>
      <c r="E446" s="3">
        <v>2995600</v>
      </c>
      <c r="F446" s="3">
        <v>1127700</v>
      </c>
      <c r="G446" t="s">
        <v>11</v>
      </c>
      <c r="H446" s="5">
        <v>511136200</v>
      </c>
      <c r="I446" t="s">
        <v>13</v>
      </c>
      <c r="J446" t="s">
        <v>13</v>
      </c>
      <c r="K446">
        <v>0.22</v>
      </c>
    </row>
    <row r="448" spans="1:11" x14ac:dyDescent="0.35">
      <c r="A448" t="s">
        <v>126</v>
      </c>
      <c r="B448" t="str">
        <f>"10116"</f>
        <v>10116</v>
      </c>
      <c r="C448" t="str">
        <f>"001"</f>
        <v>001</v>
      </c>
      <c r="D448">
        <v>1992</v>
      </c>
      <c r="E448" s="3">
        <v>6969800</v>
      </c>
      <c r="F448" s="3">
        <v>6736800</v>
      </c>
      <c r="G448" t="s">
        <v>11</v>
      </c>
      <c r="H448" s="5" t="s">
        <v>30</v>
      </c>
      <c r="I448" t="s">
        <v>13</v>
      </c>
      <c r="J448" t="s">
        <v>13</v>
      </c>
    </row>
    <row r="449" spans="1:11" x14ac:dyDescent="0.35">
      <c r="A449" t="s">
        <v>5</v>
      </c>
      <c r="B449" t="str">
        <f>"10116"</f>
        <v>10116</v>
      </c>
      <c r="C449" t="str">
        <f>"002"</f>
        <v>002</v>
      </c>
      <c r="D449">
        <v>1995</v>
      </c>
      <c r="E449" s="3">
        <v>27946300</v>
      </c>
      <c r="F449" s="3">
        <v>12446900</v>
      </c>
      <c r="G449" t="s">
        <v>11</v>
      </c>
      <c r="H449" s="5" t="s">
        <v>30</v>
      </c>
      <c r="I449" t="s">
        <v>13</v>
      </c>
      <c r="J449" t="s">
        <v>13</v>
      </c>
    </row>
    <row r="450" spans="1:11" x14ac:dyDescent="0.35">
      <c r="A450" t="s">
        <v>31</v>
      </c>
      <c r="B450" t="s">
        <v>13</v>
      </c>
      <c r="C450" t="s">
        <v>7</v>
      </c>
      <c r="D450" t="s">
        <v>8</v>
      </c>
      <c r="E450" s="3">
        <v>34916100</v>
      </c>
      <c r="F450" s="3">
        <v>19183700</v>
      </c>
      <c r="G450" t="s">
        <v>11</v>
      </c>
      <c r="H450" s="5">
        <v>59484700</v>
      </c>
      <c r="I450" t="s">
        <v>13</v>
      </c>
      <c r="J450" t="s">
        <v>13</v>
      </c>
      <c r="K450">
        <v>32.25</v>
      </c>
    </row>
    <row r="452" spans="1:11" x14ac:dyDescent="0.35">
      <c r="A452" t="s">
        <v>127</v>
      </c>
      <c r="B452" t="str">
        <f>"46216"</f>
        <v>46216</v>
      </c>
      <c r="C452" t="str">
        <f>"003"</f>
        <v>003</v>
      </c>
      <c r="D452">
        <v>2007</v>
      </c>
      <c r="E452" s="3">
        <v>16140600</v>
      </c>
      <c r="F452" s="3">
        <v>5748900</v>
      </c>
      <c r="G452" t="s">
        <v>11</v>
      </c>
      <c r="H452" s="5" t="s">
        <v>30</v>
      </c>
      <c r="I452" t="s">
        <v>13</v>
      </c>
      <c r="J452" t="s">
        <v>13</v>
      </c>
    </row>
    <row r="453" spans="1:11" x14ac:dyDescent="0.35">
      <c r="A453" t="s">
        <v>31</v>
      </c>
      <c r="B453" t="s">
        <v>13</v>
      </c>
      <c r="C453" t="s">
        <v>7</v>
      </c>
      <c r="D453" t="s">
        <v>8</v>
      </c>
      <c r="E453" s="3">
        <v>16140600</v>
      </c>
      <c r="F453" s="3">
        <v>5748900</v>
      </c>
      <c r="G453" t="s">
        <v>11</v>
      </c>
      <c r="H453" s="5">
        <v>124761900</v>
      </c>
      <c r="I453" t="s">
        <v>13</v>
      </c>
      <c r="J453" t="s">
        <v>13</v>
      </c>
      <c r="K453">
        <v>4.6100000000000003</v>
      </c>
    </row>
    <row r="455" spans="1:11" x14ac:dyDescent="0.35">
      <c r="A455" t="s">
        <v>128</v>
      </c>
      <c r="B455" t="str">
        <f>"63221"</f>
        <v>63221</v>
      </c>
      <c r="C455" t="str">
        <f>"002"</f>
        <v>002</v>
      </c>
      <c r="D455">
        <v>2007</v>
      </c>
      <c r="E455" s="3">
        <v>14606000</v>
      </c>
      <c r="F455" s="3">
        <v>10543600</v>
      </c>
      <c r="G455" t="s">
        <v>11</v>
      </c>
      <c r="H455" s="5" t="s">
        <v>30</v>
      </c>
      <c r="I455" t="s">
        <v>13</v>
      </c>
      <c r="J455" t="s">
        <v>13</v>
      </c>
    </row>
    <row r="456" spans="1:11" x14ac:dyDescent="0.35">
      <c r="A456" t="s">
        <v>5</v>
      </c>
      <c r="B456" t="str">
        <f>"63221"</f>
        <v>63221</v>
      </c>
      <c r="C456" t="str">
        <f>"003"</f>
        <v>003</v>
      </c>
      <c r="D456">
        <v>2007</v>
      </c>
      <c r="E456" s="3">
        <v>25642400</v>
      </c>
      <c r="F456" s="3">
        <v>17503700</v>
      </c>
      <c r="G456" t="s">
        <v>11</v>
      </c>
      <c r="H456" s="5" t="s">
        <v>30</v>
      </c>
      <c r="I456" t="s">
        <v>13</v>
      </c>
      <c r="J456" t="s">
        <v>13</v>
      </c>
    </row>
    <row r="457" spans="1:11" x14ac:dyDescent="0.35">
      <c r="A457" t="s">
        <v>31</v>
      </c>
      <c r="B457" t="s">
        <v>13</v>
      </c>
      <c r="C457" t="s">
        <v>7</v>
      </c>
      <c r="D457" t="s">
        <v>8</v>
      </c>
      <c r="E457" s="3">
        <v>40248400</v>
      </c>
      <c r="F457" s="3">
        <v>28047300</v>
      </c>
      <c r="G457" t="s">
        <v>11</v>
      </c>
      <c r="H457" s="5">
        <v>234215600</v>
      </c>
      <c r="I457" t="s">
        <v>13</v>
      </c>
      <c r="J457" t="s">
        <v>13</v>
      </c>
      <c r="K457">
        <v>11.97</v>
      </c>
    </row>
    <row r="459" spans="1:11" x14ac:dyDescent="0.35">
      <c r="A459" t="s">
        <v>129</v>
      </c>
      <c r="B459" t="str">
        <f>"64121"</f>
        <v>64121</v>
      </c>
      <c r="C459" t="str">
        <f>"004"</f>
        <v>004</v>
      </c>
      <c r="D459">
        <v>2018</v>
      </c>
      <c r="E459" s="3">
        <v>6518300</v>
      </c>
      <c r="F459" s="3">
        <v>4726200</v>
      </c>
      <c r="G459" t="s">
        <v>11</v>
      </c>
      <c r="H459" s="5" t="s">
        <v>30</v>
      </c>
      <c r="I459" t="s">
        <v>13</v>
      </c>
      <c r="J459" t="s">
        <v>13</v>
      </c>
    </row>
    <row r="460" spans="1:11" x14ac:dyDescent="0.35">
      <c r="A460" t="s">
        <v>31</v>
      </c>
      <c r="B460" t="s">
        <v>13</v>
      </c>
      <c r="C460" t="s">
        <v>7</v>
      </c>
      <c r="D460" t="s">
        <v>8</v>
      </c>
      <c r="E460" s="3">
        <v>6518300</v>
      </c>
      <c r="F460" s="3">
        <v>4726200</v>
      </c>
      <c r="G460" t="s">
        <v>11</v>
      </c>
      <c r="H460" s="5">
        <v>486035300</v>
      </c>
      <c r="I460" t="s">
        <v>13</v>
      </c>
      <c r="J460" t="s">
        <v>13</v>
      </c>
      <c r="K460">
        <v>0.97</v>
      </c>
    </row>
    <row r="462" spans="1:11" x14ac:dyDescent="0.35">
      <c r="A462" t="s">
        <v>130</v>
      </c>
      <c r="B462" t="str">
        <f>"18221"</f>
        <v>18221</v>
      </c>
      <c r="C462" t="str">
        <f>"008"</f>
        <v>008</v>
      </c>
      <c r="D462">
        <v>2002</v>
      </c>
      <c r="E462" s="3">
        <v>92722400</v>
      </c>
      <c r="F462" s="3">
        <v>80304000</v>
      </c>
      <c r="G462" t="s">
        <v>11</v>
      </c>
      <c r="H462" s="5" t="s">
        <v>30</v>
      </c>
      <c r="I462" t="s">
        <v>13</v>
      </c>
      <c r="J462" t="s">
        <v>13</v>
      </c>
    </row>
    <row r="463" spans="1:11" x14ac:dyDescent="0.35">
      <c r="A463" t="s">
        <v>5</v>
      </c>
      <c r="B463" t="str">
        <f>"09221"</f>
        <v>09221</v>
      </c>
      <c r="C463" t="str">
        <f>"009"</f>
        <v>009</v>
      </c>
      <c r="D463">
        <v>2008</v>
      </c>
      <c r="E463" s="3">
        <v>38400</v>
      </c>
      <c r="F463" s="3">
        <v>-16100</v>
      </c>
      <c r="G463" t="s">
        <v>52</v>
      </c>
      <c r="H463" s="5" t="s">
        <v>30</v>
      </c>
      <c r="I463" t="s">
        <v>13</v>
      </c>
      <c r="J463" t="s">
        <v>13</v>
      </c>
    </row>
    <row r="464" spans="1:11" x14ac:dyDescent="0.35">
      <c r="A464" t="s">
        <v>5</v>
      </c>
      <c r="B464" t="str">
        <f t="shared" ref="B464:B469" si="6">"18221"</f>
        <v>18221</v>
      </c>
      <c r="C464" t="str">
        <f>"009"</f>
        <v>009</v>
      </c>
      <c r="D464">
        <v>2008</v>
      </c>
      <c r="E464" s="3">
        <v>36749600</v>
      </c>
      <c r="F464" s="3">
        <v>23154900</v>
      </c>
      <c r="G464" t="s">
        <v>11</v>
      </c>
      <c r="H464" s="5" t="s">
        <v>30</v>
      </c>
      <c r="I464" t="s">
        <v>13</v>
      </c>
      <c r="J464" t="s">
        <v>13</v>
      </c>
    </row>
    <row r="465" spans="1:11" x14ac:dyDescent="0.35">
      <c r="A465" t="s">
        <v>5</v>
      </c>
      <c r="B465" t="str">
        <f t="shared" si="6"/>
        <v>18221</v>
      </c>
      <c r="C465" t="str">
        <f>"010"</f>
        <v>010</v>
      </c>
      <c r="D465">
        <v>2015</v>
      </c>
      <c r="E465" s="3">
        <v>47258400</v>
      </c>
      <c r="F465" s="3">
        <v>37464200</v>
      </c>
      <c r="G465" t="s">
        <v>11</v>
      </c>
      <c r="H465" s="5" t="s">
        <v>30</v>
      </c>
      <c r="I465" t="s">
        <v>13</v>
      </c>
      <c r="J465" t="s">
        <v>13</v>
      </c>
    </row>
    <row r="466" spans="1:11" x14ac:dyDescent="0.35">
      <c r="A466" t="s">
        <v>5</v>
      </c>
      <c r="B466" t="str">
        <f t="shared" si="6"/>
        <v>18221</v>
      </c>
      <c r="C466" t="str">
        <f>"011"</f>
        <v>011</v>
      </c>
      <c r="D466">
        <v>2015</v>
      </c>
      <c r="E466" s="3">
        <v>40623600</v>
      </c>
      <c r="F466" s="3">
        <v>23998400</v>
      </c>
      <c r="G466" t="s">
        <v>11</v>
      </c>
      <c r="H466" s="5" t="s">
        <v>30</v>
      </c>
      <c r="I466" t="s">
        <v>13</v>
      </c>
      <c r="J466" t="s">
        <v>13</v>
      </c>
    </row>
    <row r="467" spans="1:11" x14ac:dyDescent="0.35">
      <c r="A467" t="s">
        <v>5</v>
      </c>
      <c r="B467" t="str">
        <f t="shared" si="6"/>
        <v>18221</v>
      </c>
      <c r="C467" t="str">
        <f>"012"</f>
        <v>012</v>
      </c>
      <c r="D467">
        <v>2017</v>
      </c>
      <c r="E467" s="3">
        <v>33265200</v>
      </c>
      <c r="F467" s="3">
        <v>10983700</v>
      </c>
      <c r="G467" t="s">
        <v>11</v>
      </c>
      <c r="H467" s="5" t="s">
        <v>30</v>
      </c>
      <c r="I467" t="s">
        <v>13</v>
      </c>
      <c r="J467" t="s">
        <v>13</v>
      </c>
    </row>
    <row r="468" spans="1:11" x14ac:dyDescent="0.35">
      <c r="A468" t="s">
        <v>5</v>
      </c>
      <c r="B468" t="str">
        <f t="shared" si="6"/>
        <v>18221</v>
      </c>
      <c r="C468" t="str">
        <f>"013"</f>
        <v>013</v>
      </c>
      <c r="D468">
        <v>2019</v>
      </c>
      <c r="E468" s="3">
        <v>16577200</v>
      </c>
      <c r="F468" s="3">
        <v>13548300</v>
      </c>
      <c r="G468" t="s">
        <v>11</v>
      </c>
      <c r="H468" s="5" t="s">
        <v>30</v>
      </c>
      <c r="I468" t="s">
        <v>13</v>
      </c>
      <c r="J468" t="s">
        <v>13</v>
      </c>
    </row>
    <row r="469" spans="1:11" x14ac:dyDescent="0.35">
      <c r="A469" t="s">
        <v>5</v>
      </c>
      <c r="B469" t="str">
        <f t="shared" si="6"/>
        <v>18221</v>
      </c>
      <c r="C469" t="str">
        <f>"014"</f>
        <v>014</v>
      </c>
      <c r="D469">
        <v>2021</v>
      </c>
      <c r="E469" s="3">
        <v>17017700</v>
      </c>
      <c r="F469" s="3">
        <v>15082300</v>
      </c>
      <c r="G469" t="s">
        <v>11</v>
      </c>
      <c r="H469" s="5" t="s">
        <v>30</v>
      </c>
      <c r="I469" t="s">
        <v>13</v>
      </c>
      <c r="J469" t="s">
        <v>13</v>
      </c>
    </row>
    <row r="470" spans="1:11" x14ac:dyDescent="0.35">
      <c r="A470" t="s">
        <v>31</v>
      </c>
      <c r="B470" t="s">
        <v>13</v>
      </c>
      <c r="C470" t="s">
        <v>7</v>
      </c>
      <c r="D470" t="s">
        <v>8</v>
      </c>
      <c r="E470" s="3">
        <v>284252500</v>
      </c>
      <c r="F470" s="3">
        <v>204535800</v>
      </c>
      <c r="G470" t="s">
        <v>11</v>
      </c>
      <c r="H470" s="5">
        <v>7226242600</v>
      </c>
      <c r="I470" t="s">
        <v>13</v>
      </c>
      <c r="J470" t="s">
        <v>13</v>
      </c>
      <c r="K470">
        <v>2.83</v>
      </c>
    </row>
    <row r="472" spans="1:11" x14ac:dyDescent="0.35">
      <c r="A472" t="s">
        <v>131</v>
      </c>
      <c r="B472" t="str">
        <f>"37121"</f>
        <v>37121</v>
      </c>
      <c r="C472" t="str">
        <f>"001"</f>
        <v>001</v>
      </c>
      <c r="D472">
        <v>2002</v>
      </c>
      <c r="E472" s="3">
        <v>1847700</v>
      </c>
      <c r="F472" s="3">
        <v>1058400</v>
      </c>
      <c r="G472" t="s">
        <v>11</v>
      </c>
      <c r="H472" s="5" t="s">
        <v>30</v>
      </c>
      <c r="I472" t="s">
        <v>13</v>
      </c>
      <c r="J472" t="s">
        <v>13</v>
      </c>
    </row>
    <row r="473" spans="1:11" x14ac:dyDescent="0.35">
      <c r="A473" t="s">
        <v>5</v>
      </c>
      <c r="B473" t="str">
        <f>"37121"</f>
        <v>37121</v>
      </c>
      <c r="C473" t="str">
        <f>"003"</f>
        <v>003</v>
      </c>
      <c r="D473">
        <v>2005</v>
      </c>
      <c r="E473" s="3">
        <v>6278300</v>
      </c>
      <c r="F473" s="3">
        <v>6222600</v>
      </c>
      <c r="G473" t="s">
        <v>11</v>
      </c>
      <c r="H473" s="5" t="s">
        <v>30</v>
      </c>
      <c r="I473" t="s">
        <v>13</v>
      </c>
      <c r="J473" t="s">
        <v>13</v>
      </c>
    </row>
    <row r="474" spans="1:11" x14ac:dyDescent="0.35">
      <c r="A474" t="s">
        <v>5</v>
      </c>
      <c r="B474" t="str">
        <f>"37121"</f>
        <v>37121</v>
      </c>
      <c r="C474" t="str">
        <f>"004"</f>
        <v>004</v>
      </c>
      <c r="D474">
        <v>2016</v>
      </c>
      <c r="E474" s="3">
        <v>4667100</v>
      </c>
      <c r="F474" s="3">
        <v>3011900</v>
      </c>
      <c r="G474" t="s">
        <v>11</v>
      </c>
      <c r="H474" s="5" t="s">
        <v>30</v>
      </c>
      <c r="I474" t="s">
        <v>13</v>
      </c>
      <c r="J474" t="s">
        <v>13</v>
      </c>
    </row>
    <row r="475" spans="1:11" x14ac:dyDescent="0.35">
      <c r="A475" t="s">
        <v>31</v>
      </c>
      <c r="B475" t="s">
        <v>13</v>
      </c>
      <c r="C475" t="s">
        <v>7</v>
      </c>
      <c r="D475" t="s">
        <v>8</v>
      </c>
      <c r="E475" s="3">
        <v>12793100</v>
      </c>
      <c r="F475" s="3">
        <v>10292900</v>
      </c>
      <c r="G475" t="s">
        <v>11</v>
      </c>
      <c r="H475" s="5">
        <v>91106300</v>
      </c>
      <c r="I475" t="s">
        <v>13</v>
      </c>
      <c r="J475" t="s">
        <v>13</v>
      </c>
      <c r="K475">
        <v>11.3</v>
      </c>
    </row>
    <row r="477" spans="1:11" x14ac:dyDescent="0.35">
      <c r="A477" t="s">
        <v>132</v>
      </c>
      <c r="B477" t="str">
        <f>"53221"</f>
        <v>53221</v>
      </c>
      <c r="C477" t="str">
        <f>"006"</f>
        <v>006</v>
      </c>
      <c r="D477">
        <v>2000</v>
      </c>
      <c r="E477" s="3">
        <v>34603600</v>
      </c>
      <c r="F477" s="3">
        <v>23585800</v>
      </c>
      <c r="G477" t="s">
        <v>11</v>
      </c>
      <c r="H477" s="5" t="s">
        <v>30</v>
      </c>
      <c r="I477" t="s">
        <v>13</v>
      </c>
      <c r="J477" t="s">
        <v>13</v>
      </c>
    </row>
    <row r="478" spans="1:11" x14ac:dyDescent="0.35">
      <c r="A478" t="s">
        <v>5</v>
      </c>
      <c r="B478" t="str">
        <f>"53221"</f>
        <v>53221</v>
      </c>
      <c r="C478" t="str">
        <f>"007"</f>
        <v>007</v>
      </c>
      <c r="D478">
        <v>2000</v>
      </c>
      <c r="E478" s="3">
        <v>2225800</v>
      </c>
      <c r="F478" s="3">
        <v>1575700</v>
      </c>
      <c r="G478" t="s">
        <v>11</v>
      </c>
      <c r="H478" s="5" t="s">
        <v>30</v>
      </c>
      <c r="I478" t="s">
        <v>13</v>
      </c>
      <c r="J478" t="s">
        <v>13</v>
      </c>
    </row>
    <row r="479" spans="1:11" x14ac:dyDescent="0.35">
      <c r="A479" t="s">
        <v>5</v>
      </c>
      <c r="B479" t="str">
        <f>"53221"</f>
        <v>53221</v>
      </c>
      <c r="C479" t="str">
        <f>"008"</f>
        <v>008</v>
      </c>
      <c r="D479">
        <v>2005</v>
      </c>
      <c r="E479" s="3">
        <v>14541400</v>
      </c>
      <c r="F479" s="3">
        <v>7203500</v>
      </c>
      <c r="G479" t="s">
        <v>11</v>
      </c>
      <c r="H479" s="5" t="s">
        <v>30</v>
      </c>
      <c r="I479" t="s">
        <v>13</v>
      </c>
      <c r="J479" t="s">
        <v>13</v>
      </c>
    </row>
    <row r="480" spans="1:11" x14ac:dyDescent="0.35">
      <c r="A480" t="s">
        <v>5</v>
      </c>
      <c r="B480" t="str">
        <f>"53221"</f>
        <v>53221</v>
      </c>
      <c r="C480" t="str">
        <f>"009"</f>
        <v>009</v>
      </c>
      <c r="D480">
        <v>2021</v>
      </c>
      <c r="E480" s="3">
        <v>11127400</v>
      </c>
      <c r="F480" s="3">
        <v>383400</v>
      </c>
      <c r="G480" t="s">
        <v>11</v>
      </c>
      <c r="H480" s="5" t="s">
        <v>30</v>
      </c>
      <c r="I480" t="s">
        <v>13</v>
      </c>
      <c r="J480" t="s">
        <v>13</v>
      </c>
    </row>
    <row r="481" spans="1:11" x14ac:dyDescent="0.35">
      <c r="A481" t="s">
        <v>31</v>
      </c>
      <c r="B481" t="s">
        <v>13</v>
      </c>
      <c r="C481" t="s">
        <v>7</v>
      </c>
      <c r="D481" t="s">
        <v>8</v>
      </c>
      <c r="E481" s="3">
        <v>62498200</v>
      </c>
      <c r="F481" s="3">
        <v>32748400</v>
      </c>
      <c r="G481" t="s">
        <v>11</v>
      </c>
      <c r="H481" s="5">
        <v>540675500</v>
      </c>
      <c r="I481" t="s">
        <v>13</v>
      </c>
      <c r="J481" t="s">
        <v>13</v>
      </c>
      <c r="K481">
        <v>6.06</v>
      </c>
    </row>
    <row r="483" spans="1:11" x14ac:dyDescent="0.35">
      <c r="A483" t="s">
        <v>133</v>
      </c>
      <c r="B483" t="str">
        <f>"17121"</f>
        <v>17121</v>
      </c>
      <c r="C483" t="str">
        <f>"001"</f>
        <v>001</v>
      </c>
      <c r="D483">
        <v>2007</v>
      </c>
      <c r="E483" s="3">
        <v>4470400</v>
      </c>
      <c r="F483" s="3">
        <v>1970700</v>
      </c>
      <c r="G483" t="s">
        <v>11</v>
      </c>
      <c r="H483" s="5" t="s">
        <v>30</v>
      </c>
      <c r="I483" t="s">
        <v>13</v>
      </c>
      <c r="J483" t="s">
        <v>13</v>
      </c>
    </row>
    <row r="484" spans="1:11" x14ac:dyDescent="0.35">
      <c r="A484" t="s">
        <v>5</v>
      </c>
      <c r="B484" t="str">
        <f>"17121"</f>
        <v>17121</v>
      </c>
      <c r="C484" t="str">
        <f>"002"</f>
        <v>002</v>
      </c>
      <c r="D484">
        <v>2021</v>
      </c>
      <c r="E484" s="3">
        <v>6894600</v>
      </c>
      <c r="F484" s="3">
        <v>2382400</v>
      </c>
      <c r="G484" t="s">
        <v>11</v>
      </c>
      <c r="H484" s="5" t="s">
        <v>30</v>
      </c>
      <c r="I484" t="s">
        <v>13</v>
      </c>
      <c r="J484" t="s">
        <v>13</v>
      </c>
    </row>
    <row r="485" spans="1:11" x14ac:dyDescent="0.35">
      <c r="A485" t="s">
        <v>31</v>
      </c>
      <c r="B485" t="s">
        <v>13</v>
      </c>
      <c r="C485" t="s">
        <v>7</v>
      </c>
      <c r="D485" t="s">
        <v>8</v>
      </c>
      <c r="E485" s="3">
        <v>11365000</v>
      </c>
      <c r="F485" s="3">
        <v>4353100</v>
      </c>
      <c r="G485" t="s">
        <v>11</v>
      </c>
      <c r="H485" s="5">
        <v>52373500</v>
      </c>
      <c r="I485" t="s">
        <v>13</v>
      </c>
      <c r="J485" t="s">
        <v>13</v>
      </c>
      <c r="K485">
        <v>8.31</v>
      </c>
    </row>
    <row r="487" spans="1:11" x14ac:dyDescent="0.35">
      <c r="A487" t="s">
        <v>134</v>
      </c>
      <c r="B487" t="str">
        <f>"59121"</f>
        <v>59121</v>
      </c>
      <c r="C487" t="str">
        <f>"002"</f>
        <v>002</v>
      </c>
      <c r="D487">
        <v>2013</v>
      </c>
      <c r="E487" s="3">
        <v>38989600</v>
      </c>
      <c r="F487" s="3">
        <v>27353900</v>
      </c>
      <c r="G487" t="s">
        <v>11</v>
      </c>
      <c r="H487" s="5" t="s">
        <v>30</v>
      </c>
      <c r="I487" t="s">
        <v>13</v>
      </c>
      <c r="J487" t="s">
        <v>13</v>
      </c>
    </row>
    <row r="488" spans="1:11" x14ac:dyDescent="0.35">
      <c r="A488" t="s">
        <v>5</v>
      </c>
      <c r="B488" t="str">
        <f>"59121"</f>
        <v>59121</v>
      </c>
      <c r="C488" t="str">
        <f>"003"</f>
        <v>003</v>
      </c>
      <c r="D488">
        <v>2013</v>
      </c>
      <c r="E488" s="3">
        <v>8518200</v>
      </c>
      <c r="F488" s="3">
        <v>6668100</v>
      </c>
      <c r="G488" t="s">
        <v>11</v>
      </c>
      <c r="H488" s="5" t="s">
        <v>30</v>
      </c>
      <c r="I488" t="s">
        <v>13</v>
      </c>
      <c r="J488" t="s">
        <v>13</v>
      </c>
    </row>
    <row r="489" spans="1:11" x14ac:dyDescent="0.35">
      <c r="A489" t="s">
        <v>5</v>
      </c>
      <c r="B489" t="str">
        <f>"59121"</f>
        <v>59121</v>
      </c>
      <c r="C489" t="str">
        <f>"004"</f>
        <v>004</v>
      </c>
      <c r="D489">
        <v>2015</v>
      </c>
      <c r="E489" s="3">
        <v>13222200</v>
      </c>
      <c r="F489" s="3">
        <v>12510800</v>
      </c>
      <c r="G489" t="s">
        <v>11</v>
      </c>
      <c r="H489" s="5" t="s">
        <v>30</v>
      </c>
      <c r="I489" t="s">
        <v>13</v>
      </c>
      <c r="J489" t="s">
        <v>13</v>
      </c>
    </row>
    <row r="490" spans="1:11" x14ac:dyDescent="0.35">
      <c r="A490" t="s">
        <v>31</v>
      </c>
      <c r="B490" t="s">
        <v>13</v>
      </c>
      <c r="C490" t="s">
        <v>7</v>
      </c>
      <c r="D490" t="s">
        <v>8</v>
      </c>
      <c r="E490" s="3">
        <v>60730000</v>
      </c>
      <c r="F490" s="3">
        <v>46532800</v>
      </c>
      <c r="G490" t="s">
        <v>11</v>
      </c>
      <c r="H490" s="5">
        <v>397703000</v>
      </c>
      <c r="I490" t="s">
        <v>13</v>
      </c>
      <c r="J490" t="s">
        <v>13</v>
      </c>
      <c r="K490">
        <v>11.7</v>
      </c>
    </row>
    <row r="492" spans="1:11" x14ac:dyDescent="0.35">
      <c r="A492" t="s">
        <v>135</v>
      </c>
      <c r="B492" t="str">
        <f>"64221"</f>
        <v>64221</v>
      </c>
      <c r="C492" t="str">
        <f>"004"</f>
        <v>004</v>
      </c>
      <c r="D492">
        <v>2017</v>
      </c>
      <c r="E492" s="3">
        <v>16719400</v>
      </c>
      <c r="F492" s="3">
        <v>13185700</v>
      </c>
      <c r="G492" t="s">
        <v>11</v>
      </c>
      <c r="H492" s="5" t="s">
        <v>30</v>
      </c>
      <c r="I492" t="s">
        <v>13</v>
      </c>
      <c r="J492" t="s">
        <v>13</v>
      </c>
    </row>
    <row r="493" spans="1:11" x14ac:dyDescent="0.35">
      <c r="A493" t="s">
        <v>31</v>
      </c>
      <c r="B493" t="s">
        <v>13</v>
      </c>
      <c r="C493" t="s">
        <v>7</v>
      </c>
      <c r="D493" t="s">
        <v>8</v>
      </c>
      <c r="E493" s="3">
        <v>16719400</v>
      </c>
      <c r="F493" s="3">
        <v>13185700</v>
      </c>
      <c r="G493" t="s">
        <v>11</v>
      </c>
      <c r="H493" s="5">
        <v>1054646000</v>
      </c>
      <c r="I493" t="s">
        <v>13</v>
      </c>
      <c r="J493" t="s">
        <v>13</v>
      </c>
      <c r="K493">
        <v>1.25</v>
      </c>
    </row>
    <row r="495" spans="1:11" x14ac:dyDescent="0.35">
      <c r="A495" t="s">
        <v>136</v>
      </c>
      <c r="B495" t="str">
        <f t="shared" ref="B495:B500" si="7">"47121"</f>
        <v>47121</v>
      </c>
      <c r="C495" t="str">
        <f>"004"</f>
        <v>004</v>
      </c>
      <c r="D495">
        <v>1996</v>
      </c>
      <c r="E495" s="3">
        <v>921100</v>
      </c>
      <c r="F495" s="3">
        <v>866500</v>
      </c>
      <c r="G495" t="s">
        <v>11</v>
      </c>
      <c r="H495" s="5" t="s">
        <v>30</v>
      </c>
      <c r="I495" t="s">
        <v>13</v>
      </c>
      <c r="J495" t="s">
        <v>13</v>
      </c>
    </row>
    <row r="496" spans="1:11" x14ac:dyDescent="0.35">
      <c r="A496" t="s">
        <v>5</v>
      </c>
      <c r="B496" t="str">
        <f t="shared" si="7"/>
        <v>47121</v>
      </c>
      <c r="C496" t="str">
        <f>"007"</f>
        <v>007</v>
      </c>
      <c r="D496">
        <v>2006</v>
      </c>
      <c r="E496" s="3">
        <v>9113400</v>
      </c>
      <c r="F496" s="3">
        <v>8890100</v>
      </c>
      <c r="G496" t="s">
        <v>11</v>
      </c>
      <c r="H496" s="5" t="s">
        <v>30</v>
      </c>
      <c r="I496" t="s">
        <v>13</v>
      </c>
      <c r="J496" t="s">
        <v>13</v>
      </c>
    </row>
    <row r="497" spans="1:11" x14ac:dyDescent="0.35">
      <c r="A497" t="s">
        <v>5</v>
      </c>
      <c r="B497" t="str">
        <f t="shared" si="7"/>
        <v>47121</v>
      </c>
      <c r="C497" t="str">
        <f>"008"</f>
        <v>008</v>
      </c>
      <c r="D497">
        <v>2010</v>
      </c>
      <c r="E497" s="3">
        <v>7888300</v>
      </c>
      <c r="F497" s="3">
        <v>4114600</v>
      </c>
      <c r="G497" t="s">
        <v>11</v>
      </c>
      <c r="H497" s="5" t="s">
        <v>30</v>
      </c>
      <c r="I497" t="s">
        <v>13</v>
      </c>
      <c r="J497" t="s">
        <v>13</v>
      </c>
    </row>
    <row r="498" spans="1:11" x14ac:dyDescent="0.35">
      <c r="A498" t="s">
        <v>5</v>
      </c>
      <c r="B498" t="str">
        <f t="shared" si="7"/>
        <v>47121</v>
      </c>
      <c r="C498" t="str">
        <f>"009"</f>
        <v>009</v>
      </c>
      <c r="D498">
        <v>2011</v>
      </c>
      <c r="E498" s="3">
        <v>3135600</v>
      </c>
      <c r="F498" s="3">
        <v>2625200</v>
      </c>
      <c r="G498" t="s">
        <v>11</v>
      </c>
      <c r="H498" s="5" t="s">
        <v>30</v>
      </c>
      <c r="I498" t="s">
        <v>13</v>
      </c>
      <c r="J498" t="s">
        <v>13</v>
      </c>
    </row>
    <row r="499" spans="1:11" x14ac:dyDescent="0.35">
      <c r="A499" t="s">
        <v>5</v>
      </c>
      <c r="B499" t="str">
        <f t="shared" si="7"/>
        <v>47121</v>
      </c>
      <c r="C499" t="str">
        <f>"010"</f>
        <v>010</v>
      </c>
      <c r="D499">
        <v>2012</v>
      </c>
      <c r="E499" s="3">
        <v>1460300</v>
      </c>
      <c r="F499" s="3">
        <v>633000</v>
      </c>
      <c r="G499" t="s">
        <v>11</v>
      </c>
      <c r="H499" s="5" t="s">
        <v>30</v>
      </c>
      <c r="I499" t="s">
        <v>13</v>
      </c>
      <c r="J499" t="s">
        <v>13</v>
      </c>
    </row>
    <row r="500" spans="1:11" x14ac:dyDescent="0.35">
      <c r="A500" t="s">
        <v>5</v>
      </c>
      <c r="B500" t="str">
        <f t="shared" si="7"/>
        <v>47121</v>
      </c>
      <c r="C500" t="str">
        <f>"011"</f>
        <v>011</v>
      </c>
      <c r="D500">
        <v>2013</v>
      </c>
      <c r="E500" s="3">
        <v>1184200</v>
      </c>
      <c r="F500" s="3">
        <v>-124000</v>
      </c>
      <c r="G500" t="s">
        <v>52</v>
      </c>
      <c r="H500" s="5" t="s">
        <v>30</v>
      </c>
      <c r="I500" t="s">
        <v>13</v>
      </c>
      <c r="J500" t="s">
        <v>13</v>
      </c>
    </row>
    <row r="501" spans="1:11" x14ac:dyDescent="0.35">
      <c r="A501" t="s">
        <v>31</v>
      </c>
      <c r="B501" t="s">
        <v>13</v>
      </c>
      <c r="C501" t="s">
        <v>7</v>
      </c>
      <c r="D501" t="s">
        <v>8</v>
      </c>
      <c r="E501" s="3">
        <v>23702900</v>
      </c>
      <c r="F501" s="3">
        <v>17129400</v>
      </c>
      <c r="G501" t="s">
        <v>11</v>
      </c>
      <c r="H501" s="5">
        <v>288024800</v>
      </c>
      <c r="I501" t="s">
        <v>13</v>
      </c>
      <c r="J501" t="s">
        <v>13</v>
      </c>
      <c r="K501">
        <v>5.95</v>
      </c>
    </row>
    <row r="503" spans="1:11" x14ac:dyDescent="0.35">
      <c r="A503" t="s">
        <v>137</v>
      </c>
      <c r="B503" t="str">
        <f>"67122"</f>
        <v>67122</v>
      </c>
      <c r="C503" t="str">
        <f>"002"</f>
        <v>002</v>
      </c>
      <c r="D503">
        <v>2004</v>
      </c>
      <c r="E503" s="3">
        <v>76040000</v>
      </c>
      <c r="F503" s="3">
        <v>42604200</v>
      </c>
      <c r="G503" t="s">
        <v>11</v>
      </c>
      <c r="H503" s="5" t="s">
        <v>30</v>
      </c>
      <c r="I503" t="s">
        <v>13</v>
      </c>
      <c r="J503" t="s">
        <v>13</v>
      </c>
    </row>
    <row r="504" spans="1:11" x14ac:dyDescent="0.35">
      <c r="A504" t="s">
        <v>31</v>
      </c>
      <c r="B504" t="s">
        <v>13</v>
      </c>
      <c r="C504" t="s">
        <v>7</v>
      </c>
      <c r="D504" t="s">
        <v>8</v>
      </c>
      <c r="E504" s="3">
        <v>76040000</v>
      </c>
      <c r="F504" s="3">
        <v>42604200</v>
      </c>
      <c r="G504" t="s">
        <v>11</v>
      </c>
      <c r="H504" s="5">
        <v>1481021900</v>
      </c>
      <c r="I504" t="s">
        <v>13</v>
      </c>
      <c r="J504" t="s">
        <v>13</v>
      </c>
      <c r="K504">
        <v>2.88</v>
      </c>
    </row>
    <row r="506" spans="1:11" x14ac:dyDescent="0.35">
      <c r="A506" t="s">
        <v>138</v>
      </c>
      <c r="B506" t="str">
        <f>"47122"</f>
        <v>47122</v>
      </c>
      <c r="C506" t="str">
        <f>"003"</f>
        <v>003</v>
      </c>
      <c r="D506">
        <v>2002</v>
      </c>
      <c r="E506" s="3">
        <v>4730600</v>
      </c>
      <c r="F506" s="3">
        <v>3978300</v>
      </c>
      <c r="G506" t="s">
        <v>11</v>
      </c>
      <c r="H506" s="5" t="s">
        <v>30</v>
      </c>
      <c r="I506" t="s">
        <v>13</v>
      </c>
      <c r="J506" t="s">
        <v>13</v>
      </c>
    </row>
    <row r="507" spans="1:11" x14ac:dyDescent="0.35">
      <c r="A507" t="s">
        <v>5</v>
      </c>
      <c r="B507" t="str">
        <f>"47122"</f>
        <v>47122</v>
      </c>
      <c r="C507" t="str">
        <f>"004"</f>
        <v>004</v>
      </c>
      <c r="D507">
        <v>2009</v>
      </c>
      <c r="E507" s="3">
        <v>6043700</v>
      </c>
      <c r="F507" s="3">
        <v>2496300</v>
      </c>
      <c r="G507" t="s">
        <v>11</v>
      </c>
      <c r="H507" s="5" t="s">
        <v>30</v>
      </c>
      <c r="I507" t="s">
        <v>13</v>
      </c>
      <c r="J507" t="s">
        <v>13</v>
      </c>
    </row>
    <row r="508" spans="1:11" x14ac:dyDescent="0.35">
      <c r="A508" t="s">
        <v>5</v>
      </c>
      <c r="B508" t="str">
        <f>"47122"</f>
        <v>47122</v>
      </c>
      <c r="C508" t="str">
        <f>"005"</f>
        <v>005</v>
      </c>
      <c r="D508">
        <v>2007</v>
      </c>
      <c r="E508" s="3">
        <v>3035800</v>
      </c>
      <c r="F508" s="3">
        <v>2662500</v>
      </c>
      <c r="G508" t="s">
        <v>11</v>
      </c>
      <c r="H508" s="5" t="s">
        <v>30</v>
      </c>
      <c r="I508" t="s">
        <v>13</v>
      </c>
      <c r="J508" t="s">
        <v>13</v>
      </c>
    </row>
    <row r="509" spans="1:11" x14ac:dyDescent="0.35">
      <c r="A509" t="s">
        <v>31</v>
      </c>
      <c r="B509" t="s">
        <v>13</v>
      </c>
      <c r="C509" t="s">
        <v>7</v>
      </c>
      <c r="D509" t="s">
        <v>8</v>
      </c>
      <c r="E509" s="3">
        <v>13810100</v>
      </c>
      <c r="F509" s="3">
        <v>9137100</v>
      </c>
      <c r="G509" t="s">
        <v>11</v>
      </c>
      <c r="H509" s="5">
        <v>59412600</v>
      </c>
      <c r="I509" t="s">
        <v>13</v>
      </c>
      <c r="J509" t="s">
        <v>13</v>
      </c>
      <c r="K509">
        <v>15.38</v>
      </c>
    </row>
    <row r="511" spans="1:11" x14ac:dyDescent="0.35">
      <c r="A511" t="s">
        <v>139</v>
      </c>
      <c r="B511" t="str">
        <f>"29221"</f>
        <v>29221</v>
      </c>
      <c r="C511" t="str">
        <f>"002"</f>
        <v>002</v>
      </c>
      <c r="D511">
        <v>1999</v>
      </c>
      <c r="E511" s="3">
        <v>612000</v>
      </c>
      <c r="F511" s="3">
        <v>338800</v>
      </c>
      <c r="G511" t="s">
        <v>11</v>
      </c>
      <c r="H511" s="5" t="s">
        <v>30</v>
      </c>
      <c r="I511" t="s">
        <v>13</v>
      </c>
      <c r="J511" t="s">
        <v>13</v>
      </c>
    </row>
    <row r="512" spans="1:11" x14ac:dyDescent="0.35">
      <c r="A512" t="s">
        <v>5</v>
      </c>
      <c r="B512" t="str">
        <f>"29221"</f>
        <v>29221</v>
      </c>
      <c r="C512" t="str">
        <f>"003"</f>
        <v>003</v>
      </c>
      <c r="D512">
        <v>1999</v>
      </c>
      <c r="E512" s="3">
        <v>3331500</v>
      </c>
      <c r="F512" s="3">
        <v>895000</v>
      </c>
      <c r="G512" t="s">
        <v>11</v>
      </c>
      <c r="H512" s="5" t="s">
        <v>30</v>
      </c>
      <c r="I512" t="s">
        <v>13</v>
      </c>
      <c r="J512" t="s">
        <v>13</v>
      </c>
    </row>
    <row r="513" spans="1:11" x14ac:dyDescent="0.35">
      <c r="A513" t="s">
        <v>5</v>
      </c>
      <c r="B513" t="str">
        <f>"29221"</f>
        <v>29221</v>
      </c>
      <c r="C513" t="str">
        <f>"004"</f>
        <v>004</v>
      </c>
      <c r="D513">
        <v>1999</v>
      </c>
      <c r="E513" s="3">
        <v>4290600</v>
      </c>
      <c r="F513" s="3">
        <v>2979300</v>
      </c>
      <c r="G513" t="s">
        <v>11</v>
      </c>
      <c r="H513" s="5" t="s">
        <v>30</v>
      </c>
      <c r="I513" t="s">
        <v>13</v>
      </c>
      <c r="J513" t="s">
        <v>13</v>
      </c>
    </row>
    <row r="514" spans="1:11" x14ac:dyDescent="0.35">
      <c r="A514" t="s">
        <v>5</v>
      </c>
      <c r="B514" t="str">
        <f>"29221"</f>
        <v>29221</v>
      </c>
      <c r="C514" t="str">
        <f>"005"</f>
        <v>005</v>
      </c>
      <c r="D514">
        <v>1999</v>
      </c>
      <c r="E514" s="3">
        <v>2389000</v>
      </c>
      <c r="F514" s="3">
        <v>2352500</v>
      </c>
      <c r="G514" t="s">
        <v>11</v>
      </c>
      <c r="H514" s="5" t="s">
        <v>30</v>
      </c>
      <c r="I514" t="s">
        <v>13</v>
      </c>
      <c r="J514" t="s">
        <v>13</v>
      </c>
    </row>
    <row r="515" spans="1:11" x14ac:dyDescent="0.35">
      <c r="A515" t="s">
        <v>5</v>
      </c>
      <c r="B515" t="str">
        <f>"29221"</f>
        <v>29221</v>
      </c>
      <c r="C515" t="str">
        <f>"006"</f>
        <v>006</v>
      </c>
      <c r="D515">
        <v>2014</v>
      </c>
      <c r="E515" s="3">
        <v>2352300</v>
      </c>
      <c r="F515" s="3">
        <v>1533800</v>
      </c>
      <c r="G515" t="s">
        <v>11</v>
      </c>
      <c r="H515" s="5" t="s">
        <v>30</v>
      </c>
      <c r="I515" t="s">
        <v>13</v>
      </c>
      <c r="J515" t="s">
        <v>13</v>
      </c>
    </row>
    <row r="516" spans="1:11" x14ac:dyDescent="0.35">
      <c r="A516" t="s">
        <v>31</v>
      </c>
      <c r="B516" t="s">
        <v>13</v>
      </c>
      <c r="C516" t="s">
        <v>7</v>
      </c>
      <c r="D516" t="s">
        <v>8</v>
      </c>
      <c r="E516" s="3">
        <v>12975400</v>
      </c>
      <c r="F516" s="3">
        <v>8099400</v>
      </c>
      <c r="G516" t="s">
        <v>11</v>
      </c>
      <c r="H516" s="5">
        <v>73772500</v>
      </c>
      <c r="I516" t="s">
        <v>13</v>
      </c>
      <c r="J516" t="s">
        <v>13</v>
      </c>
      <c r="K516">
        <v>10.98</v>
      </c>
    </row>
    <row r="518" spans="1:11" x14ac:dyDescent="0.35">
      <c r="A518" t="s">
        <v>140</v>
      </c>
      <c r="B518" t="str">
        <f>"39121"</f>
        <v>39121</v>
      </c>
      <c r="C518" t="str">
        <f>"001"</f>
        <v>001</v>
      </c>
      <c r="D518">
        <v>1993</v>
      </c>
      <c r="E518" s="3">
        <v>8729800</v>
      </c>
      <c r="F518" s="3">
        <v>7569900</v>
      </c>
      <c r="G518" t="s">
        <v>11</v>
      </c>
      <c r="H518" s="5" t="s">
        <v>30</v>
      </c>
      <c r="I518" t="s">
        <v>13</v>
      </c>
      <c r="J518" t="s">
        <v>13</v>
      </c>
    </row>
    <row r="519" spans="1:11" x14ac:dyDescent="0.35">
      <c r="A519" t="s">
        <v>31</v>
      </c>
      <c r="B519" t="s">
        <v>13</v>
      </c>
      <c r="C519" t="s">
        <v>7</v>
      </c>
      <c r="D519" t="s">
        <v>8</v>
      </c>
      <c r="E519" s="3">
        <v>8729800</v>
      </c>
      <c r="F519" s="3">
        <v>7569900</v>
      </c>
      <c r="G519" t="s">
        <v>11</v>
      </c>
      <c r="H519" s="5">
        <v>27314300</v>
      </c>
      <c r="I519" t="s">
        <v>13</v>
      </c>
      <c r="J519" t="s">
        <v>13</v>
      </c>
      <c r="K519">
        <v>27.71</v>
      </c>
    </row>
    <row r="521" spans="1:11" x14ac:dyDescent="0.35">
      <c r="A521" t="s">
        <v>141</v>
      </c>
      <c r="B521" t="str">
        <f>"53222"</f>
        <v>53222</v>
      </c>
      <c r="C521" t="str">
        <f>"005"</f>
        <v>005</v>
      </c>
      <c r="D521">
        <v>2004</v>
      </c>
      <c r="E521" s="3">
        <v>22416500</v>
      </c>
      <c r="F521" s="3">
        <v>11117400</v>
      </c>
      <c r="G521" t="s">
        <v>11</v>
      </c>
      <c r="H521" s="5" t="s">
        <v>30</v>
      </c>
      <c r="I521" t="s">
        <v>13</v>
      </c>
      <c r="J521" t="s">
        <v>13</v>
      </c>
    </row>
    <row r="522" spans="1:11" x14ac:dyDescent="0.35">
      <c r="A522" t="s">
        <v>5</v>
      </c>
      <c r="B522" t="str">
        <f>"53222"</f>
        <v>53222</v>
      </c>
      <c r="C522" t="str">
        <f>"006"</f>
        <v>006</v>
      </c>
      <c r="D522">
        <v>2006</v>
      </c>
      <c r="E522" s="3">
        <v>6913200</v>
      </c>
      <c r="F522" s="3">
        <v>4985400</v>
      </c>
      <c r="G522" t="s">
        <v>11</v>
      </c>
      <c r="H522" s="5" t="s">
        <v>30</v>
      </c>
      <c r="I522" t="s">
        <v>13</v>
      </c>
      <c r="J522" t="s">
        <v>13</v>
      </c>
    </row>
    <row r="523" spans="1:11" x14ac:dyDescent="0.35">
      <c r="A523" t="s">
        <v>5</v>
      </c>
      <c r="B523" t="str">
        <f>"53222"</f>
        <v>53222</v>
      </c>
      <c r="C523" t="str">
        <f>"007"</f>
        <v>007</v>
      </c>
      <c r="D523">
        <v>2007</v>
      </c>
      <c r="E523" s="3">
        <v>14969900</v>
      </c>
      <c r="F523" s="3">
        <v>8868200</v>
      </c>
      <c r="G523" t="s">
        <v>11</v>
      </c>
      <c r="H523" s="5" t="s">
        <v>30</v>
      </c>
      <c r="I523" t="s">
        <v>13</v>
      </c>
      <c r="J523" t="s">
        <v>13</v>
      </c>
    </row>
    <row r="524" spans="1:11" x14ac:dyDescent="0.35">
      <c r="A524" t="s">
        <v>5</v>
      </c>
      <c r="B524" t="str">
        <f>"53222"</f>
        <v>53222</v>
      </c>
      <c r="C524" t="str">
        <f>"008"</f>
        <v>008</v>
      </c>
      <c r="D524">
        <v>2008</v>
      </c>
      <c r="E524" s="3">
        <v>5097100</v>
      </c>
      <c r="F524" s="3">
        <v>2401800</v>
      </c>
      <c r="G524" t="s">
        <v>11</v>
      </c>
      <c r="H524" s="5" t="s">
        <v>30</v>
      </c>
      <c r="I524" t="s">
        <v>13</v>
      </c>
      <c r="J524" t="s">
        <v>13</v>
      </c>
    </row>
    <row r="525" spans="1:11" x14ac:dyDescent="0.35">
      <c r="A525" t="s">
        <v>5</v>
      </c>
      <c r="B525" t="str">
        <f>"53222"</f>
        <v>53222</v>
      </c>
      <c r="C525" t="str">
        <f>"009"</f>
        <v>009</v>
      </c>
      <c r="D525">
        <v>2018</v>
      </c>
      <c r="E525" s="3">
        <v>2190500</v>
      </c>
      <c r="F525" s="3">
        <v>2190000</v>
      </c>
      <c r="G525" t="s">
        <v>11</v>
      </c>
      <c r="H525" s="5" t="s">
        <v>30</v>
      </c>
      <c r="I525" t="s">
        <v>13</v>
      </c>
      <c r="J525" t="s">
        <v>13</v>
      </c>
    </row>
    <row r="526" spans="1:11" x14ac:dyDescent="0.35">
      <c r="A526" t="s">
        <v>31</v>
      </c>
      <c r="B526" t="s">
        <v>13</v>
      </c>
      <c r="C526" t="s">
        <v>7</v>
      </c>
      <c r="D526" t="s">
        <v>8</v>
      </c>
      <c r="E526" s="3">
        <v>51587200</v>
      </c>
      <c r="F526" s="3">
        <v>29562800</v>
      </c>
      <c r="G526" t="s">
        <v>11</v>
      </c>
      <c r="H526" s="5">
        <v>608900700</v>
      </c>
      <c r="I526" t="s">
        <v>13</v>
      </c>
      <c r="J526" t="s">
        <v>13</v>
      </c>
      <c r="K526">
        <v>4.8600000000000003</v>
      </c>
    </row>
    <row r="528" spans="1:11" x14ac:dyDescent="0.35">
      <c r="A528" t="s">
        <v>142</v>
      </c>
      <c r="B528" t="str">
        <f>"20126"</f>
        <v>20126</v>
      </c>
      <c r="C528" t="str">
        <f>"001"</f>
        <v>001</v>
      </c>
      <c r="D528">
        <v>1997</v>
      </c>
      <c r="E528" s="3">
        <v>5759000</v>
      </c>
      <c r="F528" s="3">
        <v>5007600</v>
      </c>
      <c r="G528" t="s">
        <v>11</v>
      </c>
      <c r="H528" s="5" t="s">
        <v>30</v>
      </c>
      <c r="I528" t="s">
        <v>13</v>
      </c>
      <c r="J528" t="s">
        <v>13</v>
      </c>
    </row>
    <row r="529" spans="1:11" x14ac:dyDescent="0.35">
      <c r="A529" t="s">
        <v>31</v>
      </c>
      <c r="B529" t="s">
        <v>13</v>
      </c>
      <c r="C529" t="s">
        <v>7</v>
      </c>
      <c r="D529" t="s">
        <v>8</v>
      </c>
      <c r="E529" s="3">
        <v>5759000</v>
      </c>
      <c r="F529" s="3">
        <v>5007600</v>
      </c>
      <c r="G529" t="s">
        <v>11</v>
      </c>
      <c r="H529" s="5">
        <v>25609900</v>
      </c>
      <c r="I529" t="s">
        <v>13</v>
      </c>
      <c r="J529" t="s">
        <v>13</v>
      </c>
      <c r="K529">
        <v>19.55</v>
      </c>
    </row>
    <row r="531" spans="1:11" x14ac:dyDescent="0.35">
      <c r="A531" t="s">
        <v>143</v>
      </c>
      <c r="B531" t="str">
        <f>"18127"</f>
        <v>18127</v>
      </c>
      <c r="C531" t="str">
        <f>"001"</f>
        <v>001</v>
      </c>
      <c r="D531">
        <v>2000</v>
      </c>
      <c r="E531" s="3">
        <v>1502900</v>
      </c>
      <c r="F531" s="3">
        <v>1430100</v>
      </c>
      <c r="G531" t="s">
        <v>11</v>
      </c>
      <c r="H531" s="5" t="s">
        <v>30</v>
      </c>
      <c r="I531" t="s">
        <v>13</v>
      </c>
      <c r="J531" t="s">
        <v>13</v>
      </c>
    </row>
    <row r="532" spans="1:11" x14ac:dyDescent="0.35">
      <c r="A532" t="s">
        <v>5</v>
      </c>
      <c r="B532" t="str">
        <f>"18127"</f>
        <v>18127</v>
      </c>
      <c r="C532" t="str">
        <f>"002"</f>
        <v>002</v>
      </c>
      <c r="D532">
        <v>2013</v>
      </c>
      <c r="E532" s="3">
        <v>8351100</v>
      </c>
      <c r="F532" s="3">
        <v>6737800</v>
      </c>
      <c r="G532" t="s">
        <v>11</v>
      </c>
      <c r="H532" s="5" t="s">
        <v>30</v>
      </c>
      <c r="I532" t="s">
        <v>13</v>
      </c>
      <c r="J532" t="s">
        <v>13</v>
      </c>
    </row>
    <row r="533" spans="1:11" x14ac:dyDescent="0.35">
      <c r="A533" t="s">
        <v>31</v>
      </c>
      <c r="B533" t="s">
        <v>13</v>
      </c>
      <c r="C533" t="s">
        <v>7</v>
      </c>
      <c r="D533" t="s">
        <v>8</v>
      </c>
      <c r="E533" s="3">
        <v>9854000</v>
      </c>
      <c r="F533" s="3">
        <v>8167900</v>
      </c>
      <c r="G533" t="s">
        <v>11</v>
      </c>
      <c r="H533" s="5">
        <v>109427500</v>
      </c>
      <c r="I533" t="s">
        <v>13</v>
      </c>
      <c r="J533" t="s">
        <v>13</v>
      </c>
      <c r="K533">
        <v>7.46</v>
      </c>
    </row>
    <row r="535" spans="1:11" x14ac:dyDescent="0.35">
      <c r="A535" t="s">
        <v>144</v>
      </c>
      <c r="B535" t="str">
        <f>"11126"</f>
        <v>11126</v>
      </c>
      <c r="C535" t="str">
        <f>"005"</f>
        <v>005</v>
      </c>
      <c r="D535">
        <v>2020</v>
      </c>
      <c r="E535" s="3">
        <v>20123300</v>
      </c>
      <c r="F535" s="3">
        <v>1212600</v>
      </c>
      <c r="G535" t="s">
        <v>11</v>
      </c>
      <c r="H535" s="5" t="s">
        <v>30</v>
      </c>
      <c r="I535" t="s">
        <v>13</v>
      </c>
      <c r="J535" t="s">
        <v>13</v>
      </c>
    </row>
    <row r="536" spans="1:11" x14ac:dyDescent="0.35">
      <c r="A536" t="s">
        <v>31</v>
      </c>
      <c r="B536" t="s">
        <v>13</v>
      </c>
      <c r="C536" t="s">
        <v>7</v>
      </c>
      <c r="D536" t="s">
        <v>8</v>
      </c>
      <c r="E536" s="3">
        <v>20123300</v>
      </c>
      <c r="F536" s="3">
        <v>1212600</v>
      </c>
      <c r="G536" t="s">
        <v>11</v>
      </c>
      <c r="H536" s="5">
        <v>199016700</v>
      </c>
      <c r="I536" t="s">
        <v>13</v>
      </c>
      <c r="J536" t="s">
        <v>13</v>
      </c>
      <c r="K536">
        <v>0.61</v>
      </c>
    </row>
    <row r="538" spans="1:11" x14ac:dyDescent="0.35">
      <c r="A538" t="s">
        <v>145</v>
      </c>
      <c r="B538" t="str">
        <f>"22226"</f>
        <v>22226</v>
      </c>
      <c r="C538" t="str">
        <f>"004"</f>
        <v>004</v>
      </c>
      <c r="D538">
        <v>2002</v>
      </c>
      <c r="E538" s="3">
        <v>1265300</v>
      </c>
      <c r="F538" s="3">
        <v>1233100</v>
      </c>
      <c r="G538" t="s">
        <v>11</v>
      </c>
      <c r="H538" s="5" t="s">
        <v>30</v>
      </c>
      <c r="I538" t="s">
        <v>13</v>
      </c>
      <c r="J538" t="s">
        <v>13</v>
      </c>
    </row>
    <row r="539" spans="1:11" x14ac:dyDescent="0.35">
      <c r="A539" t="s">
        <v>5</v>
      </c>
      <c r="B539" t="str">
        <f>"22226"</f>
        <v>22226</v>
      </c>
      <c r="C539" t="str">
        <f>"005"</f>
        <v>005</v>
      </c>
      <c r="D539">
        <v>2005</v>
      </c>
      <c r="E539" s="3">
        <v>10975000</v>
      </c>
      <c r="F539" s="3">
        <v>4016100</v>
      </c>
      <c r="G539" t="s">
        <v>11</v>
      </c>
      <c r="H539" s="5" t="s">
        <v>30</v>
      </c>
      <c r="I539" t="s">
        <v>13</v>
      </c>
      <c r="J539" t="s">
        <v>13</v>
      </c>
    </row>
    <row r="540" spans="1:11" x14ac:dyDescent="0.35">
      <c r="A540" t="s">
        <v>5</v>
      </c>
      <c r="B540" t="str">
        <f>"22226"</f>
        <v>22226</v>
      </c>
      <c r="C540" t="str">
        <f>"006"</f>
        <v>006</v>
      </c>
      <c r="D540">
        <v>2017</v>
      </c>
      <c r="E540" s="3">
        <v>12013900</v>
      </c>
      <c r="F540" s="3">
        <v>5577300</v>
      </c>
      <c r="G540" t="s">
        <v>11</v>
      </c>
      <c r="H540" s="5" t="s">
        <v>30</v>
      </c>
      <c r="I540" t="s">
        <v>13</v>
      </c>
      <c r="J540" t="s">
        <v>13</v>
      </c>
    </row>
    <row r="541" spans="1:11" x14ac:dyDescent="0.35">
      <c r="A541" t="s">
        <v>31</v>
      </c>
      <c r="B541" t="s">
        <v>13</v>
      </c>
      <c r="C541" t="s">
        <v>7</v>
      </c>
      <c r="D541" t="s">
        <v>8</v>
      </c>
      <c r="E541" s="3">
        <v>24254200</v>
      </c>
      <c r="F541" s="3">
        <v>10826500</v>
      </c>
      <c r="G541" t="s">
        <v>11</v>
      </c>
      <c r="H541" s="5">
        <v>163558800</v>
      </c>
      <c r="I541" t="s">
        <v>13</v>
      </c>
      <c r="J541" t="s">
        <v>13</v>
      </c>
      <c r="K541">
        <v>6.62</v>
      </c>
    </row>
    <row r="543" spans="1:11" x14ac:dyDescent="0.35">
      <c r="A543" t="s">
        <v>146</v>
      </c>
      <c r="B543" t="str">
        <f>"12126"</f>
        <v>12126</v>
      </c>
      <c r="C543" t="str">
        <f>"001"</f>
        <v>001</v>
      </c>
      <c r="D543">
        <v>2003</v>
      </c>
      <c r="E543" s="3">
        <v>373100</v>
      </c>
      <c r="F543" s="3">
        <v>321000</v>
      </c>
      <c r="G543" t="s">
        <v>11</v>
      </c>
      <c r="H543" s="5" t="s">
        <v>30</v>
      </c>
      <c r="I543" t="s">
        <v>13</v>
      </c>
      <c r="J543" t="s">
        <v>13</v>
      </c>
    </row>
    <row r="544" spans="1:11" x14ac:dyDescent="0.35">
      <c r="A544" t="s">
        <v>31</v>
      </c>
      <c r="B544" t="s">
        <v>13</v>
      </c>
      <c r="C544" t="s">
        <v>7</v>
      </c>
      <c r="D544" t="s">
        <v>8</v>
      </c>
      <c r="E544" s="3">
        <v>373100</v>
      </c>
      <c r="F544" s="3">
        <v>321000</v>
      </c>
      <c r="G544" t="s">
        <v>11</v>
      </c>
      <c r="H544" s="5">
        <v>31365900</v>
      </c>
      <c r="I544" t="s">
        <v>13</v>
      </c>
      <c r="J544" t="s">
        <v>13</v>
      </c>
      <c r="K544">
        <v>1.02</v>
      </c>
    </row>
    <row r="546" spans="1:11" x14ac:dyDescent="0.35">
      <c r="A546" t="s">
        <v>147</v>
      </c>
      <c r="B546" t="str">
        <f t="shared" ref="B546:B551" si="8">"13225"</f>
        <v>13225</v>
      </c>
      <c r="C546" t="str">
        <f>"004"</f>
        <v>004</v>
      </c>
      <c r="D546">
        <v>2003</v>
      </c>
      <c r="E546" s="3">
        <v>291512400</v>
      </c>
      <c r="F546" s="3">
        <v>242368400</v>
      </c>
      <c r="G546" t="s">
        <v>11</v>
      </c>
      <c r="H546" s="5" t="s">
        <v>30</v>
      </c>
      <c r="I546" t="s">
        <v>13</v>
      </c>
      <c r="J546" t="s">
        <v>13</v>
      </c>
    </row>
    <row r="547" spans="1:11" x14ac:dyDescent="0.35">
      <c r="A547" t="s">
        <v>5</v>
      </c>
      <c r="B547" t="str">
        <f t="shared" si="8"/>
        <v>13225</v>
      </c>
      <c r="C547" t="str">
        <f>"009"</f>
        <v>009</v>
      </c>
      <c r="D547">
        <v>2015</v>
      </c>
      <c r="E547" s="3">
        <v>148895900</v>
      </c>
      <c r="F547" s="3">
        <v>102886300</v>
      </c>
      <c r="G547" t="s">
        <v>11</v>
      </c>
      <c r="H547" s="5" t="s">
        <v>30</v>
      </c>
      <c r="I547" t="s">
        <v>13</v>
      </c>
      <c r="J547" t="s">
        <v>13</v>
      </c>
    </row>
    <row r="548" spans="1:11" x14ac:dyDescent="0.35">
      <c r="A548" t="s">
        <v>5</v>
      </c>
      <c r="B548" t="str">
        <f t="shared" si="8"/>
        <v>13225</v>
      </c>
      <c r="C548" t="str">
        <f>"010"</f>
        <v>010</v>
      </c>
      <c r="D548">
        <v>2016</v>
      </c>
      <c r="E548" s="3">
        <v>103781300</v>
      </c>
      <c r="F548" s="3">
        <v>60908800</v>
      </c>
      <c r="G548" t="s">
        <v>11</v>
      </c>
      <c r="H548" s="5" t="s">
        <v>30</v>
      </c>
      <c r="I548" t="s">
        <v>13</v>
      </c>
      <c r="J548" t="s">
        <v>13</v>
      </c>
    </row>
    <row r="549" spans="1:11" x14ac:dyDescent="0.35">
      <c r="A549" t="s">
        <v>5</v>
      </c>
      <c r="B549" t="str">
        <f t="shared" si="8"/>
        <v>13225</v>
      </c>
      <c r="C549" t="str">
        <f>"011"</f>
        <v>011</v>
      </c>
      <c r="D549">
        <v>2018</v>
      </c>
      <c r="E549" s="3">
        <v>381500</v>
      </c>
      <c r="F549" s="3">
        <v>-54700</v>
      </c>
      <c r="G549" t="s">
        <v>52</v>
      </c>
      <c r="H549" s="5" t="s">
        <v>30</v>
      </c>
      <c r="I549" t="s">
        <v>13</v>
      </c>
      <c r="J549" t="s">
        <v>13</v>
      </c>
    </row>
    <row r="550" spans="1:11" x14ac:dyDescent="0.35">
      <c r="A550" t="s">
        <v>5</v>
      </c>
      <c r="B550" t="str">
        <f t="shared" si="8"/>
        <v>13225</v>
      </c>
      <c r="C550" t="str">
        <f>"012"</f>
        <v>012</v>
      </c>
      <c r="D550">
        <v>2018</v>
      </c>
      <c r="E550" s="3">
        <v>217747800</v>
      </c>
      <c r="F550" s="3">
        <v>89557800</v>
      </c>
      <c r="G550" t="s">
        <v>11</v>
      </c>
      <c r="H550" s="5" t="s">
        <v>30</v>
      </c>
      <c r="I550" t="s">
        <v>13</v>
      </c>
      <c r="J550" t="s">
        <v>13</v>
      </c>
    </row>
    <row r="551" spans="1:11" x14ac:dyDescent="0.35">
      <c r="A551" t="s">
        <v>5</v>
      </c>
      <c r="B551" t="str">
        <f t="shared" si="8"/>
        <v>13225</v>
      </c>
      <c r="C551" t="str">
        <f>"013"</f>
        <v>013</v>
      </c>
      <c r="D551">
        <v>2018</v>
      </c>
      <c r="E551" s="3">
        <v>33521900</v>
      </c>
      <c r="F551" s="3">
        <v>17382800</v>
      </c>
      <c r="G551" t="s">
        <v>11</v>
      </c>
      <c r="H551" s="5" t="s">
        <v>30</v>
      </c>
      <c r="I551" t="s">
        <v>13</v>
      </c>
      <c r="J551" t="s">
        <v>13</v>
      </c>
    </row>
    <row r="552" spans="1:11" x14ac:dyDescent="0.35">
      <c r="A552" t="s">
        <v>31</v>
      </c>
      <c r="B552" t="s">
        <v>13</v>
      </c>
      <c r="C552" t="s">
        <v>7</v>
      </c>
      <c r="D552" t="s">
        <v>8</v>
      </c>
      <c r="E552" s="3">
        <v>795840800</v>
      </c>
      <c r="F552" s="3">
        <v>513104100</v>
      </c>
      <c r="G552" t="s">
        <v>11</v>
      </c>
      <c r="H552" s="5">
        <v>4668212700</v>
      </c>
      <c r="I552" t="s">
        <v>13</v>
      </c>
      <c r="J552" t="s">
        <v>13</v>
      </c>
      <c r="K552">
        <v>10.99</v>
      </c>
    </row>
    <row r="554" spans="1:11" x14ac:dyDescent="0.35">
      <c r="A554" t="s">
        <v>148</v>
      </c>
      <c r="B554" t="str">
        <f>"19010"</f>
        <v>19010</v>
      </c>
      <c r="C554" t="str">
        <f>"001R"</f>
        <v>001R</v>
      </c>
      <c r="D554">
        <v>2013</v>
      </c>
      <c r="E554" s="3">
        <v>19030300</v>
      </c>
      <c r="F554" s="3">
        <v>7629900</v>
      </c>
      <c r="G554" t="s">
        <v>11</v>
      </c>
      <c r="H554" s="5" t="s">
        <v>30</v>
      </c>
      <c r="I554" t="s">
        <v>13</v>
      </c>
      <c r="J554" t="s">
        <v>13</v>
      </c>
    </row>
    <row r="555" spans="1:11" x14ac:dyDescent="0.35">
      <c r="A555" t="s">
        <v>31</v>
      </c>
      <c r="B555" t="s">
        <v>13</v>
      </c>
      <c r="C555" t="s">
        <v>7</v>
      </c>
      <c r="D555" t="s">
        <v>8</v>
      </c>
      <c r="E555" s="3">
        <v>19030300</v>
      </c>
      <c r="F555" s="3">
        <v>7629900</v>
      </c>
      <c r="G555" t="s">
        <v>11</v>
      </c>
      <c r="H555" s="5">
        <v>433631500</v>
      </c>
      <c r="I555" t="s">
        <v>13</v>
      </c>
      <c r="J555" t="s">
        <v>13</v>
      </c>
      <c r="K555">
        <v>1.76</v>
      </c>
    </row>
    <row r="557" spans="1:11" x14ac:dyDescent="0.35">
      <c r="A557" t="s">
        <v>149</v>
      </c>
      <c r="B557" t="str">
        <f t="shared" ref="B557:B568" si="9">"20226"</f>
        <v>20226</v>
      </c>
      <c r="C557" t="str">
        <f>"010"</f>
        <v>010</v>
      </c>
      <c r="D557">
        <v>2004</v>
      </c>
      <c r="E557" s="3">
        <v>82031000</v>
      </c>
      <c r="F557" s="3">
        <v>80000400</v>
      </c>
      <c r="G557" t="s">
        <v>11</v>
      </c>
      <c r="H557" s="5" t="s">
        <v>30</v>
      </c>
      <c r="I557" t="s">
        <v>13</v>
      </c>
      <c r="J557" t="s">
        <v>13</v>
      </c>
    </row>
    <row r="558" spans="1:11" x14ac:dyDescent="0.35">
      <c r="A558" t="s">
        <v>5</v>
      </c>
      <c r="B558" t="str">
        <f t="shared" si="9"/>
        <v>20226</v>
      </c>
      <c r="C558" t="str">
        <f>"013"</f>
        <v>013</v>
      </c>
      <c r="D558">
        <v>2010</v>
      </c>
      <c r="E558" s="3">
        <v>7324100</v>
      </c>
      <c r="F558" s="3">
        <v>4591600</v>
      </c>
      <c r="G558" t="s">
        <v>11</v>
      </c>
      <c r="H558" s="5" t="s">
        <v>30</v>
      </c>
      <c r="I558" t="s">
        <v>13</v>
      </c>
      <c r="J558" t="s">
        <v>13</v>
      </c>
    </row>
    <row r="559" spans="1:11" x14ac:dyDescent="0.35">
      <c r="A559" t="s">
        <v>5</v>
      </c>
      <c r="B559" t="str">
        <f t="shared" si="9"/>
        <v>20226</v>
      </c>
      <c r="C559" t="str">
        <f>"014"</f>
        <v>014</v>
      </c>
      <c r="D559">
        <v>2011</v>
      </c>
      <c r="E559" s="3">
        <v>8720500</v>
      </c>
      <c r="F559" s="3">
        <v>8191500</v>
      </c>
      <c r="G559" t="s">
        <v>11</v>
      </c>
      <c r="H559" s="5" t="s">
        <v>30</v>
      </c>
      <c r="I559" t="s">
        <v>13</v>
      </c>
      <c r="J559" t="s">
        <v>13</v>
      </c>
    </row>
    <row r="560" spans="1:11" x14ac:dyDescent="0.35">
      <c r="A560" t="s">
        <v>5</v>
      </c>
      <c r="B560" t="str">
        <f t="shared" si="9"/>
        <v>20226</v>
      </c>
      <c r="C560" t="str">
        <f>"015"</f>
        <v>015</v>
      </c>
      <c r="D560">
        <v>2011</v>
      </c>
      <c r="E560" s="3">
        <v>1005100</v>
      </c>
      <c r="F560" s="3">
        <v>808900</v>
      </c>
      <c r="G560" t="s">
        <v>11</v>
      </c>
      <c r="H560" s="5" t="s">
        <v>30</v>
      </c>
      <c r="I560" t="s">
        <v>13</v>
      </c>
      <c r="J560" t="s">
        <v>13</v>
      </c>
    </row>
    <row r="561" spans="1:11" x14ac:dyDescent="0.35">
      <c r="A561" t="s">
        <v>5</v>
      </c>
      <c r="B561" t="str">
        <f t="shared" si="9"/>
        <v>20226</v>
      </c>
      <c r="C561" t="str">
        <f>"017"</f>
        <v>017</v>
      </c>
      <c r="D561">
        <v>2012</v>
      </c>
      <c r="E561" s="3">
        <v>8259800</v>
      </c>
      <c r="F561" s="3">
        <v>6874100</v>
      </c>
      <c r="G561" t="s">
        <v>11</v>
      </c>
      <c r="H561" s="5" t="s">
        <v>30</v>
      </c>
      <c r="I561" t="s">
        <v>13</v>
      </c>
      <c r="J561" t="s">
        <v>13</v>
      </c>
    </row>
    <row r="562" spans="1:11" x14ac:dyDescent="0.35">
      <c r="A562" t="s">
        <v>5</v>
      </c>
      <c r="B562" t="str">
        <f t="shared" si="9"/>
        <v>20226</v>
      </c>
      <c r="C562" t="str">
        <f>"018"</f>
        <v>018</v>
      </c>
      <c r="D562">
        <v>2014</v>
      </c>
      <c r="E562" s="3">
        <v>15263900</v>
      </c>
      <c r="F562" s="3">
        <v>11474700</v>
      </c>
      <c r="G562" t="s">
        <v>11</v>
      </c>
      <c r="H562" s="5" t="s">
        <v>30</v>
      </c>
      <c r="I562" t="s">
        <v>13</v>
      </c>
      <c r="J562" t="s">
        <v>13</v>
      </c>
    </row>
    <row r="563" spans="1:11" x14ac:dyDescent="0.35">
      <c r="A563" t="s">
        <v>5</v>
      </c>
      <c r="B563" t="str">
        <f t="shared" si="9"/>
        <v>20226</v>
      </c>
      <c r="C563" t="str">
        <f>"019"</f>
        <v>019</v>
      </c>
      <c r="D563">
        <v>2015</v>
      </c>
      <c r="E563" s="3">
        <v>1914000</v>
      </c>
      <c r="F563" s="3">
        <v>1154200</v>
      </c>
      <c r="G563" t="s">
        <v>11</v>
      </c>
      <c r="H563" s="5" t="s">
        <v>30</v>
      </c>
      <c r="I563" t="s">
        <v>13</v>
      </c>
      <c r="J563" t="s">
        <v>13</v>
      </c>
    </row>
    <row r="564" spans="1:11" x14ac:dyDescent="0.35">
      <c r="A564" t="s">
        <v>5</v>
      </c>
      <c r="B564" t="str">
        <f t="shared" si="9"/>
        <v>20226</v>
      </c>
      <c r="C564" t="str">
        <f>"020"</f>
        <v>020</v>
      </c>
      <c r="D564">
        <v>2017</v>
      </c>
      <c r="E564" s="3">
        <v>1023200</v>
      </c>
      <c r="F564" s="3">
        <v>1023200</v>
      </c>
      <c r="G564" t="s">
        <v>11</v>
      </c>
      <c r="H564" s="5" t="s">
        <v>30</v>
      </c>
      <c r="I564" t="s">
        <v>13</v>
      </c>
      <c r="J564" t="s">
        <v>13</v>
      </c>
    </row>
    <row r="565" spans="1:11" x14ac:dyDescent="0.35">
      <c r="A565" t="s">
        <v>5</v>
      </c>
      <c r="B565" t="str">
        <f t="shared" si="9"/>
        <v>20226</v>
      </c>
      <c r="C565" t="str">
        <f>"021"</f>
        <v>021</v>
      </c>
      <c r="D565">
        <v>2017</v>
      </c>
      <c r="E565" s="3">
        <v>2147400</v>
      </c>
      <c r="F565" s="3">
        <v>-9000</v>
      </c>
      <c r="G565" t="s">
        <v>52</v>
      </c>
      <c r="H565" s="5" t="s">
        <v>30</v>
      </c>
      <c r="I565" t="s">
        <v>13</v>
      </c>
      <c r="J565" t="s">
        <v>13</v>
      </c>
    </row>
    <row r="566" spans="1:11" x14ac:dyDescent="0.35">
      <c r="A566" t="s">
        <v>5</v>
      </c>
      <c r="B566" t="str">
        <f t="shared" si="9"/>
        <v>20226</v>
      </c>
      <c r="C566" t="str">
        <f>"022"</f>
        <v>022</v>
      </c>
      <c r="D566">
        <v>2017</v>
      </c>
      <c r="E566" s="3">
        <v>14060200</v>
      </c>
      <c r="F566" s="3">
        <v>12542500</v>
      </c>
      <c r="G566" t="s">
        <v>11</v>
      </c>
      <c r="H566" s="5" t="s">
        <v>30</v>
      </c>
      <c r="I566" t="s">
        <v>13</v>
      </c>
      <c r="J566" t="s">
        <v>13</v>
      </c>
    </row>
    <row r="567" spans="1:11" x14ac:dyDescent="0.35">
      <c r="A567" t="s">
        <v>5</v>
      </c>
      <c r="B567" t="str">
        <f t="shared" si="9"/>
        <v>20226</v>
      </c>
      <c r="C567" t="str">
        <f>"023"</f>
        <v>023</v>
      </c>
      <c r="D567">
        <v>2018</v>
      </c>
      <c r="E567" s="3">
        <v>7914300</v>
      </c>
      <c r="F567" s="3">
        <v>2666200</v>
      </c>
      <c r="G567" t="s">
        <v>11</v>
      </c>
      <c r="H567" s="5" t="s">
        <v>30</v>
      </c>
      <c r="I567" t="s">
        <v>13</v>
      </c>
      <c r="J567" t="s">
        <v>13</v>
      </c>
    </row>
    <row r="568" spans="1:11" x14ac:dyDescent="0.35">
      <c r="A568" t="s">
        <v>5</v>
      </c>
      <c r="B568" t="str">
        <f t="shared" si="9"/>
        <v>20226</v>
      </c>
      <c r="C568" t="str">
        <f>"024"</f>
        <v>024</v>
      </c>
      <c r="D568">
        <v>2018</v>
      </c>
      <c r="E568" s="3">
        <v>15816800</v>
      </c>
      <c r="F568" s="3">
        <v>15405300</v>
      </c>
      <c r="G568" t="s">
        <v>11</v>
      </c>
      <c r="H568" s="5" t="s">
        <v>30</v>
      </c>
      <c r="I568" t="s">
        <v>13</v>
      </c>
      <c r="J568" t="s">
        <v>13</v>
      </c>
    </row>
    <row r="569" spans="1:11" x14ac:dyDescent="0.35">
      <c r="A569" t="s">
        <v>31</v>
      </c>
      <c r="B569" t="s">
        <v>13</v>
      </c>
      <c r="C569" t="s">
        <v>7</v>
      </c>
      <c r="D569" t="s">
        <v>8</v>
      </c>
      <c r="E569" s="3">
        <v>165480300</v>
      </c>
      <c r="F569" s="3">
        <v>144732600</v>
      </c>
      <c r="G569" t="s">
        <v>11</v>
      </c>
      <c r="H569" s="5">
        <v>3703015500</v>
      </c>
      <c r="I569" t="s">
        <v>13</v>
      </c>
      <c r="J569" t="s">
        <v>13</v>
      </c>
      <c r="K569">
        <v>3.91</v>
      </c>
    </row>
    <row r="571" spans="1:11" x14ac:dyDescent="0.35">
      <c r="A571" t="s">
        <v>150</v>
      </c>
      <c r="B571" t="str">
        <f>"64126"</f>
        <v>64126</v>
      </c>
      <c r="C571" t="str">
        <f>"001"</f>
        <v>001</v>
      </c>
      <c r="D571">
        <v>2001</v>
      </c>
      <c r="E571" s="3">
        <v>185365900</v>
      </c>
      <c r="F571" s="3">
        <v>155145500</v>
      </c>
      <c r="G571" t="s">
        <v>11</v>
      </c>
      <c r="H571" s="5" t="s">
        <v>30</v>
      </c>
      <c r="I571" t="s">
        <v>13</v>
      </c>
      <c r="J571" t="s">
        <v>13</v>
      </c>
    </row>
    <row r="572" spans="1:11" x14ac:dyDescent="0.35">
      <c r="A572" t="s">
        <v>31</v>
      </c>
      <c r="B572" t="s">
        <v>13</v>
      </c>
      <c r="C572" t="s">
        <v>7</v>
      </c>
      <c r="D572" t="s">
        <v>8</v>
      </c>
      <c r="E572" s="3">
        <v>185365900</v>
      </c>
      <c r="F572" s="3">
        <v>155145500</v>
      </c>
      <c r="G572" t="s">
        <v>11</v>
      </c>
      <c r="H572" s="5">
        <v>1892552000</v>
      </c>
      <c r="I572" t="s">
        <v>13</v>
      </c>
      <c r="J572" t="s">
        <v>13</v>
      </c>
      <c r="K572">
        <v>8.1999999999999993</v>
      </c>
    </row>
    <row r="574" spans="1:11" x14ac:dyDescent="0.35">
      <c r="A574" t="s">
        <v>151</v>
      </c>
      <c r="B574" t="str">
        <f>"53126"</f>
        <v>53126</v>
      </c>
      <c r="C574" t="str">
        <f>"001"</f>
        <v>001</v>
      </c>
      <c r="D574">
        <v>2000</v>
      </c>
      <c r="E574" s="3">
        <v>18325800</v>
      </c>
      <c r="F574" s="3">
        <v>17090500</v>
      </c>
      <c r="G574" t="s">
        <v>11</v>
      </c>
      <c r="H574" s="5" t="s">
        <v>30</v>
      </c>
      <c r="I574" t="s">
        <v>13</v>
      </c>
      <c r="J574" t="s">
        <v>13</v>
      </c>
    </row>
    <row r="575" spans="1:11" x14ac:dyDescent="0.35">
      <c r="A575" t="s">
        <v>31</v>
      </c>
      <c r="B575" t="s">
        <v>13</v>
      </c>
      <c r="C575" t="s">
        <v>7</v>
      </c>
      <c r="D575" t="s">
        <v>8</v>
      </c>
      <c r="E575" s="3">
        <v>18325800</v>
      </c>
      <c r="F575" s="3">
        <v>17090500</v>
      </c>
      <c r="G575" t="s">
        <v>11</v>
      </c>
      <c r="H575" s="5">
        <v>64933100</v>
      </c>
      <c r="I575" t="s">
        <v>13</v>
      </c>
      <c r="J575" t="s">
        <v>13</v>
      </c>
      <c r="K575">
        <v>26.32</v>
      </c>
    </row>
    <row r="577" spans="1:11" x14ac:dyDescent="0.35">
      <c r="A577" t="s">
        <v>152</v>
      </c>
      <c r="B577" t="str">
        <f>"28226"</f>
        <v>28226</v>
      </c>
      <c r="C577" t="str">
        <f>"006"</f>
        <v>006</v>
      </c>
      <c r="D577">
        <v>2000</v>
      </c>
      <c r="E577" s="3">
        <v>8519300</v>
      </c>
      <c r="F577" s="3">
        <v>7383900</v>
      </c>
      <c r="G577" t="s">
        <v>11</v>
      </c>
      <c r="H577" s="5" t="s">
        <v>30</v>
      </c>
      <c r="I577" t="s">
        <v>13</v>
      </c>
      <c r="J577" t="s">
        <v>13</v>
      </c>
    </row>
    <row r="578" spans="1:11" x14ac:dyDescent="0.35">
      <c r="A578" t="s">
        <v>5</v>
      </c>
      <c r="B578" t="str">
        <f>"28226"</f>
        <v>28226</v>
      </c>
      <c r="C578" t="str">
        <f>"007"</f>
        <v>007</v>
      </c>
      <c r="D578">
        <v>2000</v>
      </c>
      <c r="E578" s="3">
        <v>34337000</v>
      </c>
      <c r="F578" s="3">
        <v>22749100</v>
      </c>
      <c r="G578" t="s">
        <v>11</v>
      </c>
      <c r="H578" s="5" t="s">
        <v>30</v>
      </c>
      <c r="I578" t="s">
        <v>13</v>
      </c>
      <c r="J578" t="s">
        <v>13</v>
      </c>
    </row>
    <row r="579" spans="1:11" x14ac:dyDescent="0.35">
      <c r="A579" t="s">
        <v>5</v>
      </c>
      <c r="B579" t="str">
        <f>"28226"</f>
        <v>28226</v>
      </c>
      <c r="C579" t="str">
        <f>"008"</f>
        <v>008</v>
      </c>
      <c r="D579">
        <v>2009</v>
      </c>
      <c r="E579" s="3">
        <v>76321300</v>
      </c>
      <c r="F579" s="3">
        <v>47737100</v>
      </c>
      <c r="G579" t="s">
        <v>11</v>
      </c>
      <c r="H579" s="5" t="s">
        <v>30</v>
      </c>
      <c r="I579" t="s">
        <v>13</v>
      </c>
      <c r="J579" t="s">
        <v>13</v>
      </c>
    </row>
    <row r="580" spans="1:11" x14ac:dyDescent="0.35">
      <c r="A580" t="s">
        <v>31</v>
      </c>
      <c r="B580" t="s">
        <v>13</v>
      </c>
      <c r="C580" t="s">
        <v>7</v>
      </c>
      <c r="D580" t="s">
        <v>8</v>
      </c>
      <c r="E580" s="3">
        <v>119177600</v>
      </c>
      <c r="F580" s="3">
        <v>77870100</v>
      </c>
      <c r="G580" t="s">
        <v>11</v>
      </c>
      <c r="H580" s="5">
        <v>1257936500</v>
      </c>
      <c r="I580" t="s">
        <v>13</v>
      </c>
      <c r="J580" t="s">
        <v>13</v>
      </c>
      <c r="K580">
        <v>6.19</v>
      </c>
    </row>
    <row r="582" spans="1:11" x14ac:dyDescent="0.35">
      <c r="A582" t="s">
        <v>153</v>
      </c>
      <c r="B582" t="str">
        <f>"70121"</f>
        <v>70121</v>
      </c>
      <c r="C582" t="str">
        <f>"001"</f>
        <v>001</v>
      </c>
      <c r="D582">
        <v>2015</v>
      </c>
      <c r="E582" s="3">
        <v>36404300</v>
      </c>
      <c r="F582" s="3">
        <v>33672000</v>
      </c>
      <c r="G582" t="s">
        <v>11</v>
      </c>
      <c r="H582" s="5" t="s">
        <v>30</v>
      </c>
      <c r="I582" t="s">
        <v>13</v>
      </c>
      <c r="J582" t="s">
        <v>13</v>
      </c>
    </row>
    <row r="583" spans="1:11" x14ac:dyDescent="0.35">
      <c r="A583" t="s">
        <v>5</v>
      </c>
      <c r="B583" t="str">
        <f>"70121"</f>
        <v>70121</v>
      </c>
      <c r="C583" t="str">
        <f>"002"</f>
        <v>002</v>
      </c>
      <c r="D583">
        <v>2016</v>
      </c>
      <c r="E583" s="3">
        <v>56312500</v>
      </c>
      <c r="F583" s="3">
        <v>25362700</v>
      </c>
      <c r="G583" t="s">
        <v>11</v>
      </c>
      <c r="H583" s="5" t="s">
        <v>30</v>
      </c>
      <c r="I583" t="s">
        <v>13</v>
      </c>
      <c r="J583" t="s">
        <v>13</v>
      </c>
    </row>
    <row r="584" spans="1:11" x14ac:dyDescent="0.35">
      <c r="A584" t="s">
        <v>5</v>
      </c>
      <c r="B584" t="str">
        <f>"70121"</f>
        <v>70121</v>
      </c>
      <c r="C584" t="str">
        <f>"003"</f>
        <v>003</v>
      </c>
      <c r="D584">
        <v>2017</v>
      </c>
      <c r="E584" s="3">
        <v>65726400</v>
      </c>
      <c r="F584" s="3">
        <v>65706400</v>
      </c>
      <c r="G584" t="s">
        <v>11</v>
      </c>
      <c r="H584" s="5" t="s">
        <v>30</v>
      </c>
      <c r="I584" t="s">
        <v>13</v>
      </c>
      <c r="J584" t="s">
        <v>13</v>
      </c>
    </row>
    <row r="585" spans="1:11" x14ac:dyDescent="0.35">
      <c r="A585" t="s">
        <v>5</v>
      </c>
      <c r="B585" t="str">
        <f>"70121"</f>
        <v>70121</v>
      </c>
      <c r="C585" t="str">
        <f>"004"</f>
        <v>004</v>
      </c>
      <c r="D585">
        <v>2018</v>
      </c>
      <c r="E585" s="3">
        <v>897000</v>
      </c>
      <c r="F585" s="3">
        <v>354100</v>
      </c>
      <c r="G585" t="s">
        <v>11</v>
      </c>
      <c r="H585" s="5" t="s">
        <v>30</v>
      </c>
      <c r="I585" t="s">
        <v>13</v>
      </c>
      <c r="J585" t="s">
        <v>13</v>
      </c>
    </row>
    <row r="586" spans="1:11" x14ac:dyDescent="0.35">
      <c r="A586" t="s">
        <v>31</v>
      </c>
      <c r="B586" t="s">
        <v>13</v>
      </c>
      <c r="C586" t="s">
        <v>7</v>
      </c>
      <c r="D586" t="s">
        <v>8</v>
      </c>
      <c r="E586" s="3">
        <v>159340200</v>
      </c>
      <c r="F586" s="3">
        <v>125095200</v>
      </c>
      <c r="G586" t="s">
        <v>11</v>
      </c>
      <c r="H586" s="5">
        <v>2285161600</v>
      </c>
      <c r="I586" t="s">
        <v>13</v>
      </c>
      <c r="J586" t="s">
        <v>13</v>
      </c>
      <c r="K586">
        <v>5.47</v>
      </c>
    </row>
    <row r="588" spans="1:11" x14ac:dyDescent="0.35">
      <c r="A588" t="s">
        <v>154</v>
      </c>
      <c r="B588" t="str">
        <f>"14226"</f>
        <v>14226</v>
      </c>
      <c r="C588" t="str">
        <f>"002"</f>
        <v>002</v>
      </c>
      <c r="D588">
        <v>2015</v>
      </c>
      <c r="E588" s="3">
        <v>20647000</v>
      </c>
      <c r="F588" s="3">
        <v>13040400</v>
      </c>
      <c r="G588" t="s">
        <v>11</v>
      </c>
      <c r="H588" s="5" t="s">
        <v>30</v>
      </c>
      <c r="I588" t="s">
        <v>13</v>
      </c>
      <c r="J588" t="s">
        <v>13</v>
      </c>
    </row>
    <row r="589" spans="1:11" x14ac:dyDescent="0.35">
      <c r="A589" t="s">
        <v>5</v>
      </c>
      <c r="B589" t="str">
        <f>"14226"</f>
        <v>14226</v>
      </c>
      <c r="C589" t="str">
        <f>"003"</f>
        <v>003</v>
      </c>
      <c r="D589">
        <v>2016</v>
      </c>
      <c r="E589" s="3">
        <v>10279900</v>
      </c>
      <c r="F589" s="3">
        <v>5644300</v>
      </c>
      <c r="G589" t="s">
        <v>11</v>
      </c>
      <c r="H589" s="5" t="s">
        <v>30</v>
      </c>
      <c r="I589" t="s">
        <v>13</v>
      </c>
      <c r="J589" t="s">
        <v>13</v>
      </c>
    </row>
    <row r="590" spans="1:11" x14ac:dyDescent="0.35">
      <c r="A590" t="s">
        <v>31</v>
      </c>
      <c r="B590" t="s">
        <v>13</v>
      </c>
      <c r="C590" t="s">
        <v>7</v>
      </c>
      <c r="D590" t="s">
        <v>8</v>
      </c>
      <c r="E590" s="3">
        <v>30926900</v>
      </c>
      <c r="F590" s="3">
        <v>18684700</v>
      </c>
      <c r="G590" t="s">
        <v>11</v>
      </c>
      <c r="H590" s="5">
        <v>127356000</v>
      </c>
      <c r="I590" t="s">
        <v>13</v>
      </c>
      <c r="J590" t="s">
        <v>13</v>
      </c>
      <c r="K590">
        <v>14.67</v>
      </c>
    </row>
    <row r="592" spans="1:11" x14ac:dyDescent="0.35">
      <c r="A592" t="s">
        <v>155</v>
      </c>
      <c r="B592" t="str">
        <f>"36126"</f>
        <v>36126</v>
      </c>
      <c r="C592" t="str">
        <f>"002"</f>
        <v>002</v>
      </c>
      <c r="D592">
        <v>2004</v>
      </c>
      <c r="E592" s="3">
        <v>2154300</v>
      </c>
      <c r="F592" s="3">
        <v>1934700</v>
      </c>
      <c r="G592" t="s">
        <v>11</v>
      </c>
      <c r="H592" s="5" t="s">
        <v>30</v>
      </c>
      <c r="I592" t="s">
        <v>13</v>
      </c>
      <c r="J592" t="s">
        <v>13</v>
      </c>
    </row>
    <row r="593" spans="1:11" x14ac:dyDescent="0.35">
      <c r="A593" t="s">
        <v>31</v>
      </c>
      <c r="B593" t="s">
        <v>13</v>
      </c>
      <c r="C593" t="s">
        <v>7</v>
      </c>
      <c r="D593" t="s">
        <v>8</v>
      </c>
      <c r="E593" s="3">
        <v>2154300</v>
      </c>
      <c r="F593" s="3">
        <v>1934700</v>
      </c>
      <c r="G593" t="s">
        <v>11</v>
      </c>
      <c r="H593" s="5">
        <v>51523200</v>
      </c>
      <c r="I593" t="s">
        <v>13</v>
      </c>
      <c r="J593" t="s">
        <v>13</v>
      </c>
      <c r="K593">
        <v>3.76</v>
      </c>
    </row>
    <row r="595" spans="1:11" x14ac:dyDescent="0.35">
      <c r="A595" t="s">
        <v>156</v>
      </c>
      <c r="B595" t="str">
        <f>"40226"</f>
        <v>40226</v>
      </c>
      <c r="C595" t="str">
        <f>"004"</f>
        <v>004</v>
      </c>
      <c r="D595">
        <v>2005</v>
      </c>
      <c r="E595" s="3">
        <v>80532100</v>
      </c>
      <c r="F595" s="3">
        <v>60714200</v>
      </c>
      <c r="G595" t="s">
        <v>11</v>
      </c>
      <c r="H595" s="5" t="s">
        <v>30</v>
      </c>
      <c r="I595" t="s">
        <v>13</v>
      </c>
      <c r="J595" t="s">
        <v>13</v>
      </c>
    </row>
    <row r="596" spans="1:11" x14ac:dyDescent="0.35">
      <c r="A596" t="s">
        <v>5</v>
      </c>
      <c r="B596" t="str">
        <f>"40226"</f>
        <v>40226</v>
      </c>
      <c r="C596" t="str">
        <f>"005"</f>
        <v>005</v>
      </c>
      <c r="D596">
        <v>2016</v>
      </c>
      <c r="E596" s="3">
        <v>60553200</v>
      </c>
      <c r="F596" s="3">
        <v>57509300</v>
      </c>
      <c r="G596" t="s">
        <v>11</v>
      </c>
      <c r="H596" s="5" t="s">
        <v>30</v>
      </c>
      <c r="I596" t="s">
        <v>13</v>
      </c>
      <c r="J596" t="s">
        <v>13</v>
      </c>
    </row>
    <row r="597" spans="1:11" x14ac:dyDescent="0.35">
      <c r="A597" t="s">
        <v>5</v>
      </c>
      <c r="B597" t="str">
        <f>"40226"</f>
        <v>40226</v>
      </c>
      <c r="C597" t="str">
        <f>"006"</f>
        <v>006</v>
      </c>
      <c r="D597">
        <v>2019</v>
      </c>
      <c r="E597" s="3">
        <v>5106200</v>
      </c>
      <c r="F597" s="3">
        <v>3085800</v>
      </c>
      <c r="G597" t="s">
        <v>11</v>
      </c>
      <c r="H597" s="5" t="s">
        <v>30</v>
      </c>
      <c r="I597" t="s">
        <v>13</v>
      </c>
      <c r="J597" t="s">
        <v>13</v>
      </c>
    </row>
    <row r="598" spans="1:11" x14ac:dyDescent="0.35">
      <c r="A598" t="s">
        <v>5</v>
      </c>
      <c r="B598" t="str">
        <f>"40226"</f>
        <v>40226</v>
      </c>
      <c r="C598" t="str">
        <f>"007"</f>
        <v>007</v>
      </c>
      <c r="D598">
        <v>2019</v>
      </c>
      <c r="E598" s="3">
        <v>46380400</v>
      </c>
      <c r="F598" s="3">
        <v>38884900</v>
      </c>
      <c r="G598" t="s">
        <v>11</v>
      </c>
      <c r="H598" s="5" t="s">
        <v>30</v>
      </c>
      <c r="I598" t="s">
        <v>13</v>
      </c>
      <c r="J598" t="s">
        <v>13</v>
      </c>
    </row>
    <row r="599" spans="1:11" x14ac:dyDescent="0.35">
      <c r="A599" t="s">
        <v>5</v>
      </c>
      <c r="B599" t="str">
        <f>"40226"</f>
        <v>40226</v>
      </c>
      <c r="C599" t="str">
        <f>"008"</f>
        <v>008</v>
      </c>
      <c r="D599">
        <v>2020</v>
      </c>
      <c r="E599" s="3">
        <v>60424800</v>
      </c>
      <c r="F599" s="3">
        <v>10994400</v>
      </c>
      <c r="G599" t="s">
        <v>11</v>
      </c>
      <c r="H599" s="5" t="s">
        <v>30</v>
      </c>
      <c r="I599" t="s">
        <v>13</v>
      </c>
      <c r="J599" t="s">
        <v>13</v>
      </c>
    </row>
    <row r="600" spans="1:11" x14ac:dyDescent="0.35">
      <c r="A600" t="s">
        <v>31</v>
      </c>
      <c r="B600" t="s">
        <v>13</v>
      </c>
      <c r="C600" t="s">
        <v>7</v>
      </c>
      <c r="D600" t="s">
        <v>8</v>
      </c>
      <c r="E600" s="3">
        <v>252996700</v>
      </c>
      <c r="F600" s="3">
        <v>171188600</v>
      </c>
      <c r="G600" t="s">
        <v>11</v>
      </c>
      <c r="H600" s="5">
        <v>5423303100</v>
      </c>
      <c r="I600" t="s">
        <v>13</v>
      </c>
      <c r="J600" t="s">
        <v>13</v>
      </c>
      <c r="K600">
        <v>3.16</v>
      </c>
    </row>
    <row r="602" spans="1:11" x14ac:dyDescent="0.35">
      <c r="A602" t="s">
        <v>157</v>
      </c>
      <c r="B602" t="str">
        <f>"48126"</f>
        <v>48126</v>
      </c>
      <c r="C602" t="str">
        <f>"003"</f>
        <v>003</v>
      </c>
      <c r="D602">
        <v>2007</v>
      </c>
      <c r="E602" s="3">
        <v>3065700</v>
      </c>
      <c r="F602" s="3">
        <v>1310400</v>
      </c>
      <c r="G602" t="s">
        <v>11</v>
      </c>
      <c r="H602" s="5" t="s">
        <v>30</v>
      </c>
      <c r="I602" t="s">
        <v>13</v>
      </c>
      <c r="J602" t="s">
        <v>13</v>
      </c>
    </row>
    <row r="603" spans="1:11" x14ac:dyDescent="0.35">
      <c r="A603" t="s">
        <v>31</v>
      </c>
      <c r="B603" t="s">
        <v>13</v>
      </c>
      <c r="C603" t="s">
        <v>7</v>
      </c>
      <c r="D603" t="s">
        <v>8</v>
      </c>
      <c r="E603" s="3">
        <v>3065700</v>
      </c>
      <c r="F603" s="3">
        <v>1310400</v>
      </c>
      <c r="G603" t="s">
        <v>11</v>
      </c>
      <c r="H603" s="5">
        <v>72508800</v>
      </c>
      <c r="I603" t="s">
        <v>13</v>
      </c>
      <c r="J603" t="s">
        <v>13</v>
      </c>
      <c r="K603">
        <v>1.81</v>
      </c>
    </row>
    <row r="605" spans="1:11" x14ac:dyDescent="0.35">
      <c r="A605" t="s">
        <v>158</v>
      </c>
      <c r="B605" t="str">
        <f>"45126"</f>
        <v>45126</v>
      </c>
      <c r="C605" t="str">
        <f>"003"</f>
        <v>003</v>
      </c>
      <c r="D605">
        <v>2021</v>
      </c>
      <c r="E605" s="3">
        <v>3673400</v>
      </c>
      <c r="F605" s="3">
        <v>781400</v>
      </c>
      <c r="G605" t="s">
        <v>11</v>
      </c>
      <c r="H605" s="5" t="s">
        <v>30</v>
      </c>
      <c r="I605" t="s">
        <v>13</v>
      </c>
      <c r="J605" t="s">
        <v>13</v>
      </c>
    </row>
    <row r="606" spans="1:11" x14ac:dyDescent="0.35">
      <c r="A606" t="s">
        <v>31</v>
      </c>
      <c r="B606" t="s">
        <v>13</v>
      </c>
      <c r="C606" t="s">
        <v>7</v>
      </c>
      <c r="D606" t="s">
        <v>8</v>
      </c>
      <c r="E606" s="3">
        <v>3673400</v>
      </c>
      <c r="F606" s="3">
        <v>781400</v>
      </c>
      <c r="G606" t="s">
        <v>11</v>
      </c>
      <c r="H606" s="5">
        <v>237041400</v>
      </c>
      <c r="I606" t="s">
        <v>13</v>
      </c>
      <c r="J606" t="s">
        <v>13</v>
      </c>
      <c r="K606">
        <v>0.33</v>
      </c>
    </row>
    <row r="608" spans="1:11" x14ac:dyDescent="0.35">
      <c r="A608" t="s">
        <v>159</v>
      </c>
      <c r="B608" t="str">
        <f>"44018"</f>
        <v>44018</v>
      </c>
      <c r="C608" t="str">
        <f>"001A"</f>
        <v>001A</v>
      </c>
      <c r="D608">
        <v>2016</v>
      </c>
      <c r="E608" s="3">
        <v>9295200</v>
      </c>
      <c r="F608" s="3">
        <v>7301600</v>
      </c>
      <c r="G608" t="s">
        <v>11</v>
      </c>
      <c r="H608" s="5" t="s">
        <v>30</v>
      </c>
      <c r="I608" t="s">
        <v>13</v>
      </c>
      <c r="J608" t="s">
        <v>13</v>
      </c>
    </row>
    <row r="609" spans="1:11" x14ac:dyDescent="0.35">
      <c r="A609" t="s">
        <v>5</v>
      </c>
      <c r="B609" t="str">
        <f>"44018"</f>
        <v>44018</v>
      </c>
      <c r="C609" t="str">
        <f>"002A"</f>
        <v>002A</v>
      </c>
      <c r="D609">
        <v>2017</v>
      </c>
      <c r="E609" s="3">
        <v>34880600</v>
      </c>
      <c r="F609" s="3">
        <v>23152200</v>
      </c>
      <c r="G609" t="s">
        <v>11</v>
      </c>
      <c r="H609" s="5" t="s">
        <v>30</v>
      </c>
      <c r="I609" t="s">
        <v>13</v>
      </c>
      <c r="J609" t="s">
        <v>13</v>
      </c>
    </row>
    <row r="610" spans="1:11" x14ac:dyDescent="0.35">
      <c r="A610" t="s">
        <v>31</v>
      </c>
      <c r="B610" t="s">
        <v>13</v>
      </c>
      <c r="C610" t="s">
        <v>7</v>
      </c>
      <c r="D610" t="s">
        <v>8</v>
      </c>
      <c r="E610" s="3">
        <v>44175800</v>
      </c>
      <c r="F610" s="3">
        <v>30453800</v>
      </c>
      <c r="G610" t="s">
        <v>11</v>
      </c>
      <c r="H610" s="5">
        <v>720092000</v>
      </c>
      <c r="I610" t="s">
        <v>13</v>
      </c>
      <c r="J610" t="s">
        <v>13</v>
      </c>
      <c r="K610">
        <v>4.2300000000000004</v>
      </c>
    </row>
    <row r="612" spans="1:11" x14ac:dyDescent="0.35">
      <c r="A612" t="s">
        <v>160</v>
      </c>
      <c r="B612" t="str">
        <f>"68126"</f>
        <v>68126</v>
      </c>
      <c r="C612" t="str">
        <f>"001"</f>
        <v>001</v>
      </c>
      <c r="D612">
        <v>2021</v>
      </c>
      <c r="E612" s="3">
        <v>75200</v>
      </c>
      <c r="F612" s="3">
        <v>-261600</v>
      </c>
      <c r="G612" t="s">
        <v>52</v>
      </c>
      <c r="H612" s="5" t="s">
        <v>30</v>
      </c>
      <c r="I612" t="s">
        <v>13</v>
      </c>
      <c r="J612" t="s">
        <v>13</v>
      </c>
    </row>
    <row r="613" spans="1:11" x14ac:dyDescent="0.35">
      <c r="A613" t="s">
        <v>31</v>
      </c>
      <c r="B613" t="s">
        <v>13</v>
      </c>
      <c r="C613" t="s">
        <v>7</v>
      </c>
      <c r="D613" t="s">
        <v>8</v>
      </c>
      <c r="E613" s="3">
        <v>75200</v>
      </c>
      <c r="F613" s="3">
        <v>0</v>
      </c>
      <c r="G613" t="s">
        <v>11</v>
      </c>
      <c r="H613" s="5">
        <v>88147700</v>
      </c>
      <c r="I613" t="s">
        <v>13</v>
      </c>
      <c r="J613" t="s">
        <v>13</v>
      </c>
      <c r="K613">
        <v>0</v>
      </c>
    </row>
    <row r="615" spans="1:11" x14ac:dyDescent="0.35">
      <c r="A615" t="s">
        <v>161</v>
      </c>
      <c r="B615" t="str">
        <f>"01126"</f>
        <v>01126</v>
      </c>
      <c r="C615" t="str">
        <f>"001"</f>
        <v>001</v>
      </c>
      <c r="D615">
        <v>1997</v>
      </c>
      <c r="E615" s="3">
        <v>9400900</v>
      </c>
      <c r="F615" s="3">
        <v>6704600</v>
      </c>
      <c r="G615" t="s">
        <v>11</v>
      </c>
      <c r="H615" s="5" t="s">
        <v>30</v>
      </c>
      <c r="I615" t="s">
        <v>13</v>
      </c>
      <c r="J615" t="s">
        <v>13</v>
      </c>
    </row>
    <row r="616" spans="1:11" x14ac:dyDescent="0.35">
      <c r="A616" t="s">
        <v>5</v>
      </c>
      <c r="B616" t="str">
        <f>"01126"</f>
        <v>01126</v>
      </c>
      <c r="C616" t="str">
        <f>"002"</f>
        <v>002</v>
      </c>
      <c r="D616">
        <v>2000</v>
      </c>
      <c r="E616" s="3">
        <v>225200</v>
      </c>
      <c r="F616" s="3">
        <v>77200</v>
      </c>
      <c r="G616" t="s">
        <v>11</v>
      </c>
      <c r="H616" s="5" t="s">
        <v>30</v>
      </c>
      <c r="I616" t="s">
        <v>13</v>
      </c>
      <c r="J616" t="s">
        <v>13</v>
      </c>
    </row>
    <row r="617" spans="1:11" x14ac:dyDescent="0.35">
      <c r="A617" t="s">
        <v>31</v>
      </c>
      <c r="B617" t="s">
        <v>13</v>
      </c>
      <c r="C617" t="s">
        <v>7</v>
      </c>
      <c r="D617" t="s">
        <v>8</v>
      </c>
      <c r="E617" s="3">
        <v>9626100</v>
      </c>
      <c r="F617" s="3">
        <v>6781800</v>
      </c>
      <c r="G617" t="s">
        <v>11</v>
      </c>
      <c r="H617" s="5">
        <v>41214300</v>
      </c>
      <c r="I617" t="s">
        <v>13</v>
      </c>
      <c r="J617" t="s">
        <v>13</v>
      </c>
      <c r="K617">
        <v>16.45</v>
      </c>
    </row>
    <row r="619" spans="1:11" x14ac:dyDescent="0.35">
      <c r="A619" t="s">
        <v>162</v>
      </c>
      <c r="B619" t="str">
        <f>"61231"</f>
        <v>61231</v>
      </c>
      <c r="C619" t="str">
        <f>"002"</f>
        <v>002</v>
      </c>
      <c r="D619">
        <v>2001</v>
      </c>
      <c r="E619" s="3">
        <v>9639100</v>
      </c>
      <c r="F619" s="3">
        <v>8600500</v>
      </c>
      <c r="G619" t="s">
        <v>11</v>
      </c>
      <c r="H619" s="5" t="s">
        <v>30</v>
      </c>
      <c r="I619" t="s">
        <v>13</v>
      </c>
      <c r="J619" t="s">
        <v>13</v>
      </c>
    </row>
    <row r="620" spans="1:11" x14ac:dyDescent="0.35">
      <c r="A620" t="s">
        <v>31</v>
      </c>
      <c r="B620" t="s">
        <v>13</v>
      </c>
      <c r="C620" t="s">
        <v>7</v>
      </c>
      <c r="D620" t="s">
        <v>8</v>
      </c>
      <c r="E620" s="3">
        <v>9639100</v>
      </c>
      <c r="F620" s="3">
        <v>8600500</v>
      </c>
      <c r="G620" t="s">
        <v>11</v>
      </c>
      <c r="H620" s="5">
        <v>129152200</v>
      </c>
      <c r="I620" t="s">
        <v>13</v>
      </c>
      <c r="J620" t="s">
        <v>13</v>
      </c>
      <c r="K620">
        <v>6.66</v>
      </c>
    </row>
    <row r="622" spans="1:11" x14ac:dyDescent="0.35">
      <c r="A622" t="s">
        <v>163</v>
      </c>
      <c r="B622" t="str">
        <f>"12131"</f>
        <v>12131</v>
      </c>
      <c r="C622" t="str">
        <f>"001"</f>
        <v>001</v>
      </c>
      <c r="D622">
        <v>2000</v>
      </c>
      <c r="E622" s="3">
        <v>2566300</v>
      </c>
      <c r="F622" s="3">
        <v>2558400</v>
      </c>
      <c r="G622" t="s">
        <v>11</v>
      </c>
      <c r="H622" s="5" t="s">
        <v>30</v>
      </c>
      <c r="I622" t="s">
        <v>13</v>
      </c>
      <c r="J622" t="s">
        <v>13</v>
      </c>
    </row>
    <row r="623" spans="1:11" x14ac:dyDescent="0.35">
      <c r="A623" t="s">
        <v>5</v>
      </c>
      <c r="B623" t="str">
        <f>"12131"</f>
        <v>12131</v>
      </c>
      <c r="C623" t="str">
        <f>"003"</f>
        <v>003</v>
      </c>
      <c r="D623">
        <v>2018</v>
      </c>
      <c r="E623" s="3">
        <v>22500</v>
      </c>
      <c r="F623" s="3">
        <v>22500</v>
      </c>
      <c r="G623" t="s">
        <v>11</v>
      </c>
      <c r="H623" s="5" t="s">
        <v>30</v>
      </c>
      <c r="I623" t="s">
        <v>13</v>
      </c>
      <c r="J623" t="s">
        <v>13</v>
      </c>
    </row>
    <row r="624" spans="1:11" x14ac:dyDescent="0.35">
      <c r="A624" t="s">
        <v>5</v>
      </c>
      <c r="B624" t="str">
        <f>"12131"</f>
        <v>12131</v>
      </c>
      <c r="C624" t="str">
        <f>"004"</f>
        <v>004</v>
      </c>
      <c r="D624">
        <v>2018</v>
      </c>
      <c r="E624" s="3">
        <v>1048200</v>
      </c>
      <c r="F624" s="3">
        <v>841400</v>
      </c>
      <c r="G624" t="s">
        <v>11</v>
      </c>
      <c r="H624" s="5" t="s">
        <v>30</v>
      </c>
      <c r="I624" t="s">
        <v>13</v>
      </c>
      <c r="J624" t="s">
        <v>13</v>
      </c>
    </row>
    <row r="625" spans="1:11" x14ac:dyDescent="0.35">
      <c r="A625" t="s">
        <v>31</v>
      </c>
      <c r="B625" t="s">
        <v>13</v>
      </c>
      <c r="C625" t="s">
        <v>7</v>
      </c>
      <c r="D625" t="s">
        <v>8</v>
      </c>
      <c r="E625" s="3">
        <v>3637000</v>
      </c>
      <c r="F625" s="3">
        <v>3422300</v>
      </c>
      <c r="G625" t="s">
        <v>11</v>
      </c>
      <c r="H625" s="5">
        <v>34366800</v>
      </c>
      <c r="I625" t="s">
        <v>13</v>
      </c>
      <c r="J625" t="s">
        <v>13</v>
      </c>
      <c r="K625">
        <v>9.9600000000000009</v>
      </c>
    </row>
    <row r="627" spans="1:11" x14ac:dyDescent="0.35">
      <c r="A627" t="s">
        <v>164</v>
      </c>
      <c r="B627" t="str">
        <f>"66131"</f>
        <v>66131</v>
      </c>
      <c r="C627" t="str">
        <f>"006"</f>
        <v>006</v>
      </c>
      <c r="D627">
        <v>2014</v>
      </c>
      <c r="E627" s="3">
        <v>37986700</v>
      </c>
      <c r="F627" s="3">
        <v>35190300</v>
      </c>
      <c r="G627" t="s">
        <v>11</v>
      </c>
      <c r="H627" s="5" t="s">
        <v>30</v>
      </c>
      <c r="I627" t="s">
        <v>13</v>
      </c>
      <c r="J627" t="s">
        <v>13</v>
      </c>
    </row>
    <row r="628" spans="1:11" x14ac:dyDescent="0.35">
      <c r="A628" t="s">
        <v>5</v>
      </c>
      <c r="B628" t="str">
        <f>"66131"</f>
        <v>66131</v>
      </c>
      <c r="C628" t="str">
        <f>"007"</f>
        <v>007</v>
      </c>
      <c r="D628">
        <v>2018</v>
      </c>
      <c r="E628" s="3">
        <v>16726100</v>
      </c>
      <c r="F628" s="3">
        <v>6833800</v>
      </c>
      <c r="G628" t="s">
        <v>11</v>
      </c>
      <c r="H628" s="5" t="s">
        <v>30</v>
      </c>
      <c r="I628" t="s">
        <v>13</v>
      </c>
      <c r="J628" t="s">
        <v>13</v>
      </c>
    </row>
    <row r="629" spans="1:11" x14ac:dyDescent="0.35">
      <c r="A629" t="s">
        <v>5</v>
      </c>
      <c r="B629" t="str">
        <f>"66131"</f>
        <v>66131</v>
      </c>
      <c r="C629" t="str">
        <f>"008"</f>
        <v>008</v>
      </c>
      <c r="D629">
        <v>2018</v>
      </c>
      <c r="E629" s="3">
        <v>124620300</v>
      </c>
      <c r="F629" s="3">
        <v>123979600</v>
      </c>
      <c r="G629" t="s">
        <v>11</v>
      </c>
      <c r="H629" s="5" t="s">
        <v>30</v>
      </c>
      <c r="I629" t="s">
        <v>13</v>
      </c>
      <c r="J629" t="s">
        <v>13</v>
      </c>
    </row>
    <row r="630" spans="1:11" x14ac:dyDescent="0.35">
      <c r="A630" t="s">
        <v>31</v>
      </c>
      <c r="B630" t="s">
        <v>13</v>
      </c>
      <c r="C630" t="s">
        <v>7</v>
      </c>
      <c r="D630" t="s">
        <v>8</v>
      </c>
      <c r="E630" s="3">
        <v>179333100</v>
      </c>
      <c r="F630" s="3">
        <v>166003700</v>
      </c>
      <c r="G630" t="s">
        <v>11</v>
      </c>
      <c r="H630" s="5">
        <v>3555243900</v>
      </c>
      <c r="I630" t="s">
        <v>13</v>
      </c>
      <c r="J630" t="s">
        <v>13</v>
      </c>
      <c r="K630">
        <v>4.67</v>
      </c>
    </row>
    <row r="632" spans="1:11" x14ac:dyDescent="0.35">
      <c r="A632" t="s">
        <v>165</v>
      </c>
      <c r="B632" t="str">
        <f>"42231"</f>
        <v>42231</v>
      </c>
      <c r="C632" t="str">
        <f>"002"</f>
        <v>002</v>
      </c>
      <c r="D632">
        <v>1993</v>
      </c>
      <c r="E632" s="3">
        <v>1067000</v>
      </c>
      <c r="F632" s="3">
        <v>1019300</v>
      </c>
      <c r="G632" t="s">
        <v>11</v>
      </c>
      <c r="H632" s="5" t="s">
        <v>30</v>
      </c>
      <c r="I632" t="s">
        <v>13</v>
      </c>
      <c r="J632" t="s">
        <v>13</v>
      </c>
    </row>
    <row r="633" spans="1:11" x14ac:dyDescent="0.35">
      <c r="A633" t="s">
        <v>5</v>
      </c>
      <c r="B633" t="str">
        <f>"42231"</f>
        <v>42231</v>
      </c>
      <c r="C633" t="str">
        <f>"003"</f>
        <v>003</v>
      </c>
      <c r="D633">
        <v>2000</v>
      </c>
      <c r="E633" s="3">
        <v>10652200</v>
      </c>
      <c r="F633" s="3">
        <v>3281700</v>
      </c>
      <c r="G633" t="s">
        <v>11</v>
      </c>
      <c r="H633" s="5" t="s">
        <v>30</v>
      </c>
      <c r="I633" t="s">
        <v>13</v>
      </c>
      <c r="J633" t="s">
        <v>13</v>
      </c>
    </row>
    <row r="634" spans="1:11" x14ac:dyDescent="0.35">
      <c r="A634" t="s">
        <v>31</v>
      </c>
      <c r="B634" t="s">
        <v>13</v>
      </c>
      <c r="C634" t="s">
        <v>7</v>
      </c>
      <c r="D634" t="s">
        <v>8</v>
      </c>
      <c r="E634" s="3">
        <v>11719200</v>
      </c>
      <c r="F634" s="3">
        <v>4301000</v>
      </c>
      <c r="G634" t="s">
        <v>11</v>
      </c>
      <c r="H634" s="5">
        <v>72240600</v>
      </c>
      <c r="I634" t="s">
        <v>13</v>
      </c>
      <c r="J634" t="s">
        <v>13</v>
      </c>
      <c r="K634">
        <v>5.95</v>
      </c>
    </row>
    <row r="636" spans="1:11" x14ac:dyDescent="0.35">
      <c r="A636" t="s">
        <v>166</v>
      </c>
      <c r="B636" t="str">
        <f>"59131"</f>
        <v>59131</v>
      </c>
      <c r="C636" t="str">
        <f>"001"</f>
        <v>001</v>
      </c>
      <c r="D636">
        <v>2005</v>
      </c>
      <c r="E636" s="3">
        <v>4770500</v>
      </c>
      <c r="F636" s="3">
        <v>2907600</v>
      </c>
      <c r="G636" t="s">
        <v>11</v>
      </c>
      <c r="H636" s="5" t="s">
        <v>30</v>
      </c>
      <c r="I636" t="s">
        <v>13</v>
      </c>
      <c r="J636" t="s">
        <v>13</v>
      </c>
    </row>
    <row r="637" spans="1:11" x14ac:dyDescent="0.35">
      <c r="A637" t="s">
        <v>31</v>
      </c>
      <c r="B637" t="s">
        <v>13</v>
      </c>
      <c r="C637" t="s">
        <v>7</v>
      </c>
      <c r="D637" t="s">
        <v>8</v>
      </c>
      <c r="E637" s="3">
        <v>4770500</v>
      </c>
      <c r="F637" s="3">
        <v>2907600</v>
      </c>
      <c r="G637" t="s">
        <v>11</v>
      </c>
      <c r="H637" s="5">
        <v>45461700</v>
      </c>
      <c r="I637" t="s">
        <v>13</v>
      </c>
      <c r="J637" t="s">
        <v>13</v>
      </c>
      <c r="K637">
        <v>6.4</v>
      </c>
    </row>
    <row r="639" spans="1:11" x14ac:dyDescent="0.35">
      <c r="A639" t="s">
        <v>167</v>
      </c>
      <c r="B639" t="str">
        <f>"40231"</f>
        <v>40231</v>
      </c>
      <c r="C639" t="str">
        <f>"007"</f>
        <v>007</v>
      </c>
      <c r="D639">
        <v>1996</v>
      </c>
      <c r="E639" s="3">
        <v>116116100</v>
      </c>
      <c r="F639" s="3">
        <v>102080100</v>
      </c>
      <c r="G639" t="s">
        <v>11</v>
      </c>
      <c r="H639" s="5" t="s">
        <v>30</v>
      </c>
      <c r="I639" t="s">
        <v>13</v>
      </c>
      <c r="J639" t="s">
        <v>13</v>
      </c>
    </row>
    <row r="640" spans="1:11" x14ac:dyDescent="0.35">
      <c r="A640" t="s">
        <v>5</v>
      </c>
      <c r="B640" t="str">
        <f>"40231"</f>
        <v>40231</v>
      </c>
      <c r="C640" t="str">
        <f>"008"</f>
        <v>008</v>
      </c>
      <c r="D640">
        <v>2002</v>
      </c>
      <c r="E640" s="3">
        <v>130163800</v>
      </c>
      <c r="F640" s="3">
        <v>52463000</v>
      </c>
      <c r="G640" t="s">
        <v>11</v>
      </c>
      <c r="H640" s="5" t="s">
        <v>30</v>
      </c>
      <c r="I640" t="s">
        <v>13</v>
      </c>
      <c r="J640" t="s">
        <v>13</v>
      </c>
    </row>
    <row r="641" spans="1:11" x14ac:dyDescent="0.35">
      <c r="A641" t="s">
        <v>31</v>
      </c>
      <c r="B641" t="s">
        <v>13</v>
      </c>
      <c r="C641" t="s">
        <v>7</v>
      </c>
      <c r="D641" t="s">
        <v>8</v>
      </c>
      <c r="E641" s="3">
        <v>246279900</v>
      </c>
      <c r="F641" s="3">
        <v>154543100</v>
      </c>
      <c r="G641" t="s">
        <v>11</v>
      </c>
      <c r="H641" s="5">
        <v>2313903100</v>
      </c>
      <c r="I641" t="s">
        <v>13</v>
      </c>
      <c r="J641" t="s">
        <v>13</v>
      </c>
      <c r="K641">
        <v>6.68</v>
      </c>
    </row>
    <row r="643" spans="1:11" x14ac:dyDescent="0.35">
      <c r="A643" t="s">
        <v>168</v>
      </c>
      <c r="B643" t="str">
        <f>"45131"</f>
        <v>45131</v>
      </c>
      <c r="C643" t="str">
        <f>"003"</f>
        <v>003</v>
      </c>
      <c r="D643">
        <v>1999</v>
      </c>
      <c r="E643" s="3">
        <v>85473000</v>
      </c>
      <c r="F643" s="3">
        <v>64433100</v>
      </c>
      <c r="G643" t="s">
        <v>11</v>
      </c>
      <c r="H643" s="5" t="s">
        <v>30</v>
      </c>
      <c r="I643" t="s">
        <v>13</v>
      </c>
      <c r="J643" t="s">
        <v>13</v>
      </c>
    </row>
    <row r="644" spans="1:11" x14ac:dyDescent="0.35">
      <c r="A644" t="s">
        <v>5</v>
      </c>
      <c r="B644" t="str">
        <f>"45131"</f>
        <v>45131</v>
      </c>
      <c r="C644" t="str">
        <f>"004"</f>
        <v>004</v>
      </c>
      <c r="D644">
        <v>2004</v>
      </c>
      <c r="E644" s="3">
        <v>103009800</v>
      </c>
      <c r="F644" s="3">
        <v>55162400</v>
      </c>
      <c r="G644" t="s">
        <v>11</v>
      </c>
      <c r="H644" s="5" t="s">
        <v>30</v>
      </c>
      <c r="I644" t="s">
        <v>13</v>
      </c>
      <c r="J644" t="s">
        <v>13</v>
      </c>
    </row>
    <row r="645" spans="1:11" x14ac:dyDescent="0.35">
      <c r="A645" t="s">
        <v>5</v>
      </c>
      <c r="B645" t="str">
        <f>"45131"</f>
        <v>45131</v>
      </c>
      <c r="C645" t="str">
        <f>"005"</f>
        <v>005</v>
      </c>
      <c r="D645">
        <v>2006</v>
      </c>
      <c r="E645" s="3">
        <v>57897200</v>
      </c>
      <c r="F645" s="3">
        <v>57403700</v>
      </c>
      <c r="G645" t="s">
        <v>11</v>
      </c>
      <c r="H645" s="5" t="s">
        <v>30</v>
      </c>
      <c r="I645" t="s">
        <v>13</v>
      </c>
      <c r="J645" t="s">
        <v>13</v>
      </c>
    </row>
    <row r="646" spans="1:11" x14ac:dyDescent="0.35">
      <c r="A646" t="s">
        <v>31</v>
      </c>
      <c r="B646" t="s">
        <v>13</v>
      </c>
      <c r="C646" t="s">
        <v>7</v>
      </c>
      <c r="D646" t="s">
        <v>8</v>
      </c>
      <c r="E646" s="3">
        <v>246380000</v>
      </c>
      <c r="F646" s="3">
        <v>176999200</v>
      </c>
      <c r="G646" t="s">
        <v>11</v>
      </c>
      <c r="H646" s="5">
        <v>1790522300</v>
      </c>
      <c r="I646" t="s">
        <v>13</v>
      </c>
      <c r="J646" t="s">
        <v>13</v>
      </c>
      <c r="K646">
        <v>9.89</v>
      </c>
    </row>
    <row r="648" spans="1:11" x14ac:dyDescent="0.35">
      <c r="A648" t="s">
        <v>169</v>
      </c>
      <c r="B648" t="str">
        <f>"44020"</f>
        <v>44020</v>
      </c>
      <c r="C648" t="str">
        <f>"001A"</f>
        <v>001A</v>
      </c>
      <c r="D648">
        <v>2015</v>
      </c>
      <c r="E648" s="3">
        <v>18037400</v>
      </c>
      <c r="F648" s="3">
        <v>18029700</v>
      </c>
      <c r="G648" t="s">
        <v>11</v>
      </c>
      <c r="H648" s="5" t="s">
        <v>30</v>
      </c>
      <c r="I648" t="s">
        <v>13</v>
      </c>
      <c r="J648" t="s">
        <v>13</v>
      </c>
    </row>
    <row r="649" spans="1:11" x14ac:dyDescent="0.35">
      <c r="A649" t="s">
        <v>5</v>
      </c>
      <c r="B649" t="str">
        <f>"44020"</f>
        <v>44020</v>
      </c>
      <c r="C649" t="str">
        <f>"002A"</f>
        <v>002A</v>
      </c>
      <c r="D649">
        <v>2016</v>
      </c>
      <c r="E649" s="3">
        <v>71764100</v>
      </c>
      <c r="F649" s="3">
        <v>54549700</v>
      </c>
      <c r="G649" t="s">
        <v>11</v>
      </c>
      <c r="H649" s="5" t="s">
        <v>30</v>
      </c>
      <c r="I649" t="s">
        <v>13</v>
      </c>
      <c r="J649" t="s">
        <v>13</v>
      </c>
    </row>
    <row r="650" spans="1:11" x14ac:dyDescent="0.35">
      <c r="A650" t="s">
        <v>5</v>
      </c>
      <c r="B650" t="str">
        <f>"44020"</f>
        <v>44020</v>
      </c>
      <c r="C650" t="str">
        <f>"003A"</f>
        <v>003A</v>
      </c>
      <c r="D650">
        <v>2017</v>
      </c>
      <c r="E650" s="3">
        <v>35733700</v>
      </c>
      <c r="F650" s="3">
        <v>21000300</v>
      </c>
      <c r="G650" t="s">
        <v>11</v>
      </c>
      <c r="H650" s="5" t="s">
        <v>30</v>
      </c>
      <c r="I650" t="s">
        <v>13</v>
      </c>
      <c r="J650" t="s">
        <v>13</v>
      </c>
    </row>
    <row r="651" spans="1:11" x14ac:dyDescent="0.35">
      <c r="A651" t="s">
        <v>5</v>
      </c>
      <c r="B651" t="str">
        <f>"44020"</f>
        <v>44020</v>
      </c>
      <c r="C651" t="str">
        <f>"004A"</f>
        <v>004A</v>
      </c>
      <c r="D651">
        <v>2018</v>
      </c>
      <c r="E651" s="3">
        <v>15219500</v>
      </c>
      <c r="F651" s="3">
        <v>11552300</v>
      </c>
      <c r="G651" t="s">
        <v>11</v>
      </c>
      <c r="H651" s="5" t="s">
        <v>30</v>
      </c>
      <c r="I651" t="s">
        <v>13</v>
      </c>
      <c r="J651" t="s">
        <v>13</v>
      </c>
    </row>
    <row r="652" spans="1:11" x14ac:dyDescent="0.35">
      <c r="A652" t="s">
        <v>31</v>
      </c>
      <c r="B652" t="s">
        <v>13</v>
      </c>
      <c r="C652" t="s">
        <v>7</v>
      </c>
      <c r="D652" t="s">
        <v>8</v>
      </c>
      <c r="E652" s="3">
        <v>140754700</v>
      </c>
      <c r="F652" s="3">
        <v>105132000</v>
      </c>
      <c r="G652" t="s">
        <v>11</v>
      </c>
      <c r="H652" s="5">
        <v>3431844100</v>
      </c>
      <c r="I652" t="s">
        <v>13</v>
      </c>
      <c r="J652" t="s">
        <v>13</v>
      </c>
      <c r="K652">
        <v>3.06</v>
      </c>
    </row>
    <row r="654" spans="1:11" x14ac:dyDescent="0.35">
      <c r="A654" t="s">
        <v>170</v>
      </c>
      <c r="B654" t="str">
        <f>"10131"</f>
        <v>10131</v>
      </c>
      <c r="C654" t="str">
        <f>"001"</f>
        <v>001</v>
      </c>
      <c r="D654">
        <v>2009</v>
      </c>
      <c r="E654" s="3">
        <v>2330000</v>
      </c>
      <c r="F654" s="3">
        <v>967000</v>
      </c>
      <c r="G654" t="s">
        <v>11</v>
      </c>
      <c r="H654" s="5" t="s">
        <v>30</v>
      </c>
      <c r="I654" t="s">
        <v>13</v>
      </c>
      <c r="J654" t="s">
        <v>13</v>
      </c>
    </row>
    <row r="655" spans="1:11" x14ac:dyDescent="0.35">
      <c r="A655" t="s">
        <v>31</v>
      </c>
      <c r="B655" t="s">
        <v>13</v>
      </c>
      <c r="C655" t="s">
        <v>7</v>
      </c>
      <c r="D655" t="s">
        <v>8</v>
      </c>
      <c r="E655" s="3">
        <v>2330000</v>
      </c>
      <c r="F655" s="3">
        <v>967000</v>
      </c>
      <c r="G655" t="s">
        <v>11</v>
      </c>
      <c r="H655" s="5">
        <v>15971100</v>
      </c>
      <c r="I655" t="s">
        <v>13</v>
      </c>
      <c r="J655" t="s">
        <v>13</v>
      </c>
      <c r="K655">
        <v>6.05</v>
      </c>
    </row>
    <row r="657" spans="1:11" x14ac:dyDescent="0.35">
      <c r="A657" t="s">
        <v>171</v>
      </c>
      <c r="B657" t="str">
        <f>"07131"</f>
        <v>07131</v>
      </c>
      <c r="C657" t="str">
        <f>"004"</f>
        <v>004</v>
      </c>
      <c r="D657">
        <v>2005</v>
      </c>
      <c r="E657" s="3">
        <v>5319800</v>
      </c>
      <c r="F657" s="3">
        <v>4228800</v>
      </c>
      <c r="G657" t="s">
        <v>11</v>
      </c>
      <c r="H657" s="5" t="s">
        <v>30</v>
      </c>
      <c r="I657" t="s">
        <v>13</v>
      </c>
      <c r="J657" t="s">
        <v>13</v>
      </c>
    </row>
    <row r="658" spans="1:11" x14ac:dyDescent="0.35">
      <c r="A658" t="s">
        <v>5</v>
      </c>
      <c r="B658" t="str">
        <f>"07131"</f>
        <v>07131</v>
      </c>
      <c r="C658" t="str">
        <f>"005"</f>
        <v>005</v>
      </c>
      <c r="D658">
        <v>2008</v>
      </c>
      <c r="E658" s="3">
        <v>746600</v>
      </c>
      <c r="F658" s="3">
        <v>644600</v>
      </c>
      <c r="G658" t="s">
        <v>11</v>
      </c>
      <c r="H658" s="5" t="s">
        <v>30</v>
      </c>
      <c r="I658" t="s">
        <v>13</v>
      </c>
      <c r="J658" t="s">
        <v>13</v>
      </c>
    </row>
    <row r="659" spans="1:11" x14ac:dyDescent="0.35">
      <c r="A659" t="s">
        <v>5</v>
      </c>
      <c r="B659" t="str">
        <f>"07131"</f>
        <v>07131</v>
      </c>
      <c r="C659" t="str">
        <f>"006"</f>
        <v>006</v>
      </c>
      <c r="D659">
        <v>2021</v>
      </c>
      <c r="E659" s="3">
        <v>4331500</v>
      </c>
      <c r="F659" s="3">
        <v>422900</v>
      </c>
      <c r="G659" t="s">
        <v>11</v>
      </c>
      <c r="H659" s="5" t="s">
        <v>30</v>
      </c>
      <c r="I659" t="s">
        <v>13</v>
      </c>
      <c r="J659" t="s">
        <v>13</v>
      </c>
    </row>
    <row r="660" spans="1:11" x14ac:dyDescent="0.35">
      <c r="A660" t="s">
        <v>31</v>
      </c>
      <c r="B660" t="s">
        <v>13</v>
      </c>
      <c r="C660" t="s">
        <v>7</v>
      </c>
      <c r="D660" t="s">
        <v>8</v>
      </c>
      <c r="E660" s="3">
        <v>10397900</v>
      </c>
      <c r="F660" s="3">
        <v>5296300</v>
      </c>
      <c r="G660" t="s">
        <v>11</v>
      </c>
      <c r="H660" s="5">
        <v>89953200</v>
      </c>
      <c r="I660" t="s">
        <v>13</v>
      </c>
      <c r="J660" t="s">
        <v>13</v>
      </c>
      <c r="K660">
        <v>5.89</v>
      </c>
    </row>
    <row r="662" spans="1:11" x14ac:dyDescent="0.35">
      <c r="A662" t="s">
        <v>172</v>
      </c>
      <c r="B662" t="str">
        <f>"33131"</f>
        <v>33131</v>
      </c>
      <c r="C662" t="str">
        <f>"001"</f>
        <v>001</v>
      </c>
      <c r="D662">
        <v>2001</v>
      </c>
      <c r="E662" s="3">
        <v>1938500</v>
      </c>
      <c r="F662" s="3">
        <v>1488600</v>
      </c>
      <c r="G662" t="s">
        <v>11</v>
      </c>
      <c r="H662" s="5" t="s">
        <v>30</v>
      </c>
      <c r="I662" t="s">
        <v>13</v>
      </c>
      <c r="J662" t="s">
        <v>13</v>
      </c>
    </row>
    <row r="663" spans="1:11" x14ac:dyDescent="0.35">
      <c r="A663" t="s">
        <v>31</v>
      </c>
      <c r="B663" t="s">
        <v>13</v>
      </c>
      <c r="C663" t="s">
        <v>7</v>
      </c>
      <c r="D663" t="s">
        <v>8</v>
      </c>
      <c r="E663" s="3">
        <v>1938500</v>
      </c>
      <c r="F663" s="3">
        <v>1488600</v>
      </c>
      <c r="G663" t="s">
        <v>11</v>
      </c>
      <c r="H663" s="5">
        <v>11151100</v>
      </c>
      <c r="I663" t="s">
        <v>13</v>
      </c>
      <c r="J663" t="s">
        <v>13</v>
      </c>
      <c r="K663">
        <v>13.35</v>
      </c>
    </row>
    <row r="665" spans="1:11" x14ac:dyDescent="0.35">
      <c r="A665" t="s">
        <v>173</v>
      </c>
      <c r="B665" t="str">
        <f t="shared" ref="B665:B677" si="10">"05231"</f>
        <v>05231</v>
      </c>
      <c r="C665" t="str">
        <f>"004"</f>
        <v>004</v>
      </c>
      <c r="D665">
        <v>1998</v>
      </c>
      <c r="E665" s="3">
        <v>55303900</v>
      </c>
      <c r="F665" s="3">
        <v>28349900</v>
      </c>
      <c r="G665" t="s">
        <v>11</v>
      </c>
      <c r="H665" s="5" t="s">
        <v>30</v>
      </c>
      <c r="I665" t="s">
        <v>13</v>
      </c>
      <c r="J665" t="s">
        <v>13</v>
      </c>
    </row>
    <row r="666" spans="1:11" x14ac:dyDescent="0.35">
      <c r="A666" t="s">
        <v>5</v>
      </c>
      <c r="B666" t="str">
        <f t="shared" si="10"/>
        <v>05231</v>
      </c>
      <c r="C666" t="str">
        <f>"005"</f>
        <v>005</v>
      </c>
      <c r="D666">
        <v>2000</v>
      </c>
      <c r="E666" s="3">
        <v>136130600</v>
      </c>
      <c r="F666" s="3">
        <v>80881200</v>
      </c>
      <c r="G666" t="s">
        <v>11</v>
      </c>
      <c r="H666" s="5" t="s">
        <v>30</v>
      </c>
      <c r="I666" t="s">
        <v>13</v>
      </c>
      <c r="J666" t="s">
        <v>13</v>
      </c>
    </row>
    <row r="667" spans="1:11" x14ac:dyDescent="0.35">
      <c r="A667" t="s">
        <v>5</v>
      </c>
      <c r="B667" t="str">
        <f t="shared" si="10"/>
        <v>05231</v>
      </c>
      <c r="C667" t="str">
        <f>"010"</f>
        <v>010</v>
      </c>
      <c r="D667">
        <v>2004</v>
      </c>
      <c r="E667" s="3">
        <v>36158000</v>
      </c>
      <c r="F667" s="3">
        <v>11755500</v>
      </c>
      <c r="G667" t="s">
        <v>11</v>
      </c>
      <c r="H667" s="5" t="s">
        <v>30</v>
      </c>
      <c r="I667" t="s">
        <v>13</v>
      </c>
      <c r="J667" t="s">
        <v>13</v>
      </c>
    </row>
    <row r="668" spans="1:11" x14ac:dyDescent="0.35">
      <c r="A668" t="s">
        <v>5</v>
      </c>
      <c r="B668" t="str">
        <f t="shared" si="10"/>
        <v>05231</v>
      </c>
      <c r="C668" t="str">
        <f>"012"</f>
        <v>012</v>
      </c>
      <c r="D668">
        <v>2005</v>
      </c>
      <c r="E668" s="3">
        <v>271535800</v>
      </c>
      <c r="F668" s="3">
        <v>74944000</v>
      </c>
      <c r="G668" t="s">
        <v>11</v>
      </c>
      <c r="H668" s="5" t="s">
        <v>30</v>
      </c>
      <c r="I668" t="s">
        <v>13</v>
      </c>
      <c r="J668" t="s">
        <v>13</v>
      </c>
    </row>
    <row r="669" spans="1:11" x14ac:dyDescent="0.35">
      <c r="A669" t="s">
        <v>5</v>
      </c>
      <c r="B669" t="str">
        <f t="shared" si="10"/>
        <v>05231</v>
      </c>
      <c r="C669" t="str">
        <f>"013"</f>
        <v>013</v>
      </c>
      <c r="D669">
        <v>2005</v>
      </c>
      <c r="E669" s="3">
        <v>162825400</v>
      </c>
      <c r="F669" s="3">
        <v>116464900</v>
      </c>
      <c r="G669" t="s">
        <v>11</v>
      </c>
      <c r="H669" s="5" t="s">
        <v>30</v>
      </c>
      <c r="I669" t="s">
        <v>13</v>
      </c>
      <c r="J669" t="s">
        <v>13</v>
      </c>
    </row>
    <row r="670" spans="1:11" x14ac:dyDescent="0.35">
      <c r="A670" t="s">
        <v>5</v>
      </c>
      <c r="B670" t="str">
        <f t="shared" si="10"/>
        <v>05231</v>
      </c>
      <c r="C670" t="str">
        <f>"014"</f>
        <v>014</v>
      </c>
      <c r="D670">
        <v>2006</v>
      </c>
      <c r="E670" s="3">
        <v>30754800</v>
      </c>
      <c r="F670" s="3">
        <v>24599300</v>
      </c>
      <c r="G670" t="s">
        <v>11</v>
      </c>
      <c r="H670" s="5" t="s">
        <v>30</v>
      </c>
      <c r="I670" t="s">
        <v>13</v>
      </c>
      <c r="J670" t="s">
        <v>13</v>
      </c>
    </row>
    <row r="671" spans="1:11" x14ac:dyDescent="0.35">
      <c r="A671" t="s">
        <v>5</v>
      </c>
      <c r="B671" t="str">
        <f t="shared" si="10"/>
        <v>05231</v>
      </c>
      <c r="C671" t="str">
        <f>"016"</f>
        <v>016</v>
      </c>
      <c r="D671">
        <v>2007</v>
      </c>
      <c r="E671" s="3">
        <v>106493700</v>
      </c>
      <c r="F671" s="3">
        <v>24130500</v>
      </c>
      <c r="G671" t="s">
        <v>11</v>
      </c>
      <c r="H671" s="5" t="s">
        <v>30</v>
      </c>
      <c r="I671" t="s">
        <v>13</v>
      </c>
      <c r="J671" t="s">
        <v>13</v>
      </c>
    </row>
    <row r="672" spans="1:11" x14ac:dyDescent="0.35">
      <c r="A672" t="s">
        <v>5</v>
      </c>
      <c r="B672" t="str">
        <f t="shared" si="10"/>
        <v>05231</v>
      </c>
      <c r="C672" t="str">
        <f>"018"</f>
        <v>018</v>
      </c>
      <c r="D672">
        <v>2016</v>
      </c>
      <c r="E672" s="3">
        <v>63310500</v>
      </c>
      <c r="F672" s="3">
        <v>33549800</v>
      </c>
      <c r="G672" t="s">
        <v>11</v>
      </c>
      <c r="H672" s="5" t="s">
        <v>30</v>
      </c>
      <c r="I672" t="s">
        <v>13</v>
      </c>
      <c r="J672" t="s">
        <v>13</v>
      </c>
    </row>
    <row r="673" spans="1:11" x14ac:dyDescent="0.35">
      <c r="A673" t="s">
        <v>5</v>
      </c>
      <c r="B673" t="str">
        <f t="shared" si="10"/>
        <v>05231</v>
      </c>
      <c r="C673" t="str">
        <f>"019"</f>
        <v>019</v>
      </c>
      <c r="D673">
        <v>2017</v>
      </c>
      <c r="E673" s="3">
        <v>40281200</v>
      </c>
      <c r="F673" s="3">
        <v>13253700</v>
      </c>
      <c r="G673" t="s">
        <v>11</v>
      </c>
      <c r="H673" s="5" t="s">
        <v>30</v>
      </c>
      <c r="I673" t="s">
        <v>13</v>
      </c>
      <c r="J673" t="s">
        <v>13</v>
      </c>
    </row>
    <row r="674" spans="1:11" x14ac:dyDescent="0.35">
      <c r="A674" t="s">
        <v>5</v>
      </c>
      <c r="B674" t="str">
        <f t="shared" si="10"/>
        <v>05231</v>
      </c>
      <c r="C674" t="str">
        <f>"020"</f>
        <v>020</v>
      </c>
      <c r="D674">
        <v>2018</v>
      </c>
      <c r="E674" s="3">
        <v>13175500</v>
      </c>
      <c r="F674" s="3">
        <v>7890400</v>
      </c>
      <c r="G674" t="s">
        <v>11</v>
      </c>
      <c r="H674" s="5" t="s">
        <v>30</v>
      </c>
      <c r="I674" t="s">
        <v>13</v>
      </c>
      <c r="J674" t="s">
        <v>13</v>
      </c>
    </row>
    <row r="675" spans="1:11" x14ac:dyDescent="0.35">
      <c r="A675" t="s">
        <v>5</v>
      </c>
      <c r="B675" t="str">
        <f t="shared" si="10"/>
        <v>05231</v>
      </c>
      <c r="C675" t="str">
        <f>"021"</f>
        <v>021</v>
      </c>
      <c r="D675">
        <v>2018</v>
      </c>
      <c r="E675" s="3">
        <v>118661500</v>
      </c>
      <c r="F675" s="3">
        <v>93215200</v>
      </c>
      <c r="G675" t="s">
        <v>11</v>
      </c>
      <c r="H675" s="5" t="s">
        <v>30</v>
      </c>
      <c r="I675" t="s">
        <v>13</v>
      </c>
      <c r="J675" t="s">
        <v>13</v>
      </c>
    </row>
    <row r="676" spans="1:11" x14ac:dyDescent="0.35">
      <c r="A676" t="s">
        <v>5</v>
      </c>
      <c r="B676" t="str">
        <f t="shared" si="10"/>
        <v>05231</v>
      </c>
      <c r="C676" t="str">
        <f>"022"</f>
        <v>022</v>
      </c>
      <c r="D676">
        <v>2019</v>
      </c>
      <c r="E676" s="3">
        <v>4131100</v>
      </c>
      <c r="F676" s="3">
        <v>189700</v>
      </c>
      <c r="G676" t="s">
        <v>11</v>
      </c>
      <c r="H676" s="5" t="s">
        <v>30</v>
      </c>
      <c r="I676" t="s">
        <v>13</v>
      </c>
      <c r="J676" t="s">
        <v>13</v>
      </c>
    </row>
    <row r="677" spans="1:11" x14ac:dyDescent="0.35">
      <c r="A677" t="s">
        <v>5</v>
      </c>
      <c r="B677" t="str">
        <f t="shared" si="10"/>
        <v>05231</v>
      </c>
      <c r="C677" t="str">
        <f>"023"</f>
        <v>023</v>
      </c>
      <c r="D677">
        <v>2019</v>
      </c>
      <c r="E677" s="3">
        <v>14069500</v>
      </c>
      <c r="F677" s="3">
        <v>2042100</v>
      </c>
      <c r="G677" t="s">
        <v>11</v>
      </c>
      <c r="H677" s="5" t="s">
        <v>30</v>
      </c>
      <c r="I677" t="s">
        <v>13</v>
      </c>
      <c r="J677" t="s">
        <v>13</v>
      </c>
    </row>
    <row r="678" spans="1:11" x14ac:dyDescent="0.35">
      <c r="A678" t="s">
        <v>31</v>
      </c>
      <c r="B678" t="s">
        <v>13</v>
      </c>
      <c r="C678" t="s">
        <v>7</v>
      </c>
      <c r="D678" t="s">
        <v>8</v>
      </c>
      <c r="E678" s="3">
        <v>1052831500</v>
      </c>
      <c r="F678" s="3">
        <v>511266200</v>
      </c>
      <c r="G678" t="s">
        <v>11</v>
      </c>
      <c r="H678" s="5">
        <v>9135224100</v>
      </c>
      <c r="I678" t="s">
        <v>13</v>
      </c>
      <c r="J678" t="s">
        <v>13</v>
      </c>
      <c r="K678">
        <v>5.6</v>
      </c>
    </row>
    <row r="680" spans="1:11" x14ac:dyDescent="0.35">
      <c r="A680" t="s">
        <v>174</v>
      </c>
      <c r="B680" t="str">
        <f>"24231"</f>
        <v>24231</v>
      </c>
      <c r="C680" t="str">
        <f>"003"</f>
        <v>003</v>
      </c>
      <c r="D680">
        <v>2005</v>
      </c>
      <c r="E680" s="3">
        <v>30548000</v>
      </c>
      <c r="F680" s="3">
        <v>21552200</v>
      </c>
      <c r="G680" t="s">
        <v>11</v>
      </c>
      <c r="H680" s="5" t="s">
        <v>30</v>
      </c>
      <c r="I680" t="s">
        <v>13</v>
      </c>
      <c r="J680" t="s">
        <v>13</v>
      </c>
    </row>
    <row r="681" spans="1:11" x14ac:dyDescent="0.35">
      <c r="A681" t="s">
        <v>5</v>
      </c>
      <c r="B681" t="str">
        <f>"24231"</f>
        <v>24231</v>
      </c>
      <c r="C681" t="str">
        <f>"004"</f>
        <v>004</v>
      </c>
      <c r="D681">
        <v>2009</v>
      </c>
      <c r="E681" s="3">
        <v>196700</v>
      </c>
      <c r="F681" s="3">
        <v>-41000</v>
      </c>
      <c r="G681" t="s">
        <v>52</v>
      </c>
      <c r="H681" s="5" t="s">
        <v>30</v>
      </c>
      <c r="I681" t="s">
        <v>13</v>
      </c>
      <c r="J681" t="s">
        <v>13</v>
      </c>
    </row>
    <row r="682" spans="1:11" x14ac:dyDescent="0.35">
      <c r="A682" t="s">
        <v>5</v>
      </c>
      <c r="B682" t="str">
        <f>"24231"</f>
        <v>24231</v>
      </c>
      <c r="C682" t="str">
        <f>"005"</f>
        <v>005</v>
      </c>
      <c r="D682">
        <v>2020</v>
      </c>
      <c r="E682" s="3">
        <v>14347800</v>
      </c>
      <c r="F682" s="3">
        <v>8674200</v>
      </c>
      <c r="G682" t="s">
        <v>11</v>
      </c>
      <c r="H682" s="5" t="s">
        <v>30</v>
      </c>
      <c r="I682" t="s">
        <v>13</v>
      </c>
      <c r="J682" t="s">
        <v>13</v>
      </c>
    </row>
    <row r="683" spans="1:11" x14ac:dyDescent="0.35">
      <c r="A683" t="s">
        <v>5</v>
      </c>
      <c r="B683" t="str">
        <f>"24231"</f>
        <v>24231</v>
      </c>
      <c r="C683" t="str">
        <f>"006"</f>
        <v>006</v>
      </c>
      <c r="D683">
        <v>2021</v>
      </c>
      <c r="E683" s="3">
        <v>750500</v>
      </c>
      <c r="F683" s="3">
        <v>121800</v>
      </c>
      <c r="G683" t="s">
        <v>11</v>
      </c>
      <c r="H683" s="5" t="s">
        <v>30</v>
      </c>
      <c r="I683" t="s">
        <v>13</v>
      </c>
      <c r="J683" t="s">
        <v>13</v>
      </c>
    </row>
    <row r="684" spans="1:11" x14ac:dyDescent="0.35">
      <c r="A684" t="s">
        <v>31</v>
      </c>
      <c r="B684" t="s">
        <v>13</v>
      </c>
      <c r="C684" t="s">
        <v>7</v>
      </c>
      <c r="D684" t="s">
        <v>8</v>
      </c>
      <c r="E684" s="3">
        <v>45843000</v>
      </c>
      <c r="F684" s="3">
        <v>30348200</v>
      </c>
      <c r="G684" t="s">
        <v>11</v>
      </c>
      <c r="H684" s="5">
        <v>319458700</v>
      </c>
      <c r="I684" t="s">
        <v>13</v>
      </c>
      <c r="J684" t="s">
        <v>13</v>
      </c>
      <c r="K684">
        <v>9.5</v>
      </c>
    </row>
    <row r="686" spans="1:11" x14ac:dyDescent="0.35">
      <c r="A686" t="s">
        <v>175</v>
      </c>
      <c r="B686" t="str">
        <f>"40131"</f>
        <v>40131</v>
      </c>
      <c r="C686" t="str">
        <f>"001"</f>
        <v>001</v>
      </c>
      <c r="D686">
        <v>2010</v>
      </c>
      <c r="E686" s="3">
        <v>10843900</v>
      </c>
      <c r="F686" s="3">
        <v>10220800</v>
      </c>
      <c r="G686" t="s">
        <v>11</v>
      </c>
      <c r="H686" s="5" t="s">
        <v>30</v>
      </c>
      <c r="I686" t="s">
        <v>13</v>
      </c>
      <c r="J686" t="s">
        <v>13</v>
      </c>
    </row>
    <row r="687" spans="1:11" x14ac:dyDescent="0.35">
      <c r="A687" t="s">
        <v>5</v>
      </c>
      <c r="B687" t="str">
        <f>"40131"</f>
        <v>40131</v>
      </c>
      <c r="C687" t="str">
        <f>"002"</f>
        <v>002</v>
      </c>
      <c r="D687">
        <v>2011</v>
      </c>
      <c r="E687" s="3">
        <v>129733200</v>
      </c>
      <c r="F687" s="3">
        <v>24240100</v>
      </c>
      <c r="G687" t="s">
        <v>11</v>
      </c>
      <c r="H687" s="5" t="s">
        <v>30</v>
      </c>
      <c r="I687" t="s">
        <v>13</v>
      </c>
      <c r="J687" t="s">
        <v>13</v>
      </c>
    </row>
    <row r="688" spans="1:11" x14ac:dyDescent="0.35">
      <c r="A688" t="s">
        <v>5</v>
      </c>
      <c r="B688" t="str">
        <f>"40131"</f>
        <v>40131</v>
      </c>
      <c r="C688" t="str">
        <f>"004"</f>
        <v>004</v>
      </c>
      <c r="D688">
        <v>2016</v>
      </c>
      <c r="E688" s="3">
        <v>32158700</v>
      </c>
      <c r="F688" s="3">
        <v>24681900</v>
      </c>
      <c r="G688" t="s">
        <v>11</v>
      </c>
      <c r="H688" s="5" t="s">
        <v>30</v>
      </c>
      <c r="I688" t="s">
        <v>13</v>
      </c>
      <c r="J688" t="s">
        <v>13</v>
      </c>
    </row>
    <row r="689" spans="1:11" x14ac:dyDescent="0.35">
      <c r="A689" t="s">
        <v>5</v>
      </c>
      <c r="B689" t="str">
        <f>"40131"</f>
        <v>40131</v>
      </c>
      <c r="C689" t="str">
        <f>"005"</f>
        <v>005</v>
      </c>
      <c r="D689">
        <v>2018</v>
      </c>
      <c r="E689" s="3">
        <v>21329900</v>
      </c>
      <c r="F689" s="3">
        <v>16180700</v>
      </c>
      <c r="G689" t="s">
        <v>11</v>
      </c>
      <c r="H689" s="5" t="s">
        <v>30</v>
      </c>
      <c r="I689" t="s">
        <v>13</v>
      </c>
      <c r="J689" t="s">
        <v>13</v>
      </c>
    </row>
    <row r="690" spans="1:11" x14ac:dyDescent="0.35">
      <c r="A690" t="s">
        <v>31</v>
      </c>
      <c r="B690" t="s">
        <v>13</v>
      </c>
      <c r="C690" t="s">
        <v>7</v>
      </c>
      <c r="D690" t="s">
        <v>8</v>
      </c>
      <c r="E690" s="3">
        <v>194065700</v>
      </c>
      <c r="F690" s="3">
        <v>75323500</v>
      </c>
      <c r="G690" t="s">
        <v>11</v>
      </c>
      <c r="H690" s="5">
        <v>1778430400</v>
      </c>
      <c r="I690" t="s">
        <v>13</v>
      </c>
      <c r="J690" t="s">
        <v>13</v>
      </c>
      <c r="K690">
        <v>4.24</v>
      </c>
    </row>
    <row r="692" spans="1:11" x14ac:dyDescent="0.35">
      <c r="A692" t="s">
        <v>176</v>
      </c>
      <c r="B692" t="str">
        <f>"40236"</f>
        <v>40236</v>
      </c>
      <c r="C692" t="str">
        <f>"002"</f>
        <v>002</v>
      </c>
      <c r="D692">
        <v>2007</v>
      </c>
      <c r="E692" s="3">
        <v>79620500</v>
      </c>
      <c r="F692" s="3">
        <v>64645900</v>
      </c>
      <c r="G692" t="s">
        <v>11</v>
      </c>
      <c r="H692" s="5" t="s">
        <v>30</v>
      </c>
      <c r="I692" t="s">
        <v>13</v>
      </c>
      <c r="J692" t="s">
        <v>13</v>
      </c>
    </row>
    <row r="693" spans="1:11" x14ac:dyDescent="0.35">
      <c r="A693" t="s">
        <v>5</v>
      </c>
      <c r="B693" t="str">
        <f>"40236"</f>
        <v>40236</v>
      </c>
      <c r="C693" t="str">
        <f>"004"</f>
        <v>004</v>
      </c>
      <c r="D693">
        <v>2015</v>
      </c>
      <c r="E693" s="3">
        <v>73580300</v>
      </c>
      <c r="F693" s="3">
        <v>48141600</v>
      </c>
      <c r="G693" t="s">
        <v>11</v>
      </c>
      <c r="H693" s="5" t="s">
        <v>30</v>
      </c>
      <c r="I693" t="s">
        <v>13</v>
      </c>
      <c r="J693" t="s">
        <v>13</v>
      </c>
    </row>
    <row r="694" spans="1:11" x14ac:dyDescent="0.35">
      <c r="A694" t="s">
        <v>5</v>
      </c>
      <c r="B694" t="str">
        <f>"40236"</f>
        <v>40236</v>
      </c>
      <c r="C694" t="str">
        <f>"006"</f>
        <v>006</v>
      </c>
      <c r="D694">
        <v>2015</v>
      </c>
      <c r="E694" s="3">
        <v>213293600</v>
      </c>
      <c r="F694" s="3">
        <v>205334500</v>
      </c>
      <c r="G694" t="s">
        <v>11</v>
      </c>
      <c r="H694" s="5" t="s">
        <v>30</v>
      </c>
      <c r="I694" t="s">
        <v>13</v>
      </c>
      <c r="J694" t="s">
        <v>13</v>
      </c>
    </row>
    <row r="695" spans="1:11" x14ac:dyDescent="0.35">
      <c r="A695" t="s">
        <v>5</v>
      </c>
      <c r="B695" t="str">
        <f>"40236"</f>
        <v>40236</v>
      </c>
      <c r="C695" t="str">
        <f>"007"</f>
        <v>007</v>
      </c>
      <c r="D695">
        <v>2020</v>
      </c>
      <c r="E695" s="3">
        <v>18310600</v>
      </c>
      <c r="F695" s="3">
        <v>16155100</v>
      </c>
      <c r="G695" t="s">
        <v>11</v>
      </c>
      <c r="H695" s="5" t="s">
        <v>30</v>
      </c>
      <c r="I695" t="s">
        <v>13</v>
      </c>
      <c r="J695" t="s">
        <v>13</v>
      </c>
    </row>
    <row r="696" spans="1:11" x14ac:dyDescent="0.35">
      <c r="A696" t="s">
        <v>5</v>
      </c>
      <c r="B696" t="str">
        <f>"40236"</f>
        <v>40236</v>
      </c>
      <c r="C696" t="str">
        <f>"008"</f>
        <v>008</v>
      </c>
      <c r="D696">
        <v>2021</v>
      </c>
      <c r="E696" s="3">
        <v>13086700</v>
      </c>
      <c r="F696" s="3">
        <v>6539000</v>
      </c>
      <c r="G696" t="s">
        <v>11</v>
      </c>
      <c r="H696" s="5" t="s">
        <v>30</v>
      </c>
      <c r="I696" t="s">
        <v>13</v>
      </c>
      <c r="J696" t="s">
        <v>13</v>
      </c>
    </row>
    <row r="697" spans="1:11" x14ac:dyDescent="0.35">
      <c r="A697" t="s">
        <v>31</v>
      </c>
      <c r="B697" t="s">
        <v>13</v>
      </c>
      <c r="C697" t="s">
        <v>7</v>
      </c>
      <c r="D697" t="s">
        <v>8</v>
      </c>
      <c r="E697" s="3">
        <v>397891700</v>
      </c>
      <c r="F697" s="3">
        <v>340816100</v>
      </c>
      <c r="G697" t="s">
        <v>11</v>
      </c>
      <c r="H697" s="5">
        <v>4053650500</v>
      </c>
      <c r="I697" t="s">
        <v>13</v>
      </c>
      <c r="J697" t="s">
        <v>13</v>
      </c>
      <c r="K697">
        <v>8.41</v>
      </c>
    </row>
    <row r="699" spans="1:11" x14ac:dyDescent="0.35">
      <c r="A699" t="s">
        <v>177</v>
      </c>
      <c r="B699" t="str">
        <f>"44122"</f>
        <v>44122</v>
      </c>
      <c r="C699" t="str">
        <f>"001"</f>
        <v>001</v>
      </c>
      <c r="D699">
        <v>2017</v>
      </c>
      <c r="E699" s="3">
        <v>33592900</v>
      </c>
      <c r="F699" s="3">
        <v>22082400</v>
      </c>
      <c r="G699" t="s">
        <v>11</v>
      </c>
      <c r="H699" s="5" t="s">
        <v>30</v>
      </c>
      <c r="I699" t="s">
        <v>13</v>
      </c>
      <c r="J699" t="s">
        <v>13</v>
      </c>
    </row>
    <row r="700" spans="1:11" x14ac:dyDescent="0.35">
      <c r="A700" t="s">
        <v>31</v>
      </c>
      <c r="B700" t="s">
        <v>13</v>
      </c>
      <c r="C700" t="s">
        <v>7</v>
      </c>
      <c r="D700" t="s">
        <v>8</v>
      </c>
      <c r="E700" s="3">
        <v>33592900</v>
      </c>
      <c r="F700" s="3">
        <v>22082400</v>
      </c>
      <c r="G700" t="s">
        <v>11</v>
      </c>
      <c r="H700" s="5">
        <v>1811713700</v>
      </c>
      <c r="I700" t="s">
        <v>13</v>
      </c>
      <c r="J700" t="s">
        <v>13</v>
      </c>
      <c r="K700">
        <v>1.22</v>
      </c>
    </row>
    <row r="702" spans="1:11" x14ac:dyDescent="0.35">
      <c r="A702" t="s">
        <v>178</v>
      </c>
      <c r="B702" t="str">
        <f>"10231"</f>
        <v>10231</v>
      </c>
      <c r="C702" t="str">
        <f>"002"</f>
        <v>002</v>
      </c>
      <c r="D702">
        <v>1998</v>
      </c>
      <c r="E702" s="3">
        <v>338400</v>
      </c>
      <c r="F702" s="3">
        <v>280100</v>
      </c>
      <c r="G702" t="s">
        <v>11</v>
      </c>
      <c r="H702" s="5" t="s">
        <v>30</v>
      </c>
      <c r="I702" t="s">
        <v>13</v>
      </c>
      <c r="J702" t="s">
        <v>13</v>
      </c>
    </row>
    <row r="703" spans="1:11" x14ac:dyDescent="0.35">
      <c r="A703" t="s">
        <v>5</v>
      </c>
      <c r="B703" t="str">
        <f>"10231"</f>
        <v>10231</v>
      </c>
      <c r="C703" t="str">
        <f>"003"</f>
        <v>003</v>
      </c>
      <c r="D703">
        <v>2019</v>
      </c>
      <c r="E703" s="3">
        <v>3405100</v>
      </c>
      <c r="F703" s="3">
        <v>3010400</v>
      </c>
      <c r="G703" t="s">
        <v>11</v>
      </c>
      <c r="H703" s="5" t="s">
        <v>30</v>
      </c>
      <c r="I703" t="s">
        <v>13</v>
      </c>
      <c r="J703" t="s">
        <v>13</v>
      </c>
    </row>
    <row r="704" spans="1:11" x14ac:dyDescent="0.35">
      <c r="A704" t="s">
        <v>31</v>
      </c>
      <c r="B704" t="s">
        <v>13</v>
      </c>
      <c r="C704" t="s">
        <v>7</v>
      </c>
      <c r="D704" t="s">
        <v>8</v>
      </c>
      <c r="E704" s="3">
        <v>3743500</v>
      </c>
      <c r="F704" s="3">
        <v>3290500</v>
      </c>
      <c r="G704" t="s">
        <v>11</v>
      </c>
      <c r="H704" s="5">
        <v>61828800</v>
      </c>
      <c r="I704" t="s">
        <v>13</v>
      </c>
      <c r="J704" t="s">
        <v>13</v>
      </c>
      <c r="K704">
        <v>5.32</v>
      </c>
    </row>
    <row r="706" spans="1:11" x14ac:dyDescent="0.35">
      <c r="A706" t="s">
        <v>179</v>
      </c>
      <c r="B706" t="str">
        <f>"58131"</f>
        <v>58131</v>
      </c>
      <c r="C706" t="str">
        <f>"001"</f>
        <v>001</v>
      </c>
      <c r="D706">
        <v>2011</v>
      </c>
      <c r="E706" s="3">
        <v>1755900</v>
      </c>
      <c r="F706" s="3">
        <v>504400</v>
      </c>
      <c r="G706" t="s">
        <v>11</v>
      </c>
      <c r="H706" s="5" t="s">
        <v>30</v>
      </c>
      <c r="I706" t="s">
        <v>13</v>
      </c>
      <c r="J706" t="s">
        <v>13</v>
      </c>
    </row>
    <row r="707" spans="1:11" x14ac:dyDescent="0.35">
      <c r="A707" t="s">
        <v>5</v>
      </c>
      <c r="B707" t="str">
        <f>"58131"</f>
        <v>58131</v>
      </c>
      <c r="C707" t="str">
        <f>"002"</f>
        <v>002</v>
      </c>
      <c r="D707">
        <v>2015</v>
      </c>
      <c r="E707" s="3">
        <v>4586100</v>
      </c>
      <c r="F707" s="3">
        <v>2104100</v>
      </c>
      <c r="G707" t="s">
        <v>11</v>
      </c>
      <c r="H707" s="5" t="s">
        <v>30</v>
      </c>
      <c r="I707" t="s">
        <v>13</v>
      </c>
      <c r="J707" t="s">
        <v>13</v>
      </c>
    </row>
    <row r="708" spans="1:11" x14ac:dyDescent="0.35">
      <c r="A708" t="s">
        <v>31</v>
      </c>
      <c r="B708" t="s">
        <v>13</v>
      </c>
      <c r="C708" t="s">
        <v>7</v>
      </c>
      <c r="D708" t="s">
        <v>8</v>
      </c>
      <c r="E708" s="3">
        <v>6342000</v>
      </c>
      <c r="F708" s="3">
        <v>2608500</v>
      </c>
      <c r="G708" t="s">
        <v>11</v>
      </c>
      <c r="H708" s="5">
        <v>27372000</v>
      </c>
      <c r="I708" t="s">
        <v>13</v>
      </c>
      <c r="J708" t="s">
        <v>13</v>
      </c>
      <c r="K708">
        <v>9.5299999999999994</v>
      </c>
    </row>
    <row r="710" spans="1:11" x14ac:dyDescent="0.35">
      <c r="A710" t="s">
        <v>180</v>
      </c>
      <c r="B710" t="str">
        <f>"40136"</f>
        <v>40136</v>
      </c>
      <c r="C710" t="str">
        <f>"004"</f>
        <v>004</v>
      </c>
      <c r="D710">
        <v>2016</v>
      </c>
      <c r="E710" s="3">
        <v>25521100</v>
      </c>
      <c r="F710" s="3">
        <v>13543900</v>
      </c>
      <c r="G710" t="s">
        <v>11</v>
      </c>
      <c r="H710" s="5" t="s">
        <v>30</v>
      </c>
      <c r="I710" t="s">
        <v>13</v>
      </c>
      <c r="J710" t="s">
        <v>13</v>
      </c>
    </row>
    <row r="711" spans="1:11" x14ac:dyDescent="0.35">
      <c r="A711" t="s">
        <v>31</v>
      </c>
      <c r="B711" t="s">
        <v>13</v>
      </c>
      <c r="C711" t="s">
        <v>7</v>
      </c>
      <c r="D711" t="s">
        <v>8</v>
      </c>
      <c r="E711" s="3">
        <v>25521100</v>
      </c>
      <c r="F711" s="3">
        <v>13543900</v>
      </c>
      <c r="G711" t="s">
        <v>11</v>
      </c>
      <c r="H711" s="5">
        <v>814936700</v>
      </c>
      <c r="I711" t="s">
        <v>13</v>
      </c>
      <c r="J711" t="s">
        <v>13</v>
      </c>
      <c r="K711">
        <v>1.66</v>
      </c>
    </row>
    <row r="713" spans="1:11" x14ac:dyDescent="0.35">
      <c r="A713" t="s">
        <v>181</v>
      </c>
      <c r="B713" t="str">
        <f>"55136"</f>
        <v>55136</v>
      </c>
      <c r="C713" t="str">
        <f>"005"</f>
        <v>005</v>
      </c>
      <c r="D713">
        <v>1995</v>
      </c>
      <c r="E713" s="3">
        <v>17035200</v>
      </c>
      <c r="F713" s="3">
        <v>16892600</v>
      </c>
      <c r="G713" t="s">
        <v>11</v>
      </c>
      <c r="H713" s="5" t="s">
        <v>30</v>
      </c>
      <c r="I713" t="s">
        <v>13</v>
      </c>
      <c r="J713" t="s">
        <v>13</v>
      </c>
    </row>
    <row r="714" spans="1:11" x14ac:dyDescent="0.35">
      <c r="A714" t="s">
        <v>31</v>
      </c>
      <c r="B714" t="s">
        <v>13</v>
      </c>
      <c r="C714" t="s">
        <v>7</v>
      </c>
      <c r="D714" t="s">
        <v>8</v>
      </c>
      <c r="E714" s="3">
        <v>17035200</v>
      </c>
      <c r="F714" s="3">
        <v>16892600</v>
      </c>
      <c r="G714" t="s">
        <v>11</v>
      </c>
      <c r="H714" s="5">
        <v>189978000</v>
      </c>
      <c r="I714" t="s">
        <v>13</v>
      </c>
      <c r="J714" t="s">
        <v>13</v>
      </c>
      <c r="K714">
        <v>8.89</v>
      </c>
    </row>
    <row r="716" spans="1:11" x14ac:dyDescent="0.35">
      <c r="A716" t="s">
        <v>182</v>
      </c>
      <c r="B716" t="str">
        <f>"69136"</f>
        <v>69136</v>
      </c>
      <c r="C716" t="str">
        <f>"001"</f>
        <v>001</v>
      </c>
      <c r="D716">
        <v>2016</v>
      </c>
      <c r="E716" s="3">
        <v>1145700</v>
      </c>
      <c r="F716" s="3">
        <v>671800</v>
      </c>
      <c r="G716" t="s">
        <v>11</v>
      </c>
      <c r="H716" s="5" t="s">
        <v>30</v>
      </c>
      <c r="I716" t="s">
        <v>13</v>
      </c>
      <c r="J716" t="s">
        <v>13</v>
      </c>
    </row>
    <row r="717" spans="1:11" x14ac:dyDescent="0.35">
      <c r="A717" t="s">
        <v>31</v>
      </c>
      <c r="B717" t="s">
        <v>13</v>
      </c>
      <c r="C717" t="s">
        <v>7</v>
      </c>
      <c r="D717" t="s">
        <v>8</v>
      </c>
      <c r="E717" s="3">
        <v>1145700</v>
      </c>
      <c r="F717" s="3">
        <v>671800</v>
      </c>
      <c r="G717" t="s">
        <v>11</v>
      </c>
      <c r="H717" s="5">
        <v>24615300</v>
      </c>
      <c r="I717" t="s">
        <v>13</v>
      </c>
      <c r="J717" t="s">
        <v>13</v>
      </c>
      <c r="K717">
        <v>2.73</v>
      </c>
    </row>
    <row r="719" spans="1:11" x14ac:dyDescent="0.35">
      <c r="A719" t="s">
        <v>183</v>
      </c>
      <c r="B719" t="str">
        <f>"08131"</f>
        <v>08131</v>
      </c>
      <c r="C719" t="str">
        <f>"001"</f>
        <v>001</v>
      </c>
      <c r="D719">
        <v>2013</v>
      </c>
      <c r="E719" s="3">
        <v>73547100</v>
      </c>
      <c r="F719" s="3">
        <v>72762000</v>
      </c>
      <c r="G719" t="s">
        <v>11</v>
      </c>
      <c r="H719" s="5" t="s">
        <v>30</v>
      </c>
      <c r="I719" t="s">
        <v>13</v>
      </c>
      <c r="J719" t="s">
        <v>13</v>
      </c>
    </row>
    <row r="720" spans="1:11" x14ac:dyDescent="0.35">
      <c r="A720" t="s">
        <v>5</v>
      </c>
      <c r="B720" t="str">
        <f>"08131"</f>
        <v>08131</v>
      </c>
      <c r="C720" t="str">
        <f>"002"</f>
        <v>002</v>
      </c>
      <c r="D720">
        <v>2019</v>
      </c>
      <c r="E720" s="3">
        <v>14084100</v>
      </c>
      <c r="F720" s="3">
        <v>9375900</v>
      </c>
      <c r="G720" t="s">
        <v>11</v>
      </c>
      <c r="H720" s="5" t="s">
        <v>30</v>
      </c>
      <c r="I720" t="s">
        <v>13</v>
      </c>
      <c r="J720" t="s">
        <v>13</v>
      </c>
    </row>
    <row r="721" spans="1:11" x14ac:dyDescent="0.35">
      <c r="A721" t="s">
        <v>5</v>
      </c>
      <c r="B721" t="str">
        <f>"08131"</f>
        <v>08131</v>
      </c>
      <c r="C721" t="str">
        <f>"003"</f>
        <v>003</v>
      </c>
      <c r="D721">
        <v>2020</v>
      </c>
      <c r="E721" s="3">
        <v>10057200</v>
      </c>
      <c r="F721" s="3">
        <v>9863700</v>
      </c>
      <c r="G721" t="s">
        <v>11</v>
      </c>
      <c r="H721" s="5" t="s">
        <v>30</v>
      </c>
      <c r="I721" t="s">
        <v>13</v>
      </c>
      <c r="J721" t="s">
        <v>13</v>
      </c>
    </row>
    <row r="722" spans="1:11" x14ac:dyDescent="0.35">
      <c r="A722" t="s">
        <v>5</v>
      </c>
      <c r="B722" t="str">
        <f>"08131"</f>
        <v>08131</v>
      </c>
      <c r="C722" t="str">
        <f>"004"</f>
        <v>004</v>
      </c>
      <c r="D722">
        <v>2020</v>
      </c>
      <c r="E722" s="3">
        <v>18849600</v>
      </c>
      <c r="F722" s="3">
        <v>18405200</v>
      </c>
      <c r="G722" t="s">
        <v>11</v>
      </c>
      <c r="H722" s="5" t="s">
        <v>30</v>
      </c>
      <c r="I722" t="s">
        <v>13</v>
      </c>
      <c r="J722" t="s">
        <v>13</v>
      </c>
    </row>
    <row r="723" spans="1:11" x14ac:dyDescent="0.35">
      <c r="A723" t="s">
        <v>31</v>
      </c>
      <c r="B723" t="s">
        <v>13</v>
      </c>
      <c r="C723" t="s">
        <v>7</v>
      </c>
      <c r="D723" t="s">
        <v>8</v>
      </c>
      <c r="E723" s="3">
        <v>116538000</v>
      </c>
      <c r="F723" s="3">
        <v>110406800</v>
      </c>
      <c r="G723" t="s">
        <v>11</v>
      </c>
      <c r="H723" s="5">
        <v>1617243900</v>
      </c>
      <c r="I723" t="s">
        <v>13</v>
      </c>
      <c r="J723" t="s">
        <v>13</v>
      </c>
      <c r="K723">
        <v>6.83</v>
      </c>
    </row>
    <row r="725" spans="1:11" x14ac:dyDescent="0.35">
      <c r="A725" t="s">
        <v>184</v>
      </c>
      <c r="B725" t="str">
        <f>"66236"</f>
        <v>66236</v>
      </c>
      <c r="C725" t="str">
        <f>"006"</f>
        <v>006</v>
      </c>
      <c r="D725">
        <v>2008</v>
      </c>
      <c r="E725" s="3">
        <v>1980700</v>
      </c>
      <c r="F725" s="3">
        <v>880700</v>
      </c>
      <c r="G725" t="s">
        <v>11</v>
      </c>
      <c r="H725" s="5" t="s">
        <v>30</v>
      </c>
      <c r="I725" t="s">
        <v>13</v>
      </c>
      <c r="J725" t="s">
        <v>13</v>
      </c>
    </row>
    <row r="726" spans="1:11" x14ac:dyDescent="0.35">
      <c r="A726" t="s">
        <v>5</v>
      </c>
      <c r="B726" t="str">
        <f>"14230"</f>
        <v>14230</v>
      </c>
      <c r="C726" t="str">
        <f>"007"</f>
        <v>007</v>
      </c>
      <c r="D726">
        <v>2011</v>
      </c>
      <c r="E726" s="3">
        <v>6712400</v>
      </c>
      <c r="F726" s="3">
        <v>6698600</v>
      </c>
      <c r="G726" t="s">
        <v>11</v>
      </c>
      <c r="H726" s="5" t="s">
        <v>30</v>
      </c>
      <c r="I726" t="s">
        <v>13</v>
      </c>
      <c r="J726" t="s">
        <v>13</v>
      </c>
    </row>
    <row r="727" spans="1:11" x14ac:dyDescent="0.35">
      <c r="A727" t="s">
        <v>5</v>
      </c>
      <c r="B727" t="str">
        <f>"66236"</f>
        <v>66236</v>
      </c>
      <c r="C727" t="str">
        <f>"007"</f>
        <v>007</v>
      </c>
      <c r="D727">
        <v>2011</v>
      </c>
      <c r="E727" s="3">
        <v>4046300</v>
      </c>
      <c r="F727" s="3">
        <v>4042700</v>
      </c>
      <c r="G727" t="s">
        <v>11</v>
      </c>
      <c r="H727" s="5" t="s">
        <v>30</v>
      </c>
      <c r="I727" t="s">
        <v>13</v>
      </c>
      <c r="J727" t="s">
        <v>13</v>
      </c>
    </row>
    <row r="728" spans="1:11" x14ac:dyDescent="0.35">
      <c r="A728" t="s">
        <v>5</v>
      </c>
      <c r="B728" t="str">
        <f>"66236"</f>
        <v>66236</v>
      </c>
      <c r="C728" t="str">
        <f>"008"</f>
        <v>008</v>
      </c>
      <c r="D728">
        <v>2013</v>
      </c>
      <c r="E728" s="3">
        <v>13461200</v>
      </c>
      <c r="F728" s="3">
        <v>7413800</v>
      </c>
      <c r="G728" t="s">
        <v>11</v>
      </c>
      <c r="H728" s="5" t="s">
        <v>30</v>
      </c>
      <c r="I728" t="s">
        <v>13</v>
      </c>
      <c r="J728" t="s">
        <v>13</v>
      </c>
    </row>
    <row r="729" spans="1:11" x14ac:dyDescent="0.35">
      <c r="A729" t="s">
        <v>5</v>
      </c>
      <c r="B729" t="str">
        <f>"14230"</f>
        <v>14230</v>
      </c>
      <c r="C729" t="str">
        <f>"009"</f>
        <v>009</v>
      </c>
      <c r="D729">
        <v>2015</v>
      </c>
      <c r="E729" s="3">
        <v>12362700</v>
      </c>
      <c r="F729" s="3">
        <v>7933800</v>
      </c>
      <c r="G729" t="s">
        <v>11</v>
      </c>
      <c r="H729" s="5" t="s">
        <v>30</v>
      </c>
      <c r="I729" t="s">
        <v>13</v>
      </c>
      <c r="J729" t="s">
        <v>13</v>
      </c>
    </row>
    <row r="730" spans="1:11" x14ac:dyDescent="0.35">
      <c r="A730" t="s">
        <v>5</v>
      </c>
      <c r="B730" t="str">
        <f>"66236"</f>
        <v>66236</v>
      </c>
      <c r="C730" t="str">
        <f>"010"</f>
        <v>010</v>
      </c>
      <c r="D730">
        <v>2017</v>
      </c>
      <c r="E730" s="3">
        <v>24551500</v>
      </c>
      <c r="F730" s="3">
        <v>19759900</v>
      </c>
      <c r="G730" t="s">
        <v>11</v>
      </c>
      <c r="H730" s="5" t="s">
        <v>30</v>
      </c>
      <c r="I730" t="s">
        <v>13</v>
      </c>
      <c r="J730" t="s">
        <v>13</v>
      </c>
    </row>
    <row r="731" spans="1:11" x14ac:dyDescent="0.35">
      <c r="A731" t="s">
        <v>5</v>
      </c>
      <c r="B731" t="str">
        <f>"66236"</f>
        <v>66236</v>
      </c>
      <c r="C731" t="str">
        <f>"011"</f>
        <v>011</v>
      </c>
      <c r="D731">
        <v>2017</v>
      </c>
      <c r="E731" s="3">
        <v>20675700</v>
      </c>
      <c r="F731" s="3">
        <v>9087000</v>
      </c>
      <c r="G731" t="s">
        <v>11</v>
      </c>
      <c r="H731" s="5" t="s">
        <v>30</v>
      </c>
      <c r="I731" t="s">
        <v>13</v>
      </c>
      <c r="J731" t="s">
        <v>13</v>
      </c>
    </row>
    <row r="732" spans="1:11" x14ac:dyDescent="0.35">
      <c r="A732" t="s">
        <v>31</v>
      </c>
      <c r="B732" t="s">
        <v>13</v>
      </c>
      <c r="C732" t="s">
        <v>7</v>
      </c>
      <c r="D732" t="s">
        <v>8</v>
      </c>
      <c r="E732" s="3">
        <v>83790500</v>
      </c>
      <c r="F732" s="3">
        <v>55816500</v>
      </c>
      <c r="G732" t="s">
        <v>11</v>
      </c>
      <c r="H732" s="5">
        <v>1844911200</v>
      </c>
      <c r="I732" t="s">
        <v>13</v>
      </c>
      <c r="J732" t="s">
        <v>13</v>
      </c>
      <c r="K732">
        <v>3.03</v>
      </c>
    </row>
    <row r="734" spans="1:11" x14ac:dyDescent="0.35">
      <c r="A734" t="s">
        <v>185</v>
      </c>
      <c r="B734" t="str">
        <f>"67136"</f>
        <v>67136</v>
      </c>
      <c r="C734" t="str">
        <f>"004"</f>
        <v>004</v>
      </c>
      <c r="D734">
        <v>2008</v>
      </c>
      <c r="E734" s="3">
        <v>2995200</v>
      </c>
      <c r="F734" s="3">
        <v>1976900</v>
      </c>
      <c r="G734" t="s">
        <v>11</v>
      </c>
      <c r="H734" s="5" t="s">
        <v>30</v>
      </c>
      <c r="I734" t="s">
        <v>13</v>
      </c>
      <c r="J734" t="s">
        <v>13</v>
      </c>
    </row>
    <row r="735" spans="1:11" x14ac:dyDescent="0.35">
      <c r="A735" t="s">
        <v>5</v>
      </c>
      <c r="B735" t="str">
        <f>"67136"</f>
        <v>67136</v>
      </c>
      <c r="C735" t="str">
        <f>"005"</f>
        <v>005</v>
      </c>
      <c r="D735">
        <v>2011</v>
      </c>
      <c r="E735" s="3">
        <v>1770400</v>
      </c>
      <c r="F735" s="3">
        <v>1416600</v>
      </c>
      <c r="G735" t="s">
        <v>11</v>
      </c>
      <c r="H735" s="5" t="s">
        <v>30</v>
      </c>
      <c r="I735" t="s">
        <v>13</v>
      </c>
      <c r="J735" t="s">
        <v>13</v>
      </c>
    </row>
    <row r="736" spans="1:11" x14ac:dyDescent="0.35">
      <c r="A736" t="s">
        <v>5</v>
      </c>
      <c r="B736" t="str">
        <f>"67136"</f>
        <v>67136</v>
      </c>
      <c r="C736" t="str">
        <f>"006"</f>
        <v>006</v>
      </c>
      <c r="D736">
        <v>2015</v>
      </c>
      <c r="E736" s="3">
        <v>15005500</v>
      </c>
      <c r="F736" s="3">
        <v>13675200</v>
      </c>
      <c r="G736" t="s">
        <v>11</v>
      </c>
      <c r="H736" s="5" t="s">
        <v>30</v>
      </c>
      <c r="I736" t="s">
        <v>13</v>
      </c>
      <c r="J736" t="s">
        <v>13</v>
      </c>
    </row>
    <row r="737" spans="1:11" x14ac:dyDescent="0.35">
      <c r="A737" t="s">
        <v>31</v>
      </c>
      <c r="B737" t="s">
        <v>13</v>
      </c>
      <c r="C737" t="s">
        <v>7</v>
      </c>
      <c r="D737" t="s">
        <v>8</v>
      </c>
      <c r="E737" s="3">
        <v>19771100</v>
      </c>
      <c r="F737" s="3">
        <v>17068700</v>
      </c>
      <c r="G737" t="s">
        <v>11</v>
      </c>
      <c r="H737" s="5">
        <v>1744361100</v>
      </c>
      <c r="I737" t="s">
        <v>13</v>
      </c>
      <c r="J737" t="s">
        <v>13</v>
      </c>
      <c r="K737">
        <v>0.98</v>
      </c>
    </row>
    <row r="739" spans="1:11" x14ac:dyDescent="0.35">
      <c r="A739" t="s">
        <v>186</v>
      </c>
      <c r="B739" t="str">
        <f>"37136"</f>
        <v>37136</v>
      </c>
      <c r="C739" t="str">
        <f>"001"</f>
        <v>001</v>
      </c>
      <c r="D739">
        <v>2007</v>
      </c>
      <c r="E739" s="3">
        <v>18928100</v>
      </c>
      <c r="F739" s="3">
        <v>15687600</v>
      </c>
      <c r="G739" t="s">
        <v>11</v>
      </c>
      <c r="H739" s="5" t="s">
        <v>30</v>
      </c>
      <c r="I739" t="s">
        <v>13</v>
      </c>
      <c r="J739" t="s">
        <v>13</v>
      </c>
    </row>
    <row r="740" spans="1:11" x14ac:dyDescent="0.35">
      <c r="A740" t="s">
        <v>31</v>
      </c>
      <c r="B740" t="s">
        <v>13</v>
      </c>
      <c r="C740" t="s">
        <v>7</v>
      </c>
      <c r="D740" t="s">
        <v>8</v>
      </c>
      <c r="E740" s="3">
        <v>18928100</v>
      </c>
      <c r="F740" s="3">
        <v>15687600</v>
      </c>
      <c r="G740" t="s">
        <v>11</v>
      </c>
      <c r="H740" s="5">
        <v>56679400</v>
      </c>
      <c r="I740" t="s">
        <v>13</v>
      </c>
      <c r="J740" t="s">
        <v>13</v>
      </c>
      <c r="K740">
        <v>27.68</v>
      </c>
    </row>
    <row r="742" spans="1:11" x14ac:dyDescent="0.35">
      <c r="A742" t="s">
        <v>187</v>
      </c>
      <c r="B742" t="str">
        <f>"54136"</f>
        <v>54136</v>
      </c>
      <c r="C742" t="str">
        <f>"003"</f>
        <v>003</v>
      </c>
      <c r="D742">
        <v>2010</v>
      </c>
      <c r="E742" s="3">
        <v>635200</v>
      </c>
      <c r="F742" s="3">
        <v>538600</v>
      </c>
      <c r="G742" t="s">
        <v>11</v>
      </c>
      <c r="H742" s="5" t="s">
        <v>30</v>
      </c>
      <c r="I742" t="s">
        <v>13</v>
      </c>
      <c r="J742" t="s">
        <v>13</v>
      </c>
    </row>
    <row r="743" spans="1:11" x14ac:dyDescent="0.35">
      <c r="A743" t="s">
        <v>31</v>
      </c>
      <c r="B743" t="s">
        <v>13</v>
      </c>
      <c r="C743" t="s">
        <v>7</v>
      </c>
      <c r="D743" t="s">
        <v>8</v>
      </c>
      <c r="E743" s="3">
        <v>635200</v>
      </c>
      <c r="F743" s="3">
        <v>538600</v>
      </c>
      <c r="G743" t="s">
        <v>11</v>
      </c>
      <c r="H743" s="5">
        <v>15177200</v>
      </c>
      <c r="I743" t="s">
        <v>13</v>
      </c>
      <c r="J743" t="s">
        <v>13</v>
      </c>
      <c r="K743">
        <v>3.55</v>
      </c>
    </row>
    <row r="745" spans="1:11" x14ac:dyDescent="0.35">
      <c r="A745" t="s">
        <v>188</v>
      </c>
      <c r="B745" t="str">
        <f>"57236"</f>
        <v>57236</v>
      </c>
      <c r="C745" t="str">
        <f>"005"</f>
        <v>005</v>
      </c>
      <c r="D745">
        <v>2018</v>
      </c>
      <c r="E745" s="3">
        <v>1587900</v>
      </c>
      <c r="F745" s="3">
        <v>894500</v>
      </c>
      <c r="G745" t="s">
        <v>11</v>
      </c>
      <c r="H745" s="5" t="s">
        <v>30</v>
      </c>
      <c r="I745" t="s">
        <v>13</v>
      </c>
      <c r="J745" t="s">
        <v>13</v>
      </c>
    </row>
    <row r="746" spans="1:11" x14ac:dyDescent="0.35">
      <c r="A746" t="s">
        <v>5</v>
      </c>
      <c r="B746" t="str">
        <f>"57236"</f>
        <v>57236</v>
      </c>
      <c r="C746" t="str">
        <f>"006"</f>
        <v>006</v>
      </c>
      <c r="D746">
        <v>2020</v>
      </c>
      <c r="E746" s="3">
        <v>8721400</v>
      </c>
      <c r="F746" s="3">
        <v>5734100</v>
      </c>
      <c r="G746" t="s">
        <v>11</v>
      </c>
      <c r="H746" s="5" t="s">
        <v>30</v>
      </c>
      <c r="I746" t="s">
        <v>13</v>
      </c>
      <c r="J746" t="s">
        <v>13</v>
      </c>
    </row>
    <row r="747" spans="1:11" x14ac:dyDescent="0.35">
      <c r="A747" t="s">
        <v>31</v>
      </c>
      <c r="B747" t="s">
        <v>13</v>
      </c>
      <c r="C747" t="s">
        <v>7</v>
      </c>
      <c r="D747" t="s">
        <v>8</v>
      </c>
      <c r="E747" s="3">
        <v>10309300</v>
      </c>
      <c r="F747" s="3">
        <v>6628600</v>
      </c>
      <c r="G747" t="s">
        <v>11</v>
      </c>
      <c r="H747" s="5">
        <v>266643300</v>
      </c>
      <c r="I747" t="s">
        <v>13</v>
      </c>
      <c r="J747" t="s">
        <v>13</v>
      </c>
      <c r="K747">
        <v>2.4900000000000002</v>
      </c>
    </row>
    <row r="749" spans="1:11" x14ac:dyDescent="0.35">
      <c r="A749" t="s">
        <v>189</v>
      </c>
      <c r="B749" t="str">
        <f>"25136"</f>
        <v>25136</v>
      </c>
      <c r="C749" t="str">
        <f>"002"</f>
        <v>002</v>
      </c>
      <c r="D749">
        <v>1999</v>
      </c>
      <c r="E749" s="3">
        <v>7162400</v>
      </c>
      <c r="F749" s="3">
        <v>6188800</v>
      </c>
      <c r="G749" t="s">
        <v>11</v>
      </c>
      <c r="H749" s="5" t="s">
        <v>30</v>
      </c>
      <c r="I749" t="s">
        <v>13</v>
      </c>
      <c r="J749" t="s">
        <v>13</v>
      </c>
    </row>
    <row r="750" spans="1:11" x14ac:dyDescent="0.35">
      <c r="A750" t="s">
        <v>31</v>
      </c>
      <c r="B750" t="s">
        <v>13</v>
      </c>
      <c r="C750" t="s">
        <v>7</v>
      </c>
      <c r="D750" t="s">
        <v>8</v>
      </c>
      <c r="E750" s="3">
        <v>7162400</v>
      </c>
      <c r="F750" s="3">
        <v>6188800</v>
      </c>
      <c r="G750" t="s">
        <v>11</v>
      </c>
      <c r="H750" s="5">
        <v>59004900</v>
      </c>
      <c r="I750" t="s">
        <v>13</v>
      </c>
      <c r="J750" t="s">
        <v>13</v>
      </c>
      <c r="K750">
        <v>10.49</v>
      </c>
    </row>
    <row r="752" spans="1:11" x14ac:dyDescent="0.35">
      <c r="A752" t="s">
        <v>190</v>
      </c>
      <c r="B752" t="str">
        <f>"08136"</f>
        <v>08136</v>
      </c>
      <c r="C752" t="str">
        <f>"002"</f>
        <v>002</v>
      </c>
      <c r="D752">
        <v>2007</v>
      </c>
      <c r="E752" s="3">
        <v>20602600</v>
      </c>
      <c r="F752" s="3">
        <v>18230900</v>
      </c>
      <c r="G752" t="s">
        <v>11</v>
      </c>
      <c r="H752" s="5" t="s">
        <v>30</v>
      </c>
      <c r="I752" t="s">
        <v>13</v>
      </c>
      <c r="J752" t="s">
        <v>13</v>
      </c>
    </row>
    <row r="753" spans="1:11" x14ac:dyDescent="0.35">
      <c r="A753" t="s">
        <v>31</v>
      </c>
      <c r="B753" t="s">
        <v>13</v>
      </c>
      <c r="C753" t="s">
        <v>7</v>
      </c>
      <c r="D753" t="s">
        <v>8</v>
      </c>
      <c r="E753" s="3">
        <v>20602600</v>
      </c>
      <c r="F753" s="3">
        <v>18230900</v>
      </c>
      <c r="G753" t="s">
        <v>11</v>
      </c>
      <c r="H753" s="5">
        <v>101747700</v>
      </c>
      <c r="I753" t="s">
        <v>13</v>
      </c>
      <c r="J753" t="s">
        <v>13</v>
      </c>
      <c r="K753">
        <v>17.920000000000002</v>
      </c>
    </row>
    <row r="755" spans="1:11" x14ac:dyDescent="0.35">
      <c r="A755" t="s">
        <v>191</v>
      </c>
      <c r="B755" t="str">
        <f>"62236"</f>
        <v>62236</v>
      </c>
      <c r="C755" t="str">
        <f>"004"</f>
        <v>004</v>
      </c>
      <c r="D755">
        <v>1998</v>
      </c>
      <c r="E755" s="3">
        <v>16385600</v>
      </c>
      <c r="F755" s="3">
        <v>13669800</v>
      </c>
      <c r="G755" t="s">
        <v>11</v>
      </c>
      <c r="H755" s="5" t="s">
        <v>30</v>
      </c>
      <c r="I755" t="s">
        <v>13</v>
      </c>
      <c r="J755" t="s">
        <v>13</v>
      </c>
    </row>
    <row r="756" spans="1:11" x14ac:dyDescent="0.35">
      <c r="A756" t="s">
        <v>31</v>
      </c>
      <c r="B756" t="s">
        <v>13</v>
      </c>
      <c r="C756" t="s">
        <v>7</v>
      </c>
      <c r="D756" t="s">
        <v>8</v>
      </c>
      <c r="E756" s="3">
        <v>16385600</v>
      </c>
      <c r="F756" s="3">
        <v>13669800</v>
      </c>
      <c r="G756" t="s">
        <v>11</v>
      </c>
      <c r="H756" s="5">
        <v>96674000</v>
      </c>
      <c r="I756" t="s">
        <v>13</v>
      </c>
      <c r="J756" t="s">
        <v>13</v>
      </c>
      <c r="K756">
        <v>14.14</v>
      </c>
    </row>
    <row r="758" spans="1:11" x14ac:dyDescent="0.35">
      <c r="A758" t="s">
        <v>192</v>
      </c>
      <c r="B758" t="str">
        <f>"27136"</f>
        <v>27136</v>
      </c>
      <c r="C758" t="str">
        <f>"001"</f>
        <v>001</v>
      </c>
      <c r="D758">
        <v>2007</v>
      </c>
      <c r="E758" s="3">
        <v>9686900</v>
      </c>
      <c r="F758" s="3">
        <v>8129900</v>
      </c>
      <c r="G758" t="s">
        <v>11</v>
      </c>
      <c r="H758" s="5" t="s">
        <v>30</v>
      </c>
      <c r="I758" t="s">
        <v>13</v>
      </c>
      <c r="J758" t="s">
        <v>13</v>
      </c>
    </row>
    <row r="759" spans="1:11" x14ac:dyDescent="0.35">
      <c r="A759" t="s">
        <v>31</v>
      </c>
      <c r="B759" t="s">
        <v>13</v>
      </c>
      <c r="C759" t="s">
        <v>7</v>
      </c>
      <c r="D759" t="s">
        <v>8</v>
      </c>
      <c r="E759" s="3">
        <v>9686900</v>
      </c>
      <c r="F759" s="3">
        <v>8129900</v>
      </c>
      <c r="G759" t="s">
        <v>11</v>
      </c>
      <c r="H759" s="5">
        <v>37453300</v>
      </c>
      <c r="I759" t="s">
        <v>13</v>
      </c>
      <c r="J759" t="s">
        <v>13</v>
      </c>
      <c r="K759">
        <v>21.71</v>
      </c>
    </row>
    <row r="761" spans="1:11" x14ac:dyDescent="0.35">
      <c r="A761" t="s">
        <v>193</v>
      </c>
      <c r="B761" t="str">
        <f>"05126"</f>
        <v>05126</v>
      </c>
      <c r="C761" t="str">
        <f>"001"</f>
        <v>001</v>
      </c>
      <c r="D761">
        <v>2009</v>
      </c>
      <c r="E761" s="3">
        <v>274504700</v>
      </c>
      <c r="F761" s="3">
        <v>253512800</v>
      </c>
      <c r="G761" t="s">
        <v>11</v>
      </c>
      <c r="H761" s="5" t="s">
        <v>30</v>
      </c>
      <c r="I761" t="s">
        <v>13</v>
      </c>
      <c r="J761" t="s">
        <v>13</v>
      </c>
    </row>
    <row r="762" spans="1:11" x14ac:dyDescent="0.35">
      <c r="A762" t="s">
        <v>5</v>
      </c>
      <c r="B762" t="str">
        <f>"05126"</f>
        <v>05126</v>
      </c>
      <c r="C762" t="str">
        <f>"002"</f>
        <v>002</v>
      </c>
      <c r="D762">
        <v>2011</v>
      </c>
      <c r="E762" s="3">
        <v>137809100</v>
      </c>
      <c r="F762" s="3">
        <v>134523600</v>
      </c>
      <c r="G762" t="s">
        <v>11</v>
      </c>
      <c r="H762" s="5" t="s">
        <v>30</v>
      </c>
      <c r="I762" t="s">
        <v>13</v>
      </c>
      <c r="J762" t="s">
        <v>13</v>
      </c>
    </row>
    <row r="763" spans="1:11" x14ac:dyDescent="0.35">
      <c r="A763" t="s">
        <v>31</v>
      </c>
      <c r="B763" t="s">
        <v>13</v>
      </c>
      <c r="C763" t="s">
        <v>7</v>
      </c>
      <c r="D763" t="s">
        <v>8</v>
      </c>
      <c r="E763" s="3">
        <v>412313800</v>
      </c>
      <c r="F763" s="3">
        <v>388036400</v>
      </c>
      <c r="G763" t="s">
        <v>11</v>
      </c>
      <c r="H763" s="5">
        <v>1293863100</v>
      </c>
      <c r="I763" t="s">
        <v>13</v>
      </c>
      <c r="J763" t="s">
        <v>13</v>
      </c>
      <c r="K763">
        <v>29.99</v>
      </c>
    </row>
    <row r="765" spans="1:11" x14ac:dyDescent="0.35">
      <c r="A765" t="s">
        <v>194</v>
      </c>
      <c r="B765" t="str">
        <f>"32136"</f>
        <v>32136</v>
      </c>
      <c r="C765" t="str">
        <f>"002"</f>
        <v>002</v>
      </c>
      <c r="D765">
        <v>2009</v>
      </c>
      <c r="E765" s="3">
        <v>82656000</v>
      </c>
      <c r="F765" s="3">
        <v>80009000</v>
      </c>
      <c r="G765" t="s">
        <v>11</v>
      </c>
      <c r="H765" s="5" t="s">
        <v>30</v>
      </c>
      <c r="I765" t="s">
        <v>13</v>
      </c>
      <c r="J765" t="s">
        <v>13</v>
      </c>
    </row>
    <row r="766" spans="1:11" x14ac:dyDescent="0.35">
      <c r="A766" t="s">
        <v>5</v>
      </c>
      <c r="B766" t="str">
        <f>"32136"</f>
        <v>32136</v>
      </c>
      <c r="C766" t="str">
        <f>"003"</f>
        <v>003</v>
      </c>
      <c r="D766">
        <v>2015</v>
      </c>
      <c r="E766" s="3">
        <v>113058800</v>
      </c>
      <c r="F766" s="3">
        <v>75696500</v>
      </c>
      <c r="G766" t="s">
        <v>11</v>
      </c>
      <c r="H766" s="5" t="s">
        <v>30</v>
      </c>
      <c r="I766" t="s">
        <v>13</v>
      </c>
      <c r="J766" t="s">
        <v>13</v>
      </c>
    </row>
    <row r="767" spans="1:11" x14ac:dyDescent="0.35">
      <c r="A767" t="s">
        <v>31</v>
      </c>
      <c r="B767" t="s">
        <v>13</v>
      </c>
      <c r="C767" t="s">
        <v>7</v>
      </c>
      <c r="D767" t="s">
        <v>8</v>
      </c>
      <c r="E767" s="3">
        <v>195714800</v>
      </c>
      <c r="F767" s="3">
        <v>155705500</v>
      </c>
      <c r="G767" t="s">
        <v>11</v>
      </c>
      <c r="H767" s="5">
        <v>1119211000</v>
      </c>
      <c r="I767" t="s">
        <v>13</v>
      </c>
      <c r="J767" t="s">
        <v>13</v>
      </c>
      <c r="K767">
        <v>13.91</v>
      </c>
    </row>
    <row r="769" spans="1:11" x14ac:dyDescent="0.35">
      <c r="A769" t="s">
        <v>195</v>
      </c>
      <c r="B769" t="str">
        <f>"14236"</f>
        <v>14236</v>
      </c>
      <c r="C769" t="str">
        <f>"004"</f>
        <v>004</v>
      </c>
      <c r="D769">
        <v>2007</v>
      </c>
      <c r="E769" s="3">
        <v>20111100</v>
      </c>
      <c r="F769" s="3">
        <v>15311500</v>
      </c>
      <c r="G769" t="s">
        <v>11</v>
      </c>
      <c r="H769" s="5" t="s">
        <v>30</v>
      </c>
      <c r="I769" t="s">
        <v>13</v>
      </c>
      <c r="J769" t="s">
        <v>13</v>
      </c>
    </row>
    <row r="770" spans="1:11" x14ac:dyDescent="0.35">
      <c r="A770" t="s">
        <v>5</v>
      </c>
      <c r="B770" t="str">
        <f>"14236"</f>
        <v>14236</v>
      </c>
      <c r="C770" t="str">
        <f>"005"</f>
        <v>005</v>
      </c>
      <c r="D770">
        <v>2015</v>
      </c>
      <c r="E770" s="3">
        <v>20662500</v>
      </c>
      <c r="F770" s="3">
        <v>16259900</v>
      </c>
      <c r="G770" t="s">
        <v>11</v>
      </c>
      <c r="H770" s="5" t="s">
        <v>30</v>
      </c>
      <c r="I770" t="s">
        <v>13</v>
      </c>
      <c r="J770" t="s">
        <v>13</v>
      </c>
    </row>
    <row r="771" spans="1:11" x14ac:dyDescent="0.35">
      <c r="A771" t="s">
        <v>5</v>
      </c>
      <c r="B771" t="str">
        <f>"14236"</f>
        <v>14236</v>
      </c>
      <c r="C771" t="str">
        <f>"006"</f>
        <v>006</v>
      </c>
      <c r="D771">
        <v>2017</v>
      </c>
      <c r="E771" s="3">
        <v>17771700</v>
      </c>
      <c r="F771" s="3">
        <v>4343900</v>
      </c>
      <c r="G771" t="s">
        <v>11</v>
      </c>
      <c r="H771" s="5" t="s">
        <v>30</v>
      </c>
      <c r="I771" t="s">
        <v>13</v>
      </c>
      <c r="J771" t="s">
        <v>13</v>
      </c>
    </row>
    <row r="772" spans="1:11" x14ac:dyDescent="0.35">
      <c r="A772" t="s">
        <v>31</v>
      </c>
      <c r="B772" t="s">
        <v>13</v>
      </c>
      <c r="C772" t="s">
        <v>7</v>
      </c>
      <c r="D772" t="s">
        <v>8</v>
      </c>
      <c r="E772" s="3">
        <v>58545300</v>
      </c>
      <c r="F772" s="3">
        <v>35915300</v>
      </c>
      <c r="G772" t="s">
        <v>11</v>
      </c>
      <c r="H772" s="5">
        <v>325850900</v>
      </c>
      <c r="I772" t="s">
        <v>13</v>
      </c>
      <c r="J772" t="s">
        <v>13</v>
      </c>
      <c r="K772">
        <v>11.02</v>
      </c>
    </row>
    <row r="774" spans="1:11" x14ac:dyDescent="0.35">
      <c r="A774" t="s">
        <v>196</v>
      </c>
      <c r="B774" t="str">
        <f>"44136"</f>
        <v>44136</v>
      </c>
      <c r="C774" t="str">
        <f>"003"</f>
        <v>003</v>
      </c>
      <c r="D774">
        <v>2013</v>
      </c>
      <c r="E774" s="3">
        <v>7893200</v>
      </c>
      <c r="F774" s="3">
        <v>7405500</v>
      </c>
      <c r="G774" t="s">
        <v>11</v>
      </c>
      <c r="H774" s="5" t="s">
        <v>30</v>
      </c>
      <c r="I774" t="s">
        <v>13</v>
      </c>
      <c r="J774" t="s">
        <v>13</v>
      </c>
    </row>
    <row r="775" spans="1:11" x14ac:dyDescent="0.35">
      <c r="A775" t="s">
        <v>5</v>
      </c>
      <c r="B775" t="str">
        <f>"44136"</f>
        <v>44136</v>
      </c>
      <c r="C775" t="str">
        <f>"004"</f>
        <v>004</v>
      </c>
      <c r="D775">
        <v>2017</v>
      </c>
      <c r="E775" s="3">
        <v>10025000</v>
      </c>
      <c r="F775" s="3">
        <v>5591000</v>
      </c>
      <c r="G775" t="s">
        <v>11</v>
      </c>
      <c r="H775" s="5" t="s">
        <v>30</v>
      </c>
      <c r="I775" t="s">
        <v>13</v>
      </c>
      <c r="J775" t="s">
        <v>13</v>
      </c>
    </row>
    <row r="776" spans="1:11" x14ac:dyDescent="0.35">
      <c r="A776" t="s">
        <v>5</v>
      </c>
      <c r="B776" t="str">
        <f>"44136"</f>
        <v>44136</v>
      </c>
      <c r="C776" t="str">
        <f>"005"</f>
        <v>005</v>
      </c>
      <c r="D776">
        <v>2017</v>
      </c>
      <c r="E776" s="3">
        <v>614400</v>
      </c>
      <c r="F776" s="3">
        <v>91700</v>
      </c>
      <c r="G776" t="s">
        <v>11</v>
      </c>
      <c r="H776" s="5" t="s">
        <v>30</v>
      </c>
      <c r="I776" t="s">
        <v>13</v>
      </c>
      <c r="J776" t="s">
        <v>13</v>
      </c>
    </row>
    <row r="777" spans="1:11" x14ac:dyDescent="0.35">
      <c r="A777" t="s">
        <v>31</v>
      </c>
      <c r="B777" t="s">
        <v>13</v>
      </c>
      <c r="C777" t="s">
        <v>7</v>
      </c>
      <c r="D777" t="s">
        <v>8</v>
      </c>
      <c r="E777" s="3">
        <v>18532600</v>
      </c>
      <c r="F777" s="3">
        <v>13088200</v>
      </c>
      <c r="G777" t="s">
        <v>11</v>
      </c>
      <c r="H777" s="5">
        <v>291437100</v>
      </c>
      <c r="I777" t="s">
        <v>13</v>
      </c>
      <c r="J777" t="s">
        <v>13</v>
      </c>
      <c r="K777">
        <v>4.49</v>
      </c>
    </row>
    <row r="779" spans="1:11" x14ac:dyDescent="0.35">
      <c r="A779" t="s">
        <v>197</v>
      </c>
      <c r="B779" t="str">
        <f t="shared" ref="B779:B785" si="11">"05136"</f>
        <v>05136</v>
      </c>
      <c r="C779" t="str">
        <f>"003"</f>
        <v>003</v>
      </c>
      <c r="D779">
        <v>2006</v>
      </c>
      <c r="E779" s="3">
        <v>55191300</v>
      </c>
      <c r="F779" s="3">
        <v>38888500</v>
      </c>
      <c r="G779" t="s">
        <v>11</v>
      </c>
      <c r="H779" s="5" t="s">
        <v>30</v>
      </c>
      <c r="I779" t="s">
        <v>13</v>
      </c>
      <c r="J779" t="s">
        <v>13</v>
      </c>
    </row>
    <row r="780" spans="1:11" x14ac:dyDescent="0.35">
      <c r="A780" t="s">
        <v>5</v>
      </c>
      <c r="B780" t="str">
        <f t="shared" si="11"/>
        <v>05136</v>
      </c>
      <c r="C780" t="str">
        <f>"004"</f>
        <v>004</v>
      </c>
      <c r="D780">
        <v>2007</v>
      </c>
      <c r="E780" s="3">
        <v>129615700</v>
      </c>
      <c r="F780" s="3">
        <v>61460000</v>
      </c>
      <c r="G780" t="s">
        <v>11</v>
      </c>
      <c r="H780" s="5" t="s">
        <v>30</v>
      </c>
      <c r="I780" t="s">
        <v>13</v>
      </c>
      <c r="J780" t="s">
        <v>13</v>
      </c>
    </row>
    <row r="781" spans="1:11" x14ac:dyDescent="0.35">
      <c r="A781" t="s">
        <v>5</v>
      </c>
      <c r="B781" t="str">
        <f t="shared" si="11"/>
        <v>05136</v>
      </c>
      <c r="C781" t="str">
        <f>"005"</f>
        <v>005</v>
      </c>
      <c r="D781">
        <v>2008</v>
      </c>
      <c r="E781" s="3">
        <v>21138300</v>
      </c>
      <c r="F781" s="3">
        <v>11265900</v>
      </c>
      <c r="G781" t="s">
        <v>11</v>
      </c>
      <c r="H781" s="5" t="s">
        <v>30</v>
      </c>
      <c r="I781" t="s">
        <v>13</v>
      </c>
      <c r="J781" t="s">
        <v>13</v>
      </c>
    </row>
    <row r="782" spans="1:11" x14ac:dyDescent="0.35">
      <c r="A782" t="s">
        <v>5</v>
      </c>
      <c r="B782" t="str">
        <f t="shared" si="11"/>
        <v>05136</v>
      </c>
      <c r="C782" t="str">
        <f>"006"</f>
        <v>006</v>
      </c>
      <c r="D782">
        <v>2008</v>
      </c>
      <c r="E782" s="3">
        <v>52111300</v>
      </c>
      <c r="F782" s="3">
        <v>44181200</v>
      </c>
      <c r="G782" t="s">
        <v>11</v>
      </c>
      <c r="H782" s="5" t="s">
        <v>30</v>
      </c>
      <c r="I782" t="s">
        <v>13</v>
      </c>
      <c r="J782" t="s">
        <v>13</v>
      </c>
    </row>
    <row r="783" spans="1:11" x14ac:dyDescent="0.35">
      <c r="A783" t="s">
        <v>5</v>
      </c>
      <c r="B783" t="str">
        <f t="shared" si="11"/>
        <v>05136</v>
      </c>
      <c r="C783" t="str">
        <f>"007"</f>
        <v>007</v>
      </c>
      <c r="D783">
        <v>2012</v>
      </c>
      <c r="E783" s="3">
        <v>25937600</v>
      </c>
      <c r="F783" s="3">
        <v>7691900</v>
      </c>
      <c r="G783" t="s">
        <v>11</v>
      </c>
      <c r="H783" s="5" t="s">
        <v>30</v>
      </c>
      <c r="I783" t="s">
        <v>13</v>
      </c>
      <c r="J783" t="s">
        <v>13</v>
      </c>
    </row>
    <row r="784" spans="1:11" x14ac:dyDescent="0.35">
      <c r="A784" t="s">
        <v>5</v>
      </c>
      <c r="B784" t="str">
        <f t="shared" si="11"/>
        <v>05136</v>
      </c>
      <c r="C784" t="str">
        <f>"008"</f>
        <v>008</v>
      </c>
      <c r="D784">
        <v>2015</v>
      </c>
      <c r="E784" s="3">
        <v>52786800</v>
      </c>
      <c r="F784" s="3">
        <v>44408700</v>
      </c>
      <c r="G784" t="s">
        <v>11</v>
      </c>
      <c r="H784" s="5" t="s">
        <v>30</v>
      </c>
      <c r="I784" t="s">
        <v>13</v>
      </c>
      <c r="J784" t="s">
        <v>13</v>
      </c>
    </row>
    <row r="785" spans="1:11" x14ac:dyDescent="0.35">
      <c r="A785" t="s">
        <v>5</v>
      </c>
      <c r="B785" t="str">
        <f t="shared" si="11"/>
        <v>05136</v>
      </c>
      <c r="C785" t="str">
        <f>"009"</f>
        <v>009</v>
      </c>
      <c r="D785">
        <v>2019</v>
      </c>
      <c r="E785" s="3">
        <v>6373700</v>
      </c>
      <c r="F785" s="3">
        <v>-264100</v>
      </c>
      <c r="G785" t="s">
        <v>52</v>
      </c>
      <c r="H785" s="5" t="s">
        <v>30</v>
      </c>
      <c r="I785" t="s">
        <v>13</v>
      </c>
      <c r="J785" t="s">
        <v>13</v>
      </c>
    </row>
    <row r="786" spans="1:11" x14ac:dyDescent="0.35">
      <c r="A786" t="s">
        <v>31</v>
      </c>
      <c r="B786" t="s">
        <v>13</v>
      </c>
      <c r="C786" t="s">
        <v>7</v>
      </c>
      <c r="D786" t="s">
        <v>8</v>
      </c>
      <c r="E786" s="3">
        <v>343154700</v>
      </c>
      <c r="F786" s="3">
        <v>207896200</v>
      </c>
      <c r="G786" t="s">
        <v>11</v>
      </c>
      <c r="H786" s="5">
        <v>2528976900</v>
      </c>
      <c r="I786" t="s">
        <v>13</v>
      </c>
      <c r="J786" t="s">
        <v>13</v>
      </c>
      <c r="K786">
        <v>8.2200000000000006</v>
      </c>
    </row>
    <row r="788" spans="1:11" x14ac:dyDescent="0.35">
      <c r="A788" t="s">
        <v>198</v>
      </c>
      <c r="B788" t="str">
        <f>"55236"</f>
        <v>55236</v>
      </c>
      <c r="C788" t="str">
        <f>"005"</f>
        <v>005</v>
      </c>
      <c r="D788">
        <v>2017</v>
      </c>
      <c r="E788" s="3">
        <v>76957100</v>
      </c>
      <c r="F788" s="3">
        <v>70634700</v>
      </c>
      <c r="G788" t="s">
        <v>11</v>
      </c>
      <c r="H788" s="5" t="s">
        <v>30</v>
      </c>
      <c r="I788" t="s">
        <v>13</v>
      </c>
      <c r="J788" t="s">
        <v>13</v>
      </c>
    </row>
    <row r="789" spans="1:11" x14ac:dyDescent="0.35">
      <c r="A789" t="s">
        <v>5</v>
      </c>
      <c r="B789" t="str">
        <f>"55236"</f>
        <v>55236</v>
      </c>
      <c r="C789" t="str">
        <f>"006"</f>
        <v>006</v>
      </c>
      <c r="D789">
        <v>2018</v>
      </c>
      <c r="E789" s="3">
        <v>153488000</v>
      </c>
      <c r="F789" s="3">
        <v>55612800</v>
      </c>
      <c r="G789" t="s">
        <v>11</v>
      </c>
      <c r="H789" s="5" t="s">
        <v>30</v>
      </c>
      <c r="I789" t="s">
        <v>13</v>
      </c>
      <c r="J789" t="s">
        <v>13</v>
      </c>
    </row>
    <row r="790" spans="1:11" x14ac:dyDescent="0.35">
      <c r="A790" t="s">
        <v>31</v>
      </c>
      <c r="B790" t="s">
        <v>13</v>
      </c>
      <c r="C790" t="s">
        <v>7</v>
      </c>
      <c r="D790" t="s">
        <v>8</v>
      </c>
      <c r="E790" s="3">
        <v>230445100</v>
      </c>
      <c r="F790" s="3">
        <v>126247500</v>
      </c>
      <c r="G790" t="s">
        <v>11</v>
      </c>
      <c r="H790" s="5">
        <v>2864381700</v>
      </c>
      <c r="I790" t="s">
        <v>13</v>
      </c>
      <c r="J790" t="s">
        <v>13</v>
      </c>
      <c r="K790">
        <v>4.41</v>
      </c>
    </row>
    <row r="792" spans="1:11" x14ac:dyDescent="0.35">
      <c r="A792" t="s">
        <v>199</v>
      </c>
      <c r="B792" t="str">
        <f>"14136"</f>
        <v>14136</v>
      </c>
      <c r="C792" t="str">
        <f>"001"</f>
        <v>001</v>
      </c>
      <c r="D792">
        <v>2017</v>
      </c>
      <c r="E792" s="3">
        <v>8285500</v>
      </c>
      <c r="F792" s="3">
        <v>2872900</v>
      </c>
      <c r="G792" t="s">
        <v>11</v>
      </c>
      <c r="H792" s="5" t="s">
        <v>30</v>
      </c>
      <c r="I792" t="s">
        <v>13</v>
      </c>
      <c r="J792" t="s">
        <v>13</v>
      </c>
    </row>
    <row r="793" spans="1:11" x14ac:dyDescent="0.35">
      <c r="A793" t="s">
        <v>31</v>
      </c>
      <c r="B793" t="s">
        <v>13</v>
      </c>
      <c r="C793" t="s">
        <v>7</v>
      </c>
      <c r="D793" t="s">
        <v>8</v>
      </c>
      <c r="E793" s="3">
        <v>8285500</v>
      </c>
      <c r="F793" s="3">
        <v>2872900</v>
      </c>
      <c r="G793" t="s">
        <v>11</v>
      </c>
      <c r="H793" s="5">
        <v>100812400</v>
      </c>
      <c r="I793" t="s">
        <v>13</v>
      </c>
      <c r="J793" t="s">
        <v>13</v>
      </c>
      <c r="K793">
        <v>2.85</v>
      </c>
    </row>
    <row r="795" spans="1:11" x14ac:dyDescent="0.35">
      <c r="A795" t="s">
        <v>200</v>
      </c>
      <c r="B795" t="str">
        <f>"61241"</f>
        <v>61241</v>
      </c>
      <c r="C795" t="str">
        <f>"002"</f>
        <v>002</v>
      </c>
      <c r="D795">
        <v>2006</v>
      </c>
      <c r="E795" s="3">
        <v>6254800</v>
      </c>
      <c r="F795" s="3">
        <v>4247600</v>
      </c>
      <c r="G795" t="s">
        <v>11</v>
      </c>
      <c r="H795" s="5" t="s">
        <v>30</v>
      </c>
      <c r="I795" t="s">
        <v>13</v>
      </c>
      <c r="J795" t="s">
        <v>13</v>
      </c>
    </row>
    <row r="796" spans="1:11" x14ac:dyDescent="0.35">
      <c r="A796" t="s">
        <v>5</v>
      </c>
      <c r="B796" t="str">
        <f>"61241"</f>
        <v>61241</v>
      </c>
      <c r="C796" t="str">
        <f>"003"</f>
        <v>003</v>
      </c>
      <c r="D796">
        <v>2020</v>
      </c>
      <c r="E796" s="3">
        <v>6185500</v>
      </c>
      <c r="F796" s="3">
        <v>2402200</v>
      </c>
      <c r="G796" t="s">
        <v>11</v>
      </c>
      <c r="H796" s="5" t="s">
        <v>30</v>
      </c>
      <c r="I796" t="s">
        <v>13</v>
      </c>
      <c r="J796" t="s">
        <v>13</v>
      </c>
    </row>
    <row r="797" spans="1:11" x14ac:dyDescent="0.35">
      <c r="A797" t="s">
        <v>31</v>
      </c>
      <c r="B797" t="s">
        <v>13</v>
      </c>
      <c r="C797" t="s">
        <v>7</v>
      </c>
      <c r="D797" t="s">
        <v>8</v>
      </c>
      <c r="E797" s="3">
        <v>12440300</v>
      </c>
      <c r="F797" s="3">
        <v>6649800</v>
      </c>
      <c r="G797" t="s">
        <v>11</v>
      </c>
      <c r="H797" s="5">
        <v>95284800</v>
      </c>
      <c r="I797" t="s">
        <v>13</v>
      </c>
      <c r="J797" t="s">
        <v>13</v>
      </c>
      <c r="K797">
        <v>6.98</v>
      </c>
    </row>
    <row r="799" spans="1:11" x14ac:dyDescent="0.35">
      <c r="A799" t="s">
        <v>201</v>
      </c>
      <c r="B799" t="str">
        <f>"66141"</f>
        <v>66141</v>
      </c>
      <c r="C799" t="str">
        <f>"004"</f>
        <v>004</v>
      </c>
      <c r="D799">
        <v>1995</v>
      </c>
      <c r="E799" s="3">
        <v>58413800</v>
      </c>
      <c r="F799" s="3">
        <v>57768100</v>
      </c>
      <c r="G799" t="s">
        <v>11</v>
      </c>
      <c r="H799" s="5" t="s">
        <v>30</v>
      </c>
      <c r="I799" t="s">
        <v>13</v>
      </c>
      <c r="J799" t="s">
        <v>13</v>
      </c>
    </row>
    <row r="800" spans="1:11" x14ac:dyDescent="0.35">
      <c r="A800" t="s">
        <v>5</v>
      </c>
      <c r="B800" t="str">
        <f>"66141"</f>
        <v>66141</v>
      </c>
      <c r="C800" t="str">
        <f>"005"</f>
        <v>005</v>
      </c>
      <c r="D800">
        <v>2014</v>
      </c>
      <c r="E800" s="3">
        <v>7833000</v>
      </c>
      <c r="F800" s="3">
        <v>6899900</v>
      </c>
      <c r="G800" t="s">
        <v>11</v>
      </c>
      <c r="H800" s="5" t="s">
        <v>30</v>
      </c>
      <c r="I800" t="s">
        <v>13</v>
      </c>
      <c r="J800" t="s">
        <v>13</v>
      </c>
    </row>
    <row r="801" spans="1:11" x14ac:dyDescent="0.35">
      <c r="A801" t="s">
        <v>5</v>
      </c>
      <c r="B801" t="str">
        <f>"66141"</f>
        <v>66141</v>
      </c>
      <c r="C801" t="str">
        <f>"006"</f>
        <v>006</v>
      </c>
      <c r="D801">
        <v>2018</v>
      </c>
      <c r="E801" s="3">
        <v>14614900</v>
      </c>
      <c r="F801" s="3">
        <v>14140000</v>
      </c>
      <c r="G801" t="s">
        <v>11</v>
      </c>
      <c r="H801" s="5" t="s">
        <v>30</v>
      </c>
      <c r="I801" t="s">
        <v>13</v>
      </c>
      <c r="J801" t="s">
        <v>13</v>
      </c>
    </row>
    <row r="802" spans="1:11" x14ac:dyDescent="0.35">
      <c r="A802" t="s">
        <v>5</v>
      </c>
      <c r="B802" t="str">
        <f>"66141"</f>
        <v>66141</v>
      </c>
      <c r="C802" t="str">
        <f>"007"</f>
        <v>007</v>
      </c>
      <c r="D802">
        <v>2019</v>
      </c>
      <c r="E802" s="3">
        <v>6792600</v>
      </c>
      <c r="F802" s="3">
        <v>332200</v>
      </c>
      <c r="G802" t="s">
        <v>11</v>
      </c>
      <c r="H802" s="5" t="s">
        <v>30</v>
      </c>
      <c r="I802" t="s">
        <v>13</v>
      </c>
      <c r="J802" t="s">
        <v>13</v>
      </c>
    </row>
    <row r="803" spans="1:11" x14ac:dyDescent="0.35">
      <c r="A803" t="s">
        <v>31</v>
      </c>
      <c r="B803" t="s">
        <v>13</v>
      </c>
      <c r="C803" t="s">
        <v>7</v>
      </c>
      <c r="D803" t="s">
        <v>8</v>
      </c>
      <c r="E803" s="3">
        <v>87654300</v>
      </c>
      <c r="F803" s="3">
        <v>79140200</v>
      </c>
      <c r="G803" t="s">
        <v>11</v>
      </c>
      <c r="H803" s="5">
        <v>1069281100</v>
      </c>
      <c r="I803" t="s">
        <v>13</v>
      </c>
      <c r="J803" t="s">
        <v>13</v>
      </c>
      <c r="K803">
        <v>7.4</v>
      </c>
    </row>
    <row r="805" spans="1:11" x14ac:dyDescent="0.35">
      <c r="A805" t="s">
        <v>202</v>
      </c>
      <c r="B805" t="str">
        <f t="shared" ref="B805:B816" si="12">"53241"</f>
        <v>53241</v>
      </c>
      <c r="C805" t="str">
        <f>"017"</f>
        <v>017</v>
      </c>
      <c r="D805">
        <v>1997</v>
      </c>
      <c r="E805" s="3">
        <v>3043700</v>
      </c>
      <c r="F805" s="3">
        <v>1636200</v>
      </c>
      <c r="G805" t="s">
        <v>11</v>
      </c>
      <c r="H805" s="5" t="s">
        <v>30</v>
      </c>
      <c r="I805" t="s">
        <v>13</v>
      </c>
      <c r="J805" t="s">
        <v>13</v>
      </c>
    </row>
    <row r="806" spans="1:11" x14ac:dyDescent="0.35">
      <c r="A806" t="s">
        <v>5</v>
      </c>
      <c r="B806" t="str">
        <f t="shared" si="12"/>
        <v>53241</v>
      </c>
      <c r="C806" t="str">
        <f>"023"</f>
        <v>023</v>
      </c>
      <c r="D806">
        <v>2002</v>
      </c>
      <c r="E806" s="3">
        <v>7650700</v>
      </c>
      <c r="F806" s="3">
        <v>2677000</v>
      </c>
      <c r="G806" t="s">
        <v>11</v>
      </c>
      <c r="H806" s="5" t="s">
        <v>30</v>
      </c>
      <c r="I806" t="s">
        <v>13</v>
      </c>
      <c r="J806" t="s">
        <v>13</v>
      </c>
    </row>
    <row r="807" spans="1:11" x14ac:dyDescent="0.35">
      <c r="A807" t="s">
        <v>5</v>
      </c>
      <c r="B807" t="str">
        <f t="shared" si="12"/>
        <v>53241</v>
      </c>
      <c r="C807" t="str">
        <f>"025"</f>
        <v>025</v>
      </c>
      <c r="D807">
        <v>2003</v>
      </c>
      <c r="E807" s="3">
        <v>14792800</v>
      </c>
      <c r="F807" s="3">
        <v>14779900</v>
      </c>
      <c r="G807" t="s">
        <v>11</v>
      </c>
      <c r="H807" s="5" t="s">
        <v>30</v>
      </c>
      <c r="I807" t="s">
        <v>13</v>
      </c>
      <c r="J807" t="s">
        <v>13</v>
      </c>
    </row>
    <row r="808" spans="1:11" x14ac:dyDescent="0.35">
      <c r="A808" t="s">
        <v>5</v>
      </c>
      <c r="B808" t="str">
        <f t="shared" si="12"/>
        <v>53241</v>
      </c>
      <c r="C808" t="str">
        <f>"026"</f>
        <v>026</v>
      </c>
      <c r="D808">
        <v>2004</v>
      </c>
      <c r="E808" s="3">
        <v>58777900</v>
      </c>
      <c r="F808" s="3">
        <v>25134800</v>
      </c>
      <c r="G808" t="s">
        <v>11</v>
      </c>
      <c r="H808" s="5" t="s">
        <v>30</v>
      </c>
      <c r="I808" t="s">
        <v>13</v>
      </c>
      <c r="J808" t="s">
        <v>13</v>
      </c>
    </row>
    <row r="809" spans="1:11" x14ac:dyDescent="0.35">
      <c r="A809" t="s">
        <v>5</v>
      </c>
      <c r="B809" t="str">
        <f t="shared" si="12"/>
        <v>53241</v>
      </c>
      <c r="C809" t="str">
        <f>"027"</f>
        <v>027</v>
      </c>
      <c r="D809">
        <v>2003</v>
      </c>
      <c r="E809" s="3">
        <v>4423300</v>
      </c>
      <c r="F809" s="3">
        <v>358500</v>
      </c>
      <c r="G809" t="s">
        <v>11</v>
      </c>
      <c r="H809" s="5" t="s">
        <v>30</v>
      </c>
      <c r="I809" t="s">
        <v>13</v>
      </c>
      <c r="J809" t="s">
        <v>13</v>
      </c>
    </row>
    <row r="810" spans="1:11" x14ac:dyDescent="0.35">
      <c r="A810" t="s">
        <v>5</v>
      </c>
      <c r="B810" t="str">
        <f t="shared" si="12"/>
        <v>53241</v>
      </c>
      <c r="C810" t="str">
        <f>"028"</f>
        <v>028</v>
      </c>
      <c r="D810">
        <v>2006</v>
      </c>
      <c r="E810" s="3">
        <v>3206800</v>
      </c>
      <c r="F810" s="3">
        <v>735400</v>
      </c>
      <c r="G810" t="s">
        <v>11</v>
      </c>
      <c r="H810" s="5" t="s">
        <v>30</v>
      </c>
      <c r="I810" t="s">
        <v>13</v>
      </c>
      <c r="J810" t="s">
        <v>13</v>
      </c>
    </row>
    <row r="811" spans="1:11" x14ac:dyDescent="0.35">
      <c r="A811" t="s">
        <v>5</v>
      </c>
      <c r="B811" t="str">
        <f t="shared" si="12"/>
        <v>53241</v>
      </c>
      <c r="C811" t="str">
        <f>"032"</f>
        <v>032</v>
      </c>
      <c r="D811">
        <v>2008</v>
      </c>
      <c r="E811" s="3">
        <v>232211000</v>
      </c>
      <c r="F811" s="3">
        <v>150938900</v>
      </c>
      <c r="G811" t="s">
        <v>11</v>
      </c>
      <c r="H811" s="5" t="s">
        <v>30</v>
      </c>
      <c r="I811" t="s">
        <v>13</v>
      </c>
      <c r="J811" t="s">
        <v>13</v>
      </c>
    </row>
    <row r="812" spans="1:11" x14ac:dyDescent="0.35">
      <c r="A812" t="s">
        <v>5</v>
      </c>
      <c r="B812" t="str">
        <f t="shared" si="12"/>
        <v>53241</v>
      </c>
      <c r="C812" t="str">
        <f>"033"</f>
        <v>033</v>
      </c>
      <c r="D812">
        <v>2008</v>
      </c>
      <c r="E812" s="3">
        <v>26989400</v>
      </c>
      <c r="F812" s="3">
        <v>19940900</v>
      </c>
      <c r="G812" t="s">
        <v>11</v>
      </c>
      <c r="H812" s="5" t="s">
        <v>30</v>
      </c>
      <c r="I812" t="s">
        <v>13</v>
      </c>
      <c r="J812" t="s">
        <v>13</v>
      </c>
    </row>
    <row r="813" spans="1:11" x14ac:dyDescent="0.35">
      <c r="A813" t="s">
        <v>5</v>
      </c>
      <c r="B813" t="str">
        <f t="shared" si="12"/>
        <v>53241</v>
      </c>
      <c r="C813" t="str">
        <f>"035"</f>
        <v>035</v>
      </c>
      <c r="D813">
        <v>2011</v>
      </c>
      <c r="E813" s="3">
        <v>164664500</v>
      </c>
      <c r="F813" s="3">
        <v>136286700</v>
      </c>
      <c r="G813" t="s">
        <v>11</v>
      </c>
      <c r="H813" s="5" t="s">
        <v>30</v>
      </c>
      <c r="I813" t="s">
        <v>13</v>
      </c>
      <c r="J813" t="s">
        <v>13</v>
      </c>
    </row>
    <row r="814" spans="1:11" x14ac:dyDescent="0.35">
      <c r="A814" t="s">
        <v>5</v>
      </c>
      <c r="B814" t="str">
        <f t="shared" si="12"/>
        <v>53241</v>
      </c>
      <c r="C814" t="str">
        <f>"036"</f>
        <v>036</v>
      </c>
      <c r="D814">
        <v>2016</v>
      </c>
      <c r="E814" s="3">
        <v>134160900</v>
      </c>
      <c r="F814" s="3">
        <v>45151300</v>
      </c>
      <c r="G814" t="s">
        <v>11</v>
      </c>
      <c r="H814" s="5" t="s">
        <v>30</v>
      </c>
      <c r="I814" t="s">
        <v>13</v>
      </c>
      <c r="J814" t="s">
        <v>13</v>
      </c>
    </row>
    <row r="815" spans="1:11" x14ac:dyDescent="0.35">
      <c r="A815" t="s">
        <v>5</v>
      </c>
      <c r="B815" t="str">
        <f t="shared" si="12"/>
        <v>53241</v>
      </c>
      <c r="C815" t="str">
        <f>"037"</f>
        <v>037</v>
      </c>
      <c r="D815">
        <v>2017</v>
      </c>
      <c r="E815" s="3">
        <v>30167600</v>
      </c>
      <c r="F815" s="3">
        <v>22907200</v>
      </c>
      <c r="G815" t="s">
        <v>11</v>
      </c>
      <c r="H815" s="5" t="s">
        <v>30</v>
      </c>
      <c r="I815" t="s">
        <v>13</v>
      </c>
      <c r="J815" t="s">
        <v>13</v>
      </c>
    </row>
    <row r="816" spans="1:11" x14ac:dyDescent="0.35">
      <c r="A816" t="s">
        <v>5</v>
      </c>
      <c r="B816" t="str">
        <f t="shared" si="12"/>
        <v>53241</v>
      </c>
      <c r="C816" t="str">
        <f>"038"</f>
        <v>038</v>
      </c>
      <c r="D816">
        <v>2020</v>
      </c>
      <c r="E816" s="3">
        <v>38690800</v>
      </c>
      <c r="F816" s="3">
        <v>20265000</v>
      </c>
      <c r="G816" t="s">
        <v>11</v>
      </c>
      <c r="H816" s="5" t="s">
        <v>30</v>
      </c>
      <c r="I816" t="s">
        <v>13</v>
      </c>
      <c r="J816" t="s">
        <v>13</v>
      </c>
    </row>
    <row r="817" spans="1:11" x14ac:dyDescent="0.35">
      <c r="A817" t="s">
        <v>31</v>
      </c>
      <c r="B817" t="s">
        <v>13</v>
      </c>
      <c r="C817" t="s">
        <v>7</v>
      </c>
      <c r="D817" t="s">
        <v>8</v>
      </c>
      <c r="E817" s="3">
        <v>718779400</v>
      </c>
      <c r="F817" s="3">
        <v>440811800</v>
      </c>
      <c r="G817" t="s">
        <v>11</v>
      </c>
      <c r="H817" s="5">
        <v>7195842200</v>
      </c>
      <c r="I817" t="s">
        <v>13</v>
      </c>
      <c r="J817" t="s">
        <v>13</v>
      </c>
      <c r="K817">
        <v>6.13</v>
      </c>
    </row>
    <row r="819" spans="1:11" x14ac:dyDescent="0.35">
      <c r="A819" t="s">
        <v>203</v>
      </c>
      <c r="B819" t="str">
        <f>"28241"</f>
        <v>28241</v>
      </c>
      <c r="C819" t="str">
        <f>"005"</f>
        <v>005</v>
      </c>
      <c r="D819">
        <v>2001</v>
      </c>
      <c r="E819" s="3">
        <v>40017200</v>
      </c>
      <c r="F819" s="3">
        <v>18579900</v>
      </c>
      <c r="G819" t="s">
        <v>11</v>
      </c>
      <c r="H819" s="5" t="s">
        <v>30</v>
      </c>
      <c r="I819" t="s">
        <v>13</v>
      </c>
      <c r="J819" t="s">
        <v>13</v>
      </c>
    </row>
    <row r="820" spans="1:11" x14ac:dyDescent="0.35">
      <c r="A820" t="s">
        <v>5</v>
      </c>
      <c r="B820" t="str">
        <f>"28241"</f>
        <v>28241</v>
      </c>
      <c r="C820" t="str">
        <f>"006"</f>
        <v>006</v>
      </c>
      <c r="D820">
        <v>2009</v>
      </c>
      <c r="E820" s="3">
        <v>7827600</v>
      </c>
      <c r="F820" s="3">
        <v>7827600</v>
      </c>
      <c r="G820" t="s">
        <v>11</v>
      </c>
      <c r="H820" s="5" t="s">
        <v>30</v>
      </c>
      <c r="I820" t="s">
        <v>13</v>
      </c>
      <c r="J820" t="s">
        <v>13</v>
      </c>
    </row>
    <row r="821" spans="1:11" x14ac:dyDescent="0.35">
      <c r="A821" t="s">
        <v>5</v>
      </c>
      <c r="B821" t="str">
        <f>"28241"</f>
        <v>28241</v>
      </c>
      <c r="C821" t="str">
        <f>"007"</f>
        <v>007</v>
      </c>
      <c r="D821">
        <v>2012</v>
      </c>
      <c r="E821" s="3">
        <v>12487200</v>
      </c>
      <c r="F821" s="3">
        <v>12469000</v>
      </c>
      <c r="G821" t="s">
        <v>11</v>
      </c>
      <c r="H821" s="5" t="s">
        <v>30</v>
      </c>
      <c r="I821" t="s">
        <v>13</v>
      </c>
      <c r="J821" t="s">
        <v>13</v>
      </c>
    </row>
    <row r="822" spans="1:11" x14ac:dyDescent="0.35">
      <c r="A822" t="s">
        <v>5</v>
      </c>
      <c r="B822" t="str">
        <f>"28241"</f>
        <v>28241</v>
      </c>
      <c r="C822" t="str">
        <f>"008"</f>
        <v>008</v>
      </c>
      <c r="D822">
        <v>2015</v>
      </c>
      <c r="E822" s="3">
        <v>1521600</v>
      </c>
      <c r="F822" s="3">
        <v>648400</v>
      </c>
      <c r="G822" t="s">
        <v>11</v>
      </c>
      <c r="H822" s="5" t="s">
        <v>30</v>
      </c>
      <c r="I822" t="s">
        <v>13</v>
      </c>
      <c r="J822" t="s">
        <v>13</v>
      </c>
    </row>
    <row r="823" spans="1:11" x14ac:dyDescent="0.35">
      <c r="A823" t="s">
        <v>5</v>
      </c>
      <c r="B823" t="str">
        <f>"28241"</f>
        <v>28241</v>
      </c>
      <c r="C823" t="str">
        <f>"009"</f>
        <v>009</v>
      </c>
      <c r="D823">
        <v>2019</v>
      </c>
      <c r="E823" s="3">
        <v>6057000</v>
      </c>
      <c r="F823" s="3">
        <v>6041900</v>
      </c>
      <c r="G823" t="s">
        <v>11</v>
      </c>
      <c r="H823" s="5" t="s">
        <v>30</v>
      </c>
      <c r="I823" t="s">
        <v>13</v>
      </c>
      <c r="J823" t="s">
        <v>13</v>
      </c>
    </row>
    <row r="824" spans="1:11" x14ac:dyDescent="0.35">
      <c r="A824" t="s">
        <v>31</v>
      </c>
      <c r="B824" t="s">
        <v>13</v>
      </c>
      <c r="C824" t="s">
        <v>7</v>
      </c>
      <c r="D824" t="s">
        <v>8</v>
      </c>
      <c r="E824" s="3">
        <v>67910600</v>
      </c>
      <c r="F824" s="3">
        <v>45566800</v>
      </c>
      <c r="G824" t="s">
        <v>11</v>
      </c>
      <c r="H824" s="5">
        <v>747576000</v>
      </c>
      <c r="I824" t="s">
        <v>13</v>
      </c>
      <c r="J824" t="s">
        <v>13</v>
      </c>
      <c r="K824">
        <v>6.1</v>
      </c>
    </row>
    <row r="826" spans="1:11" x14ac:dyDescent="0.35">
      <c r="A826" t="s">
        <v>204</v>
      </c>
      <c r="B826" t="str">
        <f>"28141"</f>
        <v>28141</v>
      </c>
      <c r="C826" t="str">
        <f>"004"</f>
        <v>004</v>
      </c>
      <c r="D826">
        <v>2021</v>
      </c>
      <c r="E826" s="3">
        <v>15551900</v>
      </c>
      <c r="F826" s="3">
        <v>1445100</v>
      </c>
      <c r="G826" t="s">
        <v>11</v>
      </c>
      <c r="H826" s="5" t="s">
        <v>30</v>
      </c>
      <c r="I826" t="s">
        <v>13</v>
      </c>
      <c r="J826" t="s">
        <v>13</v>
      </c>
    </row>
    <row r="827" spans="1:11" x14ac:dyDescent="0.35">
      <c r="A827" t="s">
        <v>31</v>
      </c>
      <c r="B827" t="s">
        <v>13</v>
      </c>
      <c r="C827" t="s">
        <v>7</v>
      </c>
      <c r="D827" t="s">
        <v>8</v>
      </c>
      <c r="E827" s="3">
        <v>15551900</v>
      </c>
      <c r="F827" s="3">
        <v>1445100</v>
      </c>
      <c r="G827" t="s">
        <v>11</v>
      </c>
      <c r="H827" s="5">
        <v>515093200</v>
      </c>
      <c r="I827" t="s">
        <v>13</v>
      </c>
      <c r="J827" t="s">
        <v>13</v>
      </c>
      <c r="K827">
        <v>0.28000000000000003</v>
      </c>
    </row>
    <row r="829" spans="1:11" x14ac:dyDescent="0.35">
      <c r="A829" t="s">
        <v>205</v>
      </c>
      <c r="B829" t="str">
        <f>"49141"</f>
        <v>49141</v>
      </c>
      <c r="C829" t="str">
        <f>"001"</f>
        <v>001</v>
      </c>
      <c r="D829">
        <v>2008</v>
      </c>
      <c r="E829" s="3">
        <v>2855300</v>
      </c>
      <c r="F829" s="3">
        <v>1587600</v>
      </c>
      <c r="G829" t="s">
        <v>11</v>
      </c>
      <c r="H829" s="5" t="s">
        <v>30</v>
      </c>
      <c r="I829" t="s">
        <v>13</v>
      </c>
      <c r="J829" t="s">
        <v>13</v>
      </c>
    </row>
    <row r="830" spans="1:11" x14ac:dyDescent="0.35">
      <c r="A830" t="s">
        <v>5</v>
      </c>
      <c r="B830" t="str">
        <f>"49141"</f>
        <v>49141</v>
      </c>
      <c r="C830" t="str">
        <f>"002"</f>
        <v>002</v>
      </c>
      <c r="D830">
        <v>2019</v>
      </c>
      <c r="E830" s="3">
        <v>2619100</v>
      </c>
      <c r="F830" s="3">
        <v>735900</v>
      </c>
      <c r="G830" t="s">
        <v>11</v>
      </c>
      <c r="H830" s="5" t="s">
        <v>30</v>
      </c>
      <c r="I830" t="s">
        <v>13</v>
      </c>
      <c r="J830" t="s">
        <v>13</v>
      </c>
    </row>
    <row r="831" spans="1:11" x14ac:dyDescent="0.35">
      <c r="A831" t="s">
        <v>31</v>
      </c>
      <c r="B831" t="s">
        <v>13</v>
      </c>
      <c r="C831" t="s">
        <v>7</v>
      </c>
      <c r="D831" t="s">
        <v>8</v>
      </c>
      <c r="E831" s="3">
        <v>5474400</v>
      </c>
      <c r="F831" s="3">
        <v>2323500</v>
      </c>
      <c r="G831" t="s">
        <v>11</v>
      </c>
      <c r="H831" s="5">
        <v>24088800</v>
      </c>
      <c r="I831" t="s">
        <v>13</v>
      </c>
      <c r="J831" t="s">
        <v>13</v>
      </c>
      <c r="K831">
        <v>9.65</v>
      </c>
    </row>
    <row r="833" spans="1:11" x14ac:dyDescent="0.35">
      <c r="A833" t="s">
        <v>206</v>
      </c>
      <c r="B833" t="str">
        <f>"14241"</f>
        <v>14241</v>
      </c>
      <c r="C833" t="str">
        <f>"004"</f>
        <v>004</v>
      </c>
      <c r="D833">
        <v>2018</v>
      </c>
      <c r="E833" s="3">
        <v>14886200</v>
      </c>
      <c r="F833" s="3">
        <v>7409100</v>
      </c>
      <c r="G833" t="s">
        <v>11</v>
      </c>
      <c r="H833" s="5" t="s">
        <v>30</v>
      </c>
      <c r="I833" t="s">
        <v>13</v>
      </c>
      <c r="J833" t="s">
        <v>13</v>
      </c>
    </row>
    <row r="834" spans="1:11" x14ac:dyDescent="0.35">
      <c r="A834" t="s">
        <v>31</v>
      </c>
      <c r="B834" t="s">
        <v>13</v>
      </c>
      <c r="C834" t="s">
        <v>7</v>
      </c>
      <c r="D834" t="s">
        <v>8</v>
      </c>
      <c r="E834" s="3">
        <v>14886200</v>
      </c>
      <c r="F834" s="3">
        <v>7409100</v>
      </c>
      <c r="G834" t="s">
        <v>11</v>
      </c>
      <c r="H834" s="5">
        <v>159391400</v>
      </c>
      <c r="I834" t="s">
        <v>13</v>
      </c>
      <c r="J834" t="s">
        <v>13</v>
      </c>
      <c r="K834">
        <v>4.6500000000000004</v>
      </c>
    </row>
    <row r="836" spans="1:11" x14ac:dyDescent="0.35">
      <c r="A836" t="s">
        <v>207</v>
      </c>
      <c r="B836" t="str">
        <f t="shared" ref="B836:B842" si="13">"44241"</f>
        <v>44241</v>
      </c>
      <c r="C836" t="str">
        <f>"004"</f>
        <v>004</v>
      </c>
      <c r="D836">
        <v>2000</v>
      </c>
      <c r="E836" s="3">
        <v>16251300</v>
      </c>
      <c r="F836" s="3">
        <v>202000</v>
      </c>
      <c r="G836" t="s">
        <v>11</v>
      </c>
      <c r="H836" s="5" t="s">
        <v>30</v>
      </c>
      <c r="I836" t="s">
        <v>13</v>
      </c>
      <c r="J836" t="s">
        <v>13</v>
      </c>
    </row>
    <row r="837" spans="1:11" x14ac:dyDescent="0.35">
      <c r="A837" t="s">
        <v>5</v>
      </c>
      <c r="B837" t="str">
        <f t="shared" si="13"/>
        <v>44241</v>
      </c>
      <c r="C837" t="str">
        <f>"005"</f>
        <v>005</v>
      </c>
      <c r="D837">
        <v>2003</v>
      </c>
      <c r="E837" s="3">
        <v>14022700</v>
      </c>
      <c r="F837" s="3">
        <v>12944800</v>
      </c>
      <c r="G837" t="s">
        <v>11</v>
      </c>
      <c r="H837" s="5" t="s">
        <v>30</v>
      </c>
      <c r="I837" t="s">
        <v>13</v>
      </c>
      <c r="J837" t="s">
        <v>13</v>
      </c>
    </row>
    <row r="838" spans="1:11" x14ac:dyDescent="0.35">
      <c r="A838" t="s">
        <v>5</v>
      </c>
      <c r="B838" t="str">
        <f t="shared" si="13"/>
        <v>44241</v>
      </c>
      <c r="C838" t="str">
        <f>"006"</f>
        <v>006</v>
      </c>
      <c r="D838">
        <v>2006</v>
      </c>
      <c r="E838" s="3">
        <v>50971300</v>
      </c>
      <c r="F838" s="3">
        <v>47819600</v>
      </c>
      <c r="G838" t="s">
        <v>11</v>
      </c>
      <c r="H838" s="5" t="s">
        <v>30</v>
      </c>
      <c r="I838" t="s">
        <v>13</v>
      </c>
      <c r="J838" t="s">
        <v>13</v>
      </c>
    </row>
    <row r="839" spans="1:11" x14ac:dyDescent="0.35">
      <c r="A839" t="s">
        <v>5</v>
      </c>
      <c r="B839" t="str">
        <f t="shared" si="13"/>
        <v>44241</v>
      </c>
      <c r="C839" t="str">
        <f>"008"</f>
        <v>008</v>
      </c>
      <c r="D839">
        <v>2013</v>
      </c>
      <c r="E839" s="3">
        <v>6836300</v>
      </c>
      <c r="F839" s="3">
        <v>4265100</v>
      </c>
      <c r="G839" t="s">
        <v>11</v>
      </c>
      <c r="H839" s="5" t="s">
        <v>30</v>
      </c>
      <c r="I839" t="s">
        <v>13</v>
      </c>
      <c r="J839" t="s">
        <v>13</v>
      </c>
    </row>
    <row r="840" spans="1:11" x14ac:dyDescent="0.35">
      <c r="A840" t="s">
        <v>5</v>
      </c>
      <c r="B840" t="str">
        <f t="shared" si="13"/>
        <v>44241</v>
      </c>
      <c r="C840" t="str">
        <f>"009"</f>
        <v>009</v>
      </c>
      <c r="D840">
        <v>2016</v>
      </c>
      <c r="E840" s="3">
        <v>2833300</v>
      </c>
      <c r="F840" s="3">
        <v>1526700</v>
      </c>
      <c r="G840" t="s">
        <v>11</v>
      </c>
      <c r="H840" s="5" t="s">
        <v>30</v>
      </c>
      <c r="I840" t="s">
        <v>13</v>
      </c>
      <c r="J840" t="s">
        <v>13</v>
      </c>
    </row>
    <row r="841" spans="1:11" x14ac:dyDescent="0.35">
      <c r="A841" t="s">
        <v>5</v>
      </c>
      <c r="B841" t="str">
        <f t="shared" si="13"/>
        <v>44241</v>
      </c>
      <c r="C841" t="str">
        <f>"010"</f>
        <v>010</v>
      </c>
      <c r="D841">
        <v>2019</v>
      </c>
      <c r="E841" s="3">
        <v>11899300</v>
      </c>
      <c r="F841" s="3">
        <v>5046500</v>
      </c>
      <c r="G841" t="s">
        <v>11</v>
      </c>
      <c r="H841" s="5" t="s">
        <v>30</v>
      </c>
      <c r="I841" t="s">
        <v>13</v>
      </c>
      <c r="J841" t="s">
        <v>13</v>
      </c>
    </row>
    <row r="842" spans="1:11" x14ac:dyDescent="0.35">
      <c r="A842" t="s">
        <v>5</v>
      </c>
      <c r="B842" t="str">
        <f t="shared" si="13"/>
        <v>44241</v>
      </c>
      <c r="C842" t="str">
        <f>"011"</f>
        <v>011</v>
      </c>
      <c r="D842">
        <v>2021</v>
      </c>
      <c r="E842" s="3">
        <v>19824700</v>
      </c>
      <c r="F842" s="3">
        <v>4647000</v>
      </c>
      <c r="G842" t="s">
        <v>11</v>
      </c>
      <c r="H842" s="5" t="s">
        <v>30</v>
      </c>
      <c r="I842" t="s">
        <v>13</v>
      </c>
      <c r="J842" t="s">
        <v>13</v>
      </c>
    </row>
    <row r="843" spans="1:11" x14ac:dyDescent="0.35">
      <c r="A843" t="s">
        <v>31</v>
      </c>
      <c r="B843" t="s">
        <v>13</v>
      </c>
      <c r="C843" t="s">
        <v>7</v>
      </c>
      <c r="D843" t="s">
        <v>8</v>
      </c>
      <c r="E843" s="3">
        <v>122638900</v>
      </c>
      <c r="F843" s="3">
        <v>76451700</v>
      </c>
      <c r="G843" t="s">
        <v>11</v>
      </c>
      <c r="H843" s="5">
        <v>1463310100</v>
      </c>
      <c r="I843" t="s">
        <v>13</v>
      </c>
      <c r="J843" t="s">
        <v>13</v>
      </c>
      <c r="K843">
        <v>5.22</v>
      </c>
    </row>
    <row r="845" spans="1:11" x14ac:dyDescent="0.35">
      <c r="A845" t="s">
        <v>208</v>
      </c>
      <c r="B845" t="str">
        <f>"36132"</f>
        <v>36132</v>
      </c>
      <c r="C845" t="str">
        <f>"001"</f>
        <v>001</v>
      </c>
      <c r="D845">
        <v>2003</v>
      </c>
      <c r="E845" s="3">
        <v>1508000</v>
      </c>
      <c r="F845" s="3">
        <v>724400</v>
      </c>
      <c r="G845" t="s">
        <v>11</v>
      </c>
      <c r="H845" s="5" t="s">
        <v>30</v>
      </c>
      <c r="I845" t="s">
        <v>13</v>
      </c>
      <c r="J845" t="s">
        <v>13</v>
      </c>
    </row>
    <row r="846" spans="1:11" x14ac:dyDescent="0.35">
      <c r="A846" t="s">
        <v>31</v>
      </c>
      <c r="B846" t="s">
        <v>13</v>
      </c>
      <c r="C846" t="s">
        <v>7</v>
      </c>
      <c r="D846" t="s">
        <v>8</v>
      </c>
      <c r="E846" s="3">
        <v>1508000</v>
      </c>
      <c r="F846" s="3">
        <v>724400</v>
      </c>
      <c r="G846" t="s">
        <v>11</v>
      </c>
      <c r="H846" s="5">
        <v>18551200</v>
      </c>
      <c r="I846" t="s">
        <v>13</v>
      </c>
      <c r="J846" t="s">
        <v>13</v>
      </c>
      <c r="K846">
        <v>3.9</v>
      </c>
    </row>
    <row r="848" spans="1:11" x14ac:dyDescent="0.35">
      <c r="A848" t="s">
        <v>209</v>
      </c>
      <c r="B848" t="str">
        <f t="shared" ref="B848:B873" si="14">"30241"</f>
        <v>30241</v>
      </c>
      <c r="C848" t="str">
        <f>"004"</f>
        <v>004</v>
      </c>
      <c r="D848">
        <v>1989</v>
      </c>
      <c r="E848" s="3">
        <v>139868100</v>
      </c>
      <c r="F848" s="3">
        <v>123694800</v>
      </c>
      <c r="G848" t="s">
        <v>11</v>
      </c>
      <c r="H848" s="5" t="s">
        <v>30</v>
      </c>
      <c r="I848" t="s">
        <v>13</v>
      </c>
      <c r="J848" t="s">
        <v>13</v>
      </c>
    </row>
    <row r="849" spans="1:10" x14ac:dyDescent="0.35">
      <c r="A849" t="s">
        <v>5</v>
      </c>
      <c r="B849" t="str">
        <f t="shared" si="14"/>
        <v>30241</v>
      </c>
      <c r="C849" t="str">
        <f>"005"</f>
        <v>005</v>
      </c>
      <c r="D849">
        <v>1994</v>
      </c>
      <c r="E849" s="3">
        <v>136574500</v>
      </c>
      <c r="F849" s="3">
        <v>136254800</v>
      </c>
      <c r="G849" t="s">
        <v>11</v>
      </c>
      <c r="H849" s="5" t="s">
        <v>30</v>
      </c>
      <c r="I849" t="s">
        <v>13</v>
      </c>
      <c r="J849" t="s">
        <v>13</v>
      </c>
    </row>
    <row r="850" spans="1:10" x14ac:dyDescent="0.35">
      <c r="A850" t="s">
        <v>5</v>
      </c>
      <c r="B850" t="str">
        <f t="shared" si="14"/>
        <v>30241</v>
      </c>
      <c r="C850" t="str">
        <f>"006"</f>
        <v>006</v>
      </c>
      <c r="D850">
        <v>1997</v>
      </c>
      <c r="E850" s="3">
        <v>20714400</v>
      </c>
      <c r="F850" s="3">
        <v>16998200</v>
      </c>
      <c r="G850" t="s">
        <v>11</v>
      </c>
      <c r="H850" s="5" t="s">
        <v>30</v>
      </c>
      <c r="I850" t="s">
        <v>13</v>
      </c>
      <c r="J850" t="s">
        <v>13</v>
      </c>
    </row>
    <row r="851" spans="1:10" x14ac:dyDescent="0.35">
      <c r="A851" t="s">
        <v>5</v>
      </c>
      <c r="B851" t="str">
        <f t="shared" si="14"/>
        <v>30241</v>
      </c>
      <c r="C851" t="str">
        <f>"007"</f>
        <v>007</v>
      </c>
      <c r="D851">
        <v>2002</v>
      </c>
      <c r="E851" s="3">
        <v>14036400</v>
      </c>
      <c r="F851" s="3">
        <v>12857800</v>
      </c>
      <c r="G851" t="s">
        <v>11</v>
      </c>
      <c r="H851" s="5" t="s">
        <v>30</v>
      </c>
      <c r="I851" t="s">
        <v>13</v>
      </c>
      <c r="J851" t="s">
        <v>13</v>
      </c>
    </row>
    <row r="852" spans="1:10" x14ac:dyDescent="0.35">
      <c r="A852" t="s">
        <v>5</v>
      </c>
      <c r="B852" t="str">
        <f t="shared" si="14"/>
        <v>30241</v>
      </c>
      <c r="C852" t="str">
        <f>"008"</f>
        <v>008</v>
      </c>
      <c r="D852">
        <v>2002</v>
      </c>
      <c r="E852" s="3">
        <v>89948100</v>
      </c>
      <c r="F852" s="3">
        <v>89702200</v>
      </c>
      <c r="G852" t="s">
        <v>11</v>
      </c>
      <c r="H852" s="5" t="s">
        <v>30</v>
      </c>
      <c r="I852" t="s">
        <v>13</v>
      </c>
      <c r="J852" t="s">
        <v>13</v>
      </c>
    </row>
    <row r="853" spans="1:10" x14ac:dyDescent="0.35">
      <c r="A853" t="s">
        <v>5</v>
      </c>
      <c r="B853" t="str">
        <f t="shared" si="14"/>
        <v>30241</v>
      </c>
      <c r="C853" t="str">
        <f>"009"</f>
        <v>009</v>
      </c>
      <c r="D853">
        <v>2003</v>
      </c>
      <c r="E853" s="3">
        <v>49165200</v>
      </c>
      <c r="F853" s="3">
        <v>24626500</v>
      </c>
      <c r="G853" t="s">
        <v>11</v>
      </c>
      <c r="H853" s="5" t="s">
        <v>30</v>
      </c>
      <c r="I853" t="s">
        <v>13</v>
      </c>
      <c r="J853" t="s">
        <v>13</v>
      </c>
    </row>
    <row r="854" spans="1:10" x14ac:dyDescent="0.35">
      <c r="A854" t="s">
        <v>5</v>
      </c>
      <c r="B854" t="str">
        <f t="shared" si="14"/>
        <v>30241</v>
      </c>
      <c r="C854" t="str">
        <f>"010"</f>
        <v>010</v>
      </c>
      <c r="D854">
        <v>2005</v>
      </c>
      <c r="E854" s="3">
        <v>27355800</v>
      </c>
      <c r="F854" s="3">
        <v>15058100</v>
      </c>
      <c r="G854" t="s">
        <v>11</v>
      </c>
      <c r="H854" s="5" t="s">
        <v>30</v>
      </c>
      <c r="I854" t="s">
        <v>13</v>
      </c>
      <c r="J854" t="s">
        <v>13</v>
      </c>
    </row>
    <row r="855" spans="1:10" x14ac:dyDescent="0.35">
      <c r="A855" t="s">
        <v>5</v>
      </c>
      <c r="B855" t="str">
        <f t="shared" si="14"/>
        <v>30241</v>
      </c>
      <c r="C855" t="str">
        <f>"011"</f>
        <v>011</v>
      </c>
      <c r="D855">
        <v>2006</v>
      </c>
      <c r="E855" s="3">
        <v>133354200</v>
      </c>
      <c r="F855" s="3">
        <v>130480900</v>
      </c>
      <c r="G855" t="s">
        <v>11</v>
      </c>
      <c r="H855" s="5" t="s">
        <v>30</v>
      </c>
      <c r="I855" t="s">
        <v>13</v>
      </c>
      <c r="J855" t="s">
        <v>13</v>
      </c>
    </row>
    <row r="856" spans="1:10" x14ac:dyDescent="0.35">
      <c r="A856" t="s">
        <v>5</v>
      </c>
      <c r="B856" t="str">
        <f t="shared" si="14"/>
        <v>30241</v>
      </c>
      <c r="C856" t="str">
        <f>"013"</f>
        <v>013</v>
      </c>
      <c r="D856">
        <v>2008</v>
      </c>
      <c r="E856" s="3">
        <v>66887400</v>
      </c>
      <c r="F856" s="3">
        <v>66262300</v>
      </c>
      <c r="G856" t="s">
        <v>11</v>
      </c>
      <c r="H856" s="5" t="s">
        <v>30</v>
      </c>
      <c r="I856" t="s">
        <v>13</v>
      </c>
      <c r="J856" t="s">
        <v>13</v>
      </c>
    </row>
    <row r="857" spans="1:10" x14ac:dyDescent="0.35">
      <c r="A857" t="s">
        <v>5</v>
      </c>
      <c r="B857" t="str">
        <f t="shared" si="14"/>
        <v>30241</v>
      </c>
      <c r="C857" t="str">
        <f>"015"</f>
        <v>015</v>
      </c>
      <c r="D857">
        <v>2013</v>
      </c>
      <c r="E857" s="3">
        <v>2025700</v>
      </c>
      <c r="F857" s="3">
        <v>1734200</v>
      </c>
      <c r="G857" t="s">
        <v>11</v>
      </c>
      <c r="H857" s="5" t="s">
        <v>30</v>
      </c>
      <c r="I857" t="s">
        <v>13</v>
      </c>
      <c r="J857" t="s">
        <v>13</v>
      </c>
    </row>
    <row r="858" spans="1:10" x14ac:dyDescent="0.35">
      <c r="A858" t="s">
        <v>5</v>
      </c>
      <c r="B858" t="str">
        <f t="shared" si="14"/>
        <v>30241</v>
      </c>
      <c r="C858" t="str">
        <f>"016"</f>
        <v>016</v>
      </c>
      <c r="D858">
        <v>2013</v>
      </c>
      <c r="E858" s="3">
        <v>188142700</v>
      </c>
      <c r="F858" s="3">
        <v>186570800</v>
      </c>
      <c r="G858" t="s">
        <v>11</v>
      </c>
      <c r="H858" s="5" t="s">
        <v>30</v>
      </c>
      <c r="I858" t="s">
        <v>13</v>
      </c>
      <c r="J858" t="s">
        <v>13</v>
      </c>
    </row>
    <row r="859" spans="1:10" x14ac:dyDescent="0.35">
      <c r="A859" t="s">
        <v>5</v>
      </c>
      <c r="B859" t="str">
        <f t="shared" si="14"/>
        <v>30241</v>
      </c>
      <c r="C859" t="str">
        <f>"017"</f>
        <v>017</v>
      </c>
      <c r="D859">
        <v>2014</v>
      </c>
      <c r="E859" s="3">
        <v>10894200</v>
      </c>
      <c r="F859" s="3">
        <v>10843300</v>
      </c>
      <c r="G859" t="s">
        <v>11</v>
      </c>
      <c r="H859" s="5" t="s">
        <v>30</v>
      </c>
      <c r="I859" t="s">
        <v>13</v>
      </c>
      <c r="J859" t="s">
        <v>13</v>
      </c>
    </row>
    <row r="860" spans="1:10" x14ac:dyDescent="0.35">
      <c r="A860" t="s">
        <v>5</v>
      </c>
      <c r="B860" t="str">
        <f t="shared" si="14"/>
        <v>30241</v>
      </c>
      <c r="C860" t="str">
        <f>"018"</f>
        <v>018</v>
      </c>
      <c r="D860">
        <v>2015</v>
      </c>
      <c r="E860" s="3">
        <v>15744400</v>
      </c>
      <c r="F860" s="3">
        <v>15562100</v>
      </c>
      <c r="G860" t="s">
        <v>11</v>
      </c>
      <c r="H860" s="5" t="s">
        <v>30</v>
      </c>
      <c r="I860" t="s">
        <v>13</v>
      </c>
      <c r="J860" t="s">
        <v>13</v>
      </c>
    </row>
    <row r="861" spans="1:10" x14ac:dyDescent="0.35">
      <c r="A861" t="s">
        <v>5</v>
      </c>
      <c r="B861" t="str">
        <f t="shared" si="14"/>
        <v>30241</v>
      </c>
      <c r="C861" t="str">
        <f>"019"</f>
        <v>019</v>
      </c>
      <c r="D861">
        <v>2017</v>
      </c>
      <c r="E861" s="3">
        <v>424400</v>
      </c>
      <c r="F861" s="3">
        <v>23500</v>
      </c>
      <c r="G861" t="s">
        <v>11</v>
      </c>
      <c r="H861" s="5" t="s">
        <v>30</v>
      </c>
      <c r="I861" t="s">
        <v>13</v>
      </c>
      <c r="J861" t="s">
        <v>13</v>
      </c>
    </row>
    <row r="862" spans="1:10" x14ac:dyDescent="0.35">
      <c r="A862" t="s">
        <v>5</v>
      </c>
      <c r="B862" t="str">
        <f t="shared" si="14"/>
        <v>30241</v>
      </c>
      <c r="C862" t="str">
        <f>"020"</f>
        <v>020</v>
      </c>
      <c r="D862">
        <v>2017</v>
      </c>
      <c r="E862" s="3">
        <v>20725600</v>
      </c>
      <c r="F862" s="3">
        <v>20721600</v>
      </c>
      <c r="G862" t="s">
        <v>11</v>
      </c>
      <c r="H862" s="5" t="s">
        <v>30</v>
      </c>
      <c r="I862" t="s">
        <v>13</v>
      </c>
      <c r="J862" t="s">
        <v>13</v>
      </c>
    </row>
    <row r="863" spans="1:10" x14ac:dyDescent="0.35">
      <c r="A863" t="s">
        <v>5</v>
      </c>
      <c r="B863" t="str">
        <f t="shared" si="14"/>
        <v>30241</v>
      </c>
      <c r="C863" t="str">
        <f>"021"</f>
        <v>021</v>
      </c>
      <c r="D863">
        <v>2017</v>
      </c>
      <c r="E863" s="3">
        <v>72157000</v>
      </c>
      <c r="F863" s="3">
        <v>72137600</v>
      </c>
      <c r="G863" t="s">
        <v>11</v>
      </c>
      <c r="H863" s="5" t="s">
        <v>30</v>
      </c>
      <c r="I863" t="s">
        <v>13</v>
      </c>
      <c r="J863" t="s">
        <v>13</v>
      </c>
    </row>
    <row r="864" spans="1:10" x14ac:dyDescent="0.35">
      <c r="A864" t="s">
        <v>5</v>
      </c>
      <c r="B864" t="str">
        <f t="shared" si="14"/>
        <v>30241</v>
      </c>
      <c r="C864" t="str">
        <f>"023"</f>
        <v>023</v>
      </c>
      <c r="D864">
        <v>2018</v>
      </c>
      <c r="E864" s="3">
        <v>0</v>
      </c>
      <c r="F864" s="3">
        <v>0</v>
      </c>
      <c r="G864" t="s">
        <v>11</v>
      </c>
      <c r="H864" s="5" t="s">
        <v>30</v>
      </c>
      <c r="I864" t="s">
        <v>13</v>
      </c>
      <c r="J864" t="s">
        <v>13</v>
      </c>
    </row>
    <row r="865" spans="1:11" x14ac:dyDescent="0.35">
      <c r="A865" t="s">
        <v>5</v>
      </c>
      <c r="B865" t="str">
        <f t="shared" si="14"/>
        <v>30241</v>
      </c>
      <c r="C865" t="str">
        <f>"024"</f>
        <v>024</v>
      </c>
      <c r="D865">
        <v>2018</v>
      </c>
      <c r="E865" s="3">
        <v>0</v>
      </c>
      <c r="F865" s="3">
        <v>0</v>
      </c>
      <c r="G865" t="s">
        <v>11</v>
      </c>
      <c r="H865" s="5" t="s">
        <v>30</v>
      </c>
      <c r="I865" t="s">
        <v>13</v>
      </c>
      <c r="J865" t="s">
        <v>13</v>
      </c>
    </row>
    <row r="866" spans="1:11" x14ac:dyDescent="0.35">
      <c r="A866" t="s">
        <v>5</v>
      </c>
      <c r="B866" t="str">
        <f t="shared" si="14"/>
        <v>30241</v>
      </c>
      <c r="C866" t="str">
        <f>"025"</f>
        <v>025</v>
      </c>
      <c r="D866">
        <v>2018</v>
      </c>
      <c r="E866" s="3">
        <v>1195700</v>
      </c>
      <c r="F866" s="3">
        <v>1073900</v>
      </c>
      <c r="G866" t="s">
        <v>11</v>
      </c>
      <c r="H866" s="5" t="s">
        <v>30</v>
      </c>
      <c r="I866" t="s">
        <v>13</v>
      </c>
      <c r="J866" t="s">
        <v>13</v>
      </c>
    </row>
    <row r="867" spans="1:11" x14ac:dyDescent="0.35">
      <c r="A867" t="s">
        <v>5</v>
      </c>
      <c r="B867" t="str">
        <f t="shared" si="14"/>
        <v>30241</v>
      </c>
      <c r="C867" t="str">
        <f>"026"</f>
        <v>026</v>
      </c>
      <c r="D867">
        <v>2018</v>
      </c>
      <c r="E867" s="3">
        <v>30717800</v>
      </c>
      <c r="F867" s="3">
        <v>26082600</v>
      </c>
      <c r="G867" t="s">
        <v>11</v>
      </c>
      <c r="H867" s="5" t="s">
        <v>30</v>
      </c>
      <c r="I867" t="s">
        <v>13</v>
      </c>
      <c r="J867" t="s">
        <v>13</v>
      </c>
    </row>
    <row r="868" spans="1:11" x14ac:dyDescent="0.35">
      <c r="A868" t="s">
        <v>5</v>
      </c>
      <c r="B868" t="str">
        <f t="shared" si="14"/>
        <v>30241</v>
      </c>
      <c r="C868" t="str">
        <f>"027"</f>
        <v>027</v>
      </c>
      <c r="D868">
        <v>2019</v>
      </c>
      <c r="E868" s="3">
        <v>3200700</v>
      </c>
      <c r="F868" s="3">
        <v>408500</v>
      </c>
      <c r="G868" t="s">
        <v>11</v>
      </c>
      <c r="H868" s="5" t="s">
        <v>30</v>
      </c>
      <c r="I868" t="s">
        <v>13</v>
      </c>
      <c r="J868" t="s">
        <v>13</v>
      </c>
    </row>
    <row r="869" spans="1:11" x14ac:dyDescent="0.35">
      <c r="A869" t="s">
        <v>5</v>
      </c>
      <c r="B869" t="str">
        <f t="shared" si="14"/>
        <v>30241</v>
      </c>
      <c r="C869" t="str">
        <f>"029"</f>
        <v>029</v>
      </c>
      <c r="D869">
        <v>2020</v>
      </c>
      <c r="E869" s="3">
        <v>38475100</v>
      </c>
      <c r="F869" s="3">
        <v>20700700</v>
      </c>
      <c r="G869" t="s">
        <v>11</v>
      </c>
      <c r="H869" s="5" t="s">
        <v>30</v>
      </c>
      <c r="I869" t="s">
        <v>13</v>
      </c>
      <c r="J869" t="s">
        <v>13</v>
      </c>
    </row>
    <row r="870" spans="1:11" x14ac:dyDescent="0.35">
      <c r="A870" t="s">
        <v>5</v>
      </c>
      <c r="B870" t="str">
        <f t="shared" si="14"/>
        <v>30241</v>
      </c>
      <c r="C870" t="str">
        <f>"030"</f>
        <v>030</v>
      </c>
      <c r="D870">
        <v>2020</v>
      </c>
      <c r="E870" s="3">
        <v>0</v>
      </c>
      <c r="F870" s="3">
        <v>-300500</v>
      </c>
      <c r="G870" t="s">
        <v>52</v>
      </c>
      <c r="H870" s="5" t="s">
        <v>30</v>
      </c>
      <c r="I870" t="s">
        <v>13</v>
      </c>
      <c r="J870" t="s">
        <v>13</v>
      </c>
    </row>
    <row r="871" spans="1:11" x14ac:dyDescent="0.35">
      <c r="A871" t="s">
        <v>5</v>
      </c>
      <c r="B871" t="str">
        <f t="shared" si="14"/>
        <v>30241</v>
      </c>
      <c r="C871" t="str">
        <f>"031"</f>
        <v>031</v>
      </c>
      <c r="D871">
        <v>2020</v>
      </c>
      <c r="E871" s="3">
        <v>0</v>
      </c>
      <c r="F871" s="3">
        <v>-214900</v>
      </c>
      <c r="G871" t="s">
        <v>52</v>
      </c>
      <c r="H871" s="5" t="s">
        <v>30</v>
      </c>
      <c r="I871" t="s">
        <v>13</v>
      </c>
      <c r="J871" t="s">
        <v>13</v>
      </c>
    </row>
    <row r="872" spans="1:11" x14ac:dyDescent="0.35">
      <c r="A872" t="s">
        <v>5</v>
      </c>
      <c r="B872" t="str">
        <f t="shared" si="14"/>
        <v>30241</v>
      </c>
      <c r="C872" t="str">
        <f>"032"</f>
        <v>032</v>
      </c>
      <c r="D872">
        <v>2021</v>
      </c>
      <c r="E872" s="3">
        <v>8217300</v>
      </c>
      <c r="F872" s="3">
        <v>-1451900</v>
      </c>
      <c r="G872" t="s">
        <v>52</v>
      </c>
      <c r="H872" s="5" t="s">
        <v>30</v>
      </c>
      <c r="I872" t="s">
        <v>13</v>
      </c>
      <c r="J872" t="s">
        <v>13</v>
      </c>
    </row>
    <row r="873" spans="1:11" x14ac:dyDescent="0.35">
      <c r="A873" t="s">
        <v>5</v>
      </c>
      <c r="B873" t="str">
        <f t="shared" si="14"/>
        <v>30241</v>
      </c>
      <c r="C873" t="str">
        <f>"033"</f>
        <v>033</v>
      </c>
      <c r="D873">
        <v>2021</v>
      </c>
      <c r="E873" s="3">
        <v>4073500</v>
      </c>
      <c r="F873" s="3">
        <v>357900</v>
      </c>
      <c r="G873" t="s">
        <v>11</v>
      </c>
      <c r="H873" s="5" t="s">
        <v>30</v>
      </c>
      <c r="I873" t="s">
        <v>13</v>
      </c>
      <c r="J873" t="s">
        <v>13</v>
      </c>
    </row>
    <row r="874" spans="1:11" x14ac:dyDescent="0.35">
      <c r="A874" t="s">
        <v>31</v>
      </c>
      <c r="B874" t="s">
        <v>13</v>
      </c>
      <c r="C874" t="s">
        <v>7</v>
      </c>
      <c r="D874" t="s">
        <v>8</v>
      </c>
      <c r="E874" s="3">
        <v>1073898200</v>
      </c>
      <c r="F874" s="3">
        <v>972152300</v>
      </c>
      <c r="G874" t="s">
        <v>11</v>
      </c>
      <c r="H874" s="5">
        <v>9307639900</v>
      </c>
      <c r="I874" t="s">
        <v>13</v>
      </c>
      <c r="J874" t="s">
        <v>13</v>
      </c>
      <c r="K874">
        <v>10.44</v>
      </c>
    </row>
    <row r="876" spans="1:11" x14ac:dyDescent="0.35">
      <c r="A876" t="s">
        <v>210</v>
      </c>
      <c r="B876" t="str">
        <f>"66142"</f>
        <v>66142</v>
      </c>
      <c r="C876" t="str">
        <f>"002"</f>
        <v>002</v>
      </c>
      <c r="D876">
        <v>2005</v>
      </c>
      <c r="E876" s="3">
        <v>31770800</v>
      </c>
      <c r="F876" s="3">
        <v>29940300</v>
      </c>
      <c r="G876" t="s">
        <v>11</v>
      </c>
      <c r="H876" s="5" t="s">
        <v>30</v>
      </c>
      <c r="I876" t="s">
        <v>13</v>
      </c>
      <c r="J876" t="s">
        <v>13</v>
      </c>
    </row>
    <row r="877" spans="1:11" x14ac:dyDescent="0.35">
      <c r="A877" t="s">
        <v>5</v>
      </c>
      <c r="B877" t="str">
        <f>"66142"</f>
        <v>66142</v>
      </c>
      <c r="C877" t="str">
        <f>"003"</f>
        <v>003</v>
      </c>
      <c r="D877">
        <v>2021</v>
      </c>
      <c r="E877" s="3">
        <v>6327000</v>
      </c>
      <c r="F877" s="3">
        <v>2159400</v>
      </c>
      <c r="G877" t="s">
        <v>11</v>
      </c>
      <c r="H877" s="5" t="s">
        <v>30</v>
      </c>
      <c r="I877" t="s">
        <v>13</v>
      </c>
      <c r="J877" t="s">
        <v>13</v>
      </c>
    </row>
    <row r="878" spans="1:11" x14ac:dyDescent="0.35">
      <c r="A878" t="s">
        <v>31</v>
      </c>
      <c r="B878" t="s">
        <v>13</v>
      </c>
      <c r="C878" t="s">
        <v>7</v>
      </c>
      <c r="D878" t="s">
        <v>8</v>
      </c>
      <c r="E878" s="3">
        <v>38097800</v>
      </c>
      <c r="F878" s="3">
        <v>32099700</v>
      </c>
      <c r="G878" t="s">
        <v>11</v>
      </c>
      <c r="H878" s="5">
        <v>446626200</v>
      </c>
      <c r="I878" t="s">
        <v>13</v>
      </c>
      <c r="J878" t="s">
        <v>13</v>
      </c>
      <c r="K878">
        <v>7.19</v>
      </c>
    </row>
    <row r="880" spans="1:11" x14ac:dyDescent="0.35">
      <c r="A880" t="s">
        <v>211</v>
      </c>
      <c r="B880" t="str">
        <f>"31241"</f>
        <v>31241</v>
      </c>
      <c r="C880" t="str">
        <f>"002"</f>
        <v>002</v>
      </c>
      <c r="D880">
        <v>1994</v>
      </c>
      <c r="E880" s="3">
        <v>8299500</v>
      </c>
      <c r="F880" s="3">
        <v>7900500</v>
      </c>
      <c r="G880" t="s">
        <v>11</v>
      </c>
      <c r="H880" s="5" t="s">
        <v>30</v>
      </c>
      <c r="I880" t="s">
        <v>13</v>
      </c>
      <c r="J880" t="s">
        <v>13</v>
      </c>
    </row>
    <row r="881" spans="1:11" x14ac:dyDescent="0.35">
      <c r="A881" t="s">
        <v>5</v>
      </c>
      <c r="B881" t="str">
        <f>"31241"</f>
        <v>31241</v>
      </c>
      <c r="C881" t="str">
        <f>"003"</f>
        <v>003</v>
      </c>
      <c r="D881">
        <v>2020</v>
      </c>
      <c r="E881" s="3">
        <v>5842700</v>
      </c>
      <c r="F881" s="3">
        <v>150600</v>
      </c>
      <c r="G881" t="s">
        <v>11</v>
      </c>
      <c r="H881" s="5" t="s">
        <v>30</v>
      </c>
      <c r="I881" t="s">
        <v>13</v>
      </c>
      <c r="J881" t="s">
        <v>13</v>
      </c>
    </row>
    <row r="882" spans="1:11" x14ac:dyDescent="0.35">
      <c r="A882" t="s">
        <v>31</v>
      </c>
      <c r="B882" t="s">
        <v>13</v>
      </c>
      <c r="C882" t="s">
        <v>7</v>
      </c>
      <c r="D882" t="s">
        <v>8</v>
      </c>
      <c r="E882" s="3">
        <v>14142200</v>
      </c>
      <c r="F882" s="3">
        <v>8051100</v>
      </c>
      <c r="G882" t="s">
        <v>11</v>
      </c>
      <c r="H882" s="5">
        <v>231688800</v>
      </c>
      <c r="I882" t="s">
        <v>13</v>
      </c>
      <c r="J882" t="s">
        <v>13</v>
      </c>
      <c r="K882">
        <v>3.47</v>
      </c>
    </row>
    <row r="884" spans="1:11" x14ac:dyDescent="0.35">
      <c r="A884" t="s">
        <v>212</v>
      </c>
      <c r="B884" t="str">
        <f>"36241"</f>
        <v>36241</v>
      </c>
      <c r="C884" t="str">
        <f>"004"</f>
        <v>004</v>
      </c>
      <c r="D884">
        <v>2011</v>
      </c>
      <c r="E884" s="3">
        <v>36329000</v>
      </c>
      <c r="F884" s="3">
        <v>32631900</v>
      </c>
      <c r="G884" t="s">
        <v>11</v>
      </c>
      <c r="H884" s="5" t="s">
        <v>30</v>
      </c>
      <c r="I884" t="s">
        <v>13</v>
      </c>
      <c r="J884" t="s">
        <v>13</v>
      </c>
    </row>
    <row r="885" spans="1:11" x14ac:dyDescent="0.35">
      <c r="A885" t="s">
        <v>5</v>
      </c>
      <c r="B885" t="str">
        <f>"08241"</f>
        <v>08241</v>
      </c>
      <c r="C885" t="str">
        <f>"005"</f>
        <v>005</v>
      </c>
      <c r="D885">
        <v>2014</v>
      </c>
      <c r="E885" s="3">
        <v>31682100</v>
      </c>
      <c r="F885" s="3">
        <v>20747100</v>
      </c>
      <c r="G885" t="s">
        <v>11</v>
      </c>
      <c r="H885" s="5" t="s">
        <v>30</v>
      </c>
      <c r="I885" t="s">
        <v>13</v>
      </c>
      <c r="J885" t="s">
        <v>13</v>
      </c>
    </row>
    <row r="886" spans="1:11" x14ac:dyDescent="0.35">
      <c r="A886" t="s">
        <v>31</v>
      </c>
      <c r="B886" t="s">
        <v>13</v>
      </c>
      <c r="C886" t="s">
        <v>7</v>
      </c>
      <c r="D886" t="s">
        <v>8</v>
      </c>
      <c r="E886" s="3">
        <v>68011100</v>
      </c>
      <c r="F886" s="3">
        <v>53379000</v>
      </c>
      <c r="G886" t="s">
        <v>11</v>
      </c>
      <c r="H886" s="5">
        <v>412838500</v>
      </c>
      <c r="I886" t="s">
        <v>13</v>
      </c>
      <c r="J886" t="s">
        <v>13</v>
      </c>
      <c r="K886">
        <v>12.93</v>
      </c>
    </row>
    <row r="888" spans="1:11" x14ac:dyDescent="0.35">
      <c r="A888" t="s">
        <v>213</v>
      </c>
      <c r="B888" t="str">
        <f>"44141"</f>
        <v>44141</v>
      </c>
      <c r="C888" t="str">
        <f>"004"</f>
        <v>004</v>
      </c>
      <c r="D888">
        <v>2005</v>
      </c>
      <c r="E888" s="3">
        <v>13944300</v>
      </c>
      <c r="F888" s="3">
        <v>13166100</v>
      </c>
      <c r="G888" t="s">
        <v>11</v>
      </c>
      <c r="H888" s="5" t="s">
        <v>30</v>
      </c>
      <c r="I888" t="s">
        <v>13</v>
      </c>
      <c r="J888" t="s">
        <v>13</v>
      </c>
    </row>
    <row r="889" spans="1:11" x14ac:dyDescent="0.35">
      <c r="A889" t="s">
        <v>5</v>
      </c>
      <c r="B889" t="str">
        <f>"44141"</f>
        <v>44141</v>
      </c>
      <c r="C889" t="str">
        <f>"005"</f>
        <v>005</v>
      </c>
      <c r="D889">
        <v>2008</v>
      </c>
      <c r="E889" s="3">
        <v>46063400</v>
      </c>
      <c r="F889" s="3">
        <v>34718300</v>
      </c>
      <c r="G889" t="s">
        <v>11</v>
      </c>
      <c r="H889" s="5" t="s">
        <v>30</v>
      </c>
      <c r="I889" t="s">
        <v>13</v>
      </c>
      <c r="J889" t="s">
        <v>13</v>
      </c>
    </row>
    <row r="890" spans="1:11" x14ac:dyDescent="0.35">
      <c r="A890" t="s">
        <v>5</v>
      </c>
      <c r="B890" t="str">
        <f>"44141"</f>
        <v>44141</v>
      </c>
      <c r="C890" t="str">
        <f>"006"</f>
        <v>006</v>
      </c>
      <c r="D890">
        <v>2016</v>
      </c>
      <c r="E890" s="3">
        <v>113713200</v>
      </c>
      <c r="F890" s="3">
        <v>95194100</v>
      </c>
      <c r="G890" t="s">
        <v>11</v>
      </c>
      <c r="H890" s="5" t="s">
        <v>30</v>
      </c>
      <c r="I890" t="s">
        <v>13</v>
      </c>
      <c r="J890" t="s">
        <v>13</v>
      </c>
    </row>
    <row r="891" spans="1:11" x14ac:dyDescent="0.35">
      <c r="A891" t="s">
        <v>31</v>
      </c>
      <c r="B891" t="s">
        <v>13</v>
      </c>
      <c r="C891" t="s">
        <v>7</v>
      </c>
      <c r="D891" t="s">
        <v>8</v>
      </c>
      <c r="E891" s="3">
        <v>173720900</v>
      </c>
      <c r="F891" s="3">
        <v>143078500</v>
      </c>
      <c r="G891" t="s">
        <v>11</v>
      </c>
      <c r="H891" s="5">
        <v>771052200</v>
      </c>
      <c r="I891" t="s">
        <v>13</v>
      </c>
      <c r="J891" t="s">
        <v>13</v>
      </c>
      <c r="K891">
        <v>18.559999999999999</v>
      </c>
    </row>
    <row r="893" spans="1:11" x14ac:dyDescent="0.35">
      <c r="A893" t="s">
        <v>214</v>
      </c>
      <c r="B893" t="str">
        <f>"17141"</f>
        <v>17141</v>
      </c>
      <c r="C893" t="str">
        <f>"003"</f>
        <v>003</v>
      </c>
      <c r="D893">
        <v>2005</v>
      </c>
      <c r="E893" s="3">
        <v>3657000</v>
      </c>
      <c r="F893" s="3">
        <v>3455800</v>
      </c>
      <c r="G893" t="s">
        <v>11</v>
      </c>
      <c r="H893" s="5" t="s">
        <v>30</v>
      </c>
      <c r="I893" t="s">
        <v>13</v>
      </c>
      <c r="J893" t="s">
        <v>13</v>
      </c>
    </row>
    <row r="894" spans="1:11" x14ac:dyDescent="0.35">
      <c r="A894" t="s">
        <v>31</v>
      </c>
      <c r="B894" t="s">
        <v>13</v>
      </c>
      <c r="C894" t="s">
        <v>7</v>
      </c>
      <c r="D894" t="s">
        <v>8</v>
      </c>
      <c r="E894" s="3">
        <v>3657000</v>
      </c>
      <c r="F894" s="3">
        <v>3455800</v>
      </c>
      <c r="G894" t="s">
        <v>11</v>
      </c>
      <c r="H894" s="5">
        <v>24532900</v>
      </c>
      <c r="I894" t="s">
        <v>13</v>
      </c>
      <c r="J894" t="s">
        <v>13</v>
      </c>
      <c r="K894">
        <v>14.09</v>
      </c>
    </row>
    <row r="896" spans="1:11" x14ac:dyDescent="0.35">
      <c r="A896" t="s">
        <v>215</v>
      </c>
      <c r="B896" t="str">
        <f>"37145"</f>
        <v>37145</v>
      </c>
      <c r="C896" t="str">
        <f>"001"</f>
        <v>001</v>
      </c>
      <c r="D896">
        <v>2005</v>
      </c>
      <c r="E896" s="3">
        <v>18230300</v>
      </c>
      <c r="F896" s="3">
        <v>15968000</v>
      </c>
      <c r="G896" t="s">
        <v>11</v>
      </c>
      <c r="H896" s="5" t="s">
        <v>30</v>
      </c>
      <c r="I896" t="s">
        <v>13</v>
      </c>
      <c r="J896" t="s">
        <v>13</v>
      </c>
    </row>
    <row r="897" spans="1:11" x14ac:dyDescent="0.35">
      <c r="A897" t="s">
        <v>5</v>
      </c>
      <c r="B897" t="str">
        <f>"37145"</f>
        <v>37145</v>
      </c>
      <c r="C897" t="str">
        <f>"002"</f>
        <v>002</v>
      </c>
      <c r="D897">
        <v>2005</v>
      </c>
      <c r="E897" s="3">
        <v>68000000</v>
      </c>
      <c r="F897" s="3">
        <v>62601400</v>
      </c>
      <c r="G897" t="s">
        <v>11</v>
      </c>
      <c r="H897" s="5" t="s">
        <v>30</v>
      </c>
      <c r="I897" t="s">
        <v>13</v>
      </c>
      <c r="J897" t="s">
        <v>13</v>
      </c>
    </row>
    <row r="898" spans="1:11" x14ac:dyDescent="0.35">
      <c r="A898" t="s">
        <v>5</v>
      </c>
      <c r="B898" t="str">
        <f>"37145"</f>
        <v>37145</v>
      </c>
      <c r="C898" t="str">
        <f>"003"</f>
        <v>003</v>
      </c>
      <c r="D898">
        <v>2005</v>
      </c>
      <c r="E898" s="3">
        <v>1260300</v>
      </c>
      <c r="F898" s="3">
        <v>855200</v>
      </c>
      <c r="G898" t="s">
        <v>11</v>
      </c>
      <c r="H898" s="5" t="s">
        <v>30</v>
      </c>
      <c r="I898" t="s">
        <v>13</v>
      </c>
      <c r="J898" t="s">
        <v>13</v>
      </c>
    </row>
    <row r="899" spans="1:11" x14ac:dyDescent="0.35">
      <c r="A899" t="s">
        <v>5</v>
      </c>
      <c r="B899" t="str">
        <f>"37145"</f>
        <v>37145</v>
      </c>
      <c r="C899" t="str">
        <f>"004"</f>
        <v>004</v>
      </c>
      <c r="D899">
        <v>2005</v>
      </c>
      <c r="E899" s="3">
        <v>10587200</v>
      </c>
      <c r="F899" s="3">
        <v>10480600</v>
      </c>
      <c r="G899" t="s">
        <v>11</v>
      </c>
      <c r="H899" s="5" t="s">
        <v>30</v>
      </c>
      <c r="I899" t="s">
        <v>13</v>
      </c>
      <c r="J899" t="s">
        <v>13</v>
      </c>
    </row>
    <row r="900" spans="1:11" x14ac:dyDescent="0.35">
      <c r="A900" t="s">
        <v>31</v>
      </c>
      <c r="B900" t="s">
        <v>13</v>
      </c>
      <c r="C900" t="s">
        <v>7</v>
      </c>
      <c r="D900" t="s">
        <v>8</v>
      </c>
      <c r="E900" s="3">
        <v>98077800</v>
      </c>
      <c r="F900" s="3">
        <v>89905200</v>
      </c>
      <c r="G900" t="s">
        <v>11</v>
      </c>
      <c r="H900" s="5">
        <v>817805900</v>
      </c>
      <c r="I900" t="s">
        <v>13</v>
      </c>
      <c r="J900" t="s">
        <v>13</v>
      </c>
      <c r="K900">
        <v>10.99</v>
      </c>
    </row>
    <row r="902" spans="1:11" x14ac:dyDescent="0.35">
      <c r="A902" t="s">
        <v>216</v>
      </c>
      <c r="B902" t="str">
        <f t="shared" ref="B902:B912" si="15">"32246"</f>
        <v>32246</v>
      </c>
      <c r="C902" t="str">
        <f>"010"</f>
        <v>010</v>
      </c>
      <c r="D902">
        <v>2003</v>
      </c>
      <c r="E902" s="3">
        <v>16371200</v>
      </c>
      <c r="F902" s="3">
        <v>13831100</v>
      </c>
      <c r="G902" t="s">
        <v>11</v>
      </c>
      <c r="H902" s="5" t="s">
        <v>30</v>
      </c>
      <c r="I902" t="s">
        <v>13</v>
      </c>
      <c r="J902" t="s">
        <v>13</v>
      </c>
    </row>
    <row r="903" spans="1:11" x14ac:dyDescent="0.35">
      <c r="A903" t="s">
        <v>5</v>
      </c>
      <c r="B903" t="str">
        <f t="shared" si="15"/>
        <v>32246</v>
      </c>
      <c r="C903" t="str">
        <f>"011"</f>
        <v>011</v>
      </c>
      <c r="D903">
        <v>2005</v>
      </c>
      <c r="E903" s="3">
        <v>289488700</v>
      </c>
      <c r="F903" s="3">
        <v>156532900</v>
      </c>
      <c r="G903" t="s">
        <v>11</v>
      </c>
      <c r="H903" s="5" t="s">
        <v>30</v>
      </c>
      <c r="I903" t="s">
        <v>13</v>
      </c>
      <c r="J903" t="s">
        <v>13</v>
      </c>
    </row>
    <row r="904" spans="1:11" x14ac:dyDescent="0.35">
      <c r="A904" t="s">
        <v>5</v>
      </c>
      <c r="B904" t="str">
        <f t="shared" si="15"/>
        <v>32246</v>
      </c>
      <c r="C904" t="str">
        <f>"012"</f>
        <v>012</v>
      </c>
      <c r="D904">
        <v>2005</v>
      </c>
      <c r="E904" s="3">
        <v>42362600</v>
      </c>
      <c r="F904" s="3">
        <v>22998800</v>
      </c>
      <c r="G904" t="s">
        <v>11</v>
      </c>
      <c r="H904" s="5" t="s">
        <v>30</v>
      </c>
      <c r="I904" t="s">
        <v>13</v>
      </c>
      <c r="J904" t="s">
        <v>13</v>
      </c>
    </row>
    <row r="905" spans="1:11" x14ac:dyDescent="0.35">
      <c r="A905" t="s">
        <v>5</v>
      </c>
      <c r="B905" t="str">
        <f t="shared" si="15"/>
        <v>32246</v>
      </c>
      <c r="C905" t="str">
        <f>"013"</f>
        <v>013</v>
      </c>
      <c r="D905">
        <v>2006</v>
      </c>
      <c r="E905" s="3">
        <v>192722700</v>
      </c>
      <c r="F905" s="3">
        <v>138996900</v>
      </c>
      <c r="G905" t="s">
        <v>11</v>
      </c>
      <c r="H905" s="5" t="s">
        <v>30</v>
      </c>
      <c r="I905" t="s">
        <v>13</v>
      </c>
      <c r="J905" t="s">
        <v>13</v>
      </c>
    </row>
    <row r="906" spans="1:11" x14ac:dyDescent="0.35">
      <c r="A906" t="s">
        <v>5</v>
      </c>
      <c r="B906" t="str">
        <f t="shared" si="15"/>
        <v>32246</v>
      </c>
      <c r="C906" t="str">
        <f>"014"</f>
        <v>014</v>
      </c>
      <c r="D906">
        <v>2006</v>
      </c>
      <c r="E906" s="3">
        <v>131851200</v>
      </c>
      <c r="F906" s="3">
        <v>71103900</v>
      </c>
      <c r="G906" t="s">
        <v>11</v>
      </c>
      <c r="H906" s="5" t="s">
        <v>30</v>
      </c>
      <c r="I906" t="s">
        <v>13</v>
      </c>
      <c r="J906" t="s">
        <v>13</v>
      </c>
    </row>
    <row r="907" spans="1:11" x14ac:dyDescent="0.35">
      <c r="A907" t="s">
        <v>5</v>
      </c>
      <c r="B907" t="str">
        <f t="shared" si="15"/>
        <v>32246</v>
      </c>
      <c r="C907" t="str">
        <f>"015"</f>
        <v>015</v>
      </c>
      <c r="D907">
        <v>2013</v>
      </c>
      <c r="E907" s="3">
        <v>105626200</v>
      </c>
      <c r="F907" s="3">
        <v>42824200</v>
      </c>
      <c r="G907" t="s">
        <v>11</v>
      </c>
      <c r="H907" s="5" t="s">
        <v>30</v>
      </c>
      <c r="I907" t="s">
        <v>13</v>
      </c>
      <c r="J907" t="s">
        <v>13</v>
      </c>
    </row>
    <row r="908" spans="1:11" x14ac:dyDescent="0.35">
      <c r="A908" t="s">
        <v>5</v>
      </c>
      <c r="B908" t="str">
        <f t="shared" si="15"/>
        <v>32246</v>
      </c>
      <c r="C908" t="str">
        <f>"016"</f>
        <v>016</v>
      </c>
      <c r="D908">
        <v>2014</v>
      </c>
      <c r="E908" s="3">
        <v>32177900</v>
      </c>
      <c r="F908" s="3">
        <v>14090600</v>
      </c>
      <c r="G908" t="s">
        <v>11</v>
      </c>
      <c r="H908" s="5" t="s">
        <v>30</v>
      </c>
      <c r="I908" t="s">
        <v>13</v>
      </c>
      <c r="J908" t="s">
        <v>13</v>
      </c>
    </row>
    <row r="909" spans="1:11" x14ac:dyDescent="0.35">
      <c r="A909" t="s">
        <v>5</v>
      </c>
      <c r="B909" t="str">
        <f t="shared" si="15"/>
        <v>32246</v>
      </c>
      <c r="C909" t="str">
        <f>"017"</f>
        <v>017</v>
      </c>
      <c r="D909">
        <v>2015</v>
      </c>
      <c r="E909" s="3">
        <v>88339200</v>
      </c>
      <c r="F909" s="3">
        <v>76594600</v>
      </c>
      <c r="G909" t="s">
        <v>11</v>
      </c>
      <c r="H909" s="5" t="s">
        <v>30</v>
      </c>
      <c r="I909" t="s">
        <v>13</v>
      </c>
      <c r="J909" t="s">
        <v>13</v>
      </c>
    </row>
    <row r="910" spans="1:11" x14ac:dyDescent="0.35">
      <c r="A910" t="s">
        <v>5</v>
      </c>
      <c r="B910" t="str">
        <f t="shared" si="15"/>
        <v>32246</v>
      </c>
      <c r="C910" t="str">
        <f>"018"</f>
        <v>018</v>
      </c>
      <c r="D910">
        <v>2020</v>
      </c>
      <c r="E910" s="3">
        <v>6224400</v>
      </c>
      <c r="F910" s="3">
        <v>-622000</v>
      </c>
      <c r="G910" t="s">
        <v>52</v>
      </c>
      <c r="H910" s="5" t="s">
        <v>30</v>
      </c>
      <c r="I910" t="s">
        <v>13</v>
      </c>
      <c r="J910" t="s">
        <v>13</v>
      </c>
    </row>
    <row r="911" spans="1:11" x14ac:dyDescent="0.35">
      <c r="A911" t="s">
        <v>5</v>
      </c>
      <c r="B911" t="str">
        <f t="shared" si="15"/>
        <v>32246</v>
      </c>
      <c r="C911" t="str">
        <f>"019"</f>
        <v>019</v>
      </c>
      <c r="D911">
        <v>2020</v>
      </c>
      <c r="E911" s="3">
        <v>4458600</v>
      </c>
      <c r="F911" s="3">
        <v>-602500</v>
      </c>
      <c r="G911" t="s">
        <v>52</v>
      </c>
      <c r="H911" s="5" t="s">
        <v>30</v>
      </c>
      <c r="I911" t="s">
        <v>13</v>
      </c>
      <c r="J911" t="s">
        <v>13</v>
      </c>
    </row>
    <row r="912" spans="1:11" x14ac:dyDescent="0.35">
      <c r="A912" t="s">
        <v>5</v>
      </c>
      <c r="B912" t="str">
        <f t="shared" si="15"/>
        <v>32246</v>
      </c>
      <c r="C912" t="str">
        <f>"020"</f>
        <v>020</v>
      </c>
      <c r="D912">
        <v>2020</v>
      </c>
      <c r="E912" s="3">
        <v>15514200</v>
      </c>
      <c r="F912" s="3">
        <v>326600</v>
      </c>
      <c r="G912" t="s">
        <v>11</v>
      </c>
      <c r="H912" s="5" t="s">
        <v>30</v>
      </c>
      <c r="I912" t="s">
        <v>13</v>
      </c>
      <c r="J912" t="s">
        <v>13</v>
      </c>
    </row>
    <row r="913" spans="1:11" x14ac:dyDescent="0.35">
      <c r="A913" t="s">
        <v>31</v>
      </c>
      <c r="B913" t="s">
        <v>13</v>
      </c>
      <c r="C913" t="s">
        <v>7</v>
      </c>
      <c r="D913" t="s">
        <v>8</v>
      </c>
      <c r="E913" s="3">
        <v>925136900</v>
      </c>
      <c r="F913" s="3">
        <v>537299600</v>
      </c>
      <c r="G913" t="s">
        <v>11</v>
      </c>
      <c r="H913" s="5">
        <v>5131278800</v>
      </c>
      <c r="I913" t="s">
        <v>13</v>
      </c>
      <c r="J913" t="s">
        <v>13</v>
      </c>
      <c r="K913">
        <v>10.47</v>
      </c>
    </row>
    <row r="915" spans="1:11" x14ac:dyDescent="0.35">
      <c r="A915" t="s">
        <v>217</v>
      </c>
      <c r="B915" t="str">
        <f>"62146"</f>
        <v>62146</v>
      </c>
      <c r="C915" t="str">
        <f>"001"</f>
        <v>001</v>
      </c>
      <c r="D915">
        <v>2003</v>
      </c>
      <c r="E915" s="3">
        <v>12142300</v>
      </c>
      <c r="F915" s="3">
        <v>12024000</v>
      </c>
      <c r="G915" t="s">
        <v>11</v>
      </c>
      <c r="H915" s="5" t="s">
        <v>30</v>
      </c>
      <c r="I915" t="s">
        <v>13</v>
      </c>
      <c r="J915" t="s">
        <v>13</v>
      </c>
    </row>
    <row r="916" spans="1:11" x14ac:dyDescent="0.35">
      <c r="A916" t="s">
        <v>31</v>
      </c>
      <c r="B916" t="s">
        <v>13</v>
      </c>
      <c r="C916" t="s">
        <v>7</v>
      </c>
      <c r="D916" t="s">
        <v>8</v>
      </c>
      <c r="E916" s="3">
        <v>12142300</v>
      </c>
      <c r="F916" s="3">
        <v>12024000</v>
      </c>
      <c r="G916" t="s">
        <v>11</v>
      </c>
      <c r="H916" s="5">
        <v>44899300</v>
      </c>
      <c r="I916" t="s">
        <v>13</v>
      </c>
      <c r="J916" t="s">
        <v>13</v>
      </c>
      <c r="K916">
        <v>26.78</v>
      </c>
    </row>
    <row r="918" spans="1:11" x14ac:dyDescent="0.35">
      <c r="A918" t="s">
        <v>218</v>
      </c>
      <c r="B918" t="str">
        <f t="shared" ref="B918:B926" si="16">"54246"</f>
        <v>54246</v>
      </c>
      <c r="C918" t="str">
        <f>"008"</f>
        <v>008</v>
      </c>
      <c r="D918">
        <v>2003</v>
      </c>
      <c r="E918" s="3">
        <v>5639600</v>
      </c>
      <c r="F918" s="3">
        <v>4779600</v>
      </c>
      <c r="G918" t="s">
        <v>11</v>
      </c>
      <c r="H918" s="5" t="s">
        <v>30</v>
      </c>
      <c r="I918" t="s">
        <v>13</v>
      </c>
      <c r="J918" t="s">
        <v>13</v>
      </c>
    </row>
    <row r="919" spans="1:11" x14ac:dyDescent="0.35">
      <c r="A919" t="s">
        <v>5</v>
      </c>
      <c r="B919" t="str">
        <f t="shared" si="16"/>
        <v>54246</v>
      </c>
      <c r="C919" t="str">
        <f>"009"</f>
        <v>009</v>
      </c>
      <c r="D919">
        <v>2006</v>
      </c>
      <c r="E919" s="3">
        <v>7898100</v>
      </c>
      <c r="F919" s="3">
        <v>7415800</v>
      </c>
      <c r="G919" t="s">
        <v>11</v>
      </c>
      <c r="H919" s="5" t="s">
        <v>30</v>
      </c>
      <c r="I919" t="s">
        <v>13</v>
      </c>
      <c r="J919" t="s">
        <v>13</v>
      </c>
    </row>
    <row r="920" spans="1:11" x14ac:dyDescent="0.35">
      <c r="A920" t="s">
        <v>5</v>
      </c>
      <c r="B920" t="str">
        <f t="shared" si="16"/>
        <v>54246</v>
      </c>
      <c r="C920" t="str">
        <f>"010"</f>
        <v>010</v>
      </c>
      <c r="D920">
        <v>2007</v>
      </c>
      <c r="E920" s="3">
        <v>2019700</v>
      </c>
      <c r="F920" s="3">
        <v>1616200</v>
      </c>
      <c r="G920" t="s">
        <v>11</v>
      </c>
      <c r="H920" s="5" t="s">
        <v>30</v>
      </c>
      <c r="I920" t="s">
        <v>13</v>
      </c>
      <c r="J920" t="s">
        <v>13</v>
      </c>
    </row>
    <row r="921" spans="1:11" x14ac:dyDescent="0.35">
      <c r="A921" t="s">
        <v>5</v>
      </c>
      <c r="B921" t="str">
        <f t="shared" si="16"/>
        <v>54246</v>
      </c>
      <c r="C921" t="str">
        <f>"011"</f>
        <v>011</v>
      </c>
      <c r="D921">
        <v>2011</v>
      </c>
      <c r="E921" s="3">
        <v>7736800</v>
      </c>
      <c r="F921" s="3">
        <v>7706600</v>
      </c>
      <c r="G921" t="s">
        <v>11</v>
      </c>
      <c r="H921" s="5" t="s">
        <v>30</v>
      </c>
      <c r="I921" t="s">
        <v>13</v>
      </c>
      <c r="J921" t="s">
        <v>13</v>
      </c>
    </row>
    <row r="922" spans="1:11" x14ac:dyDescent="0.35">
      <c r="A922" t="s">
        <v>5</v>
      </c>
      <c r="B922" t="str">
        <f t="shared" si="16"/>
        <v>54246</v>
      </c>
      <c r="C922" t="str">
        <f>"012"</f>
        <v>012</v>
      </c>
      <c r="D922">
        <v>2020</v>
      </c>
      <c r="E922" s="3">
        <v>0</v>
      </c>
      <c r="F922" s="3">
        <v>0</v>
      </c>
      <c r="G922" t="s">
        <v>11</v>
      </c>
      <c r="H922" s="5" t="s">
        <v>30</v>
      </c>
      <c r="I922" t="s">
        <v>13</v>
      </c>
      <c r="J922" t="s">
        <v>13</v>
      </c>
    </row>
    <row r="923" spans="1:11" x14ac:dyDescent="0.35">
      <c r="A923" t="s">
        <v>5</v>
      </c>
      <c r="B923" t="str">
        <f t="shared" si="16"/>
        <v>54246</v>
      </c>
      <c r="C923" t="str">
        <f>"013"</f>
        <v>013</v>
      </c>
      <c r="D923">
        <v>2021</v>
      </c>
      <c r="E923" s="3">
        <v>520300</v>
      </c>
      <c r="F923" s="3">
        <v>422800</v>
      </c>
      <c r="G923" t="s">
        <v>11</v>
      </c>
      <c r="H923" s="5" t="s">
        <v>30</v>
      </c>
      <c r="I923" t="s">
        <v>13</v>
      </c>
      <c r="J923" t="s">
        <v>13</v>
      </c>
    </row>
    <row r="924" spans="1:11" x14ac:dyDescent="0.35">
      <c r="A924" t="s">
        <v>5</v>
      </c>
      <c r="B924" t="str">
        <f t="shared" si="16"/>
        <v>54246</v>
      </c>
      <c r="C924" t="str">
        <f>"014"</f>
        <v>014</v>
      </c>
      <c r="D924">
        <v>2021</v>
      </c>
      <c r="E924" s="3">
        <v>4247400</v>
      </c>
      <c r="F924" s="3">
        <v>2244600</v>
      </c>
      <c r="G924" t="s">
        <v>11</v>
      </c>
      <c r="H924" s="5" t="s">
        <v>30</v>
      </c>
      <c r="I924" t="s">
        <v>13</v>
      </c>
      <c r="J924" t="s">
        <v>13</v>
      </c>
    </row>
    <row r="925" spans="1:11" x14ac:dyDescent="0.35">
      <c r="A925" t="s">
        <v>5</v>
      </c>
      <c r="B925" t="str">
        <f t="shared" si="16"/>
        <v>54246</v>
      </c>
      <c r="C925" t="str">
        <f>"015"</f>
        <v>015</v>
      </c>
      <c r="D925">
        <v>2021</v>
      </c>
      <c r="E925" s="3">
        <v>5500</v>
      </c>
      <c r="F925" s="3">
        <v>-44700</v>
      </c>
      <c r="G925" t="s">
        <v>52</v>
      </c>
      <c r="H925" s="5" t="s">
        <v>30</v>
      </c>
      <c r="I925" t="s">
        <v>13</v>
      </c>
      <c r="J925" t="s">
        <v>13</v>
      </c>
    </row>
    <row r="926" spans="1:11" x14ac:dyDescent="0.35">
      <c r="A926" t="s">
        <v>5</v>
      </c>
      <c r="B926" t="str">
        <f t="shared" si="16"/>
        <v>54246</v>
      </c>
      <c r="C926" t="str">
        <f>"016"</f>
        <v>016</v>
      </c>
      <c r="D926">
        <v>2021</v>
      </c>
      <c r="E926" s="3">
        <v>0</v>
      </c>
      <c r="F926" s="3">
        <v>0</v>
      </c>
      <c r="G926" t="s">
        <v>11</v>
      </c>
      <c r="H926" s="5" t="s">
        <v>30</v>
      </c>
      <c r="I926" t="s">
        <v>13</v>
      </c>
      <c r="J926" t="s">
        <v>13</v>
      </c>
    </row>
    <row r="927" spans="1:11" x14ac:dyDescent="0.35">
      <c r="A927" t="s">
        <v>31</v>
      </c>
      <c r="B927" t="s">
        <v>13</v>
      </c>
      <c r="C927" t="s">
        <v>7</v>
      </c>
      <c r="D927" t="s">
        <v>8</v>
      </c>
      <c r="E927" s="3">
        <v>28067400</v>
      </c>
      <c r="F927" s="3">
        <v>24185600</v>
      </c>
      <c r="G927" t="s">
        <v>11</v>
      </c>
      <c r="H927" s="5">
        <v>188857300</v>
      </c>
      <c r="I927" t="s">
        <v>13</v>
      </c>
      <c r="J927" t="s">
        <v>13</v>
      </c>
      <c r="K927">
        <v>12.81</v>
      </c>
    </row>
    <row r="929" spans="1:11" x14ac:dyDescent="0.35">
      <c r="A929" t="s">
        <v>219</v>
      </c>
      <c r="B929" t="str">
        <f>"56146"</f>
        <v>56146</v>
      </c>
      <c r="C929" t="str">
        <f>"002"</f>
        <v>002</v>
      </c>
      <c r="D929">
        <v>2000</v>
      </c>
      <c r="E929" s="3">
        <v>118179900</v>
      </c>
      <c r="F929" s="3">
        <v>81811300</v>
      </c>
      <c r="G929" t="s">
        <v>11</v>
      </c>
      <c r="H929" s="5" t="s">
        <v>30</v>
      </c>
      <c r="I929" t="s">
        <v>13</v>
      </c>
      <c r="J929" t="s">
        <v>13</v>
      </c>
    </row>
    <row r="930" spans="1:11" x14ac:dyDescent="0.35">
      <c r="A930" t="s">
        <v>5</v>
      </c>
      <c r="B930" t="str">
        <f>"56146"</f>
        <v>56146</v>
      </c>
      <c r="C930" t="str">
        <f>"003"</f>
        <v>003</v>
      </c>
      <c r="D930">
        <v>2005</v>
      </c>
      <c r="E930" s="3">
        <v>437373800</v>
      </c>
      <c r="F930" s="3">
        <v>393410100</v>
      </c>
      <c r="G930" t="s">
        <v>11</v>
      </c>
      <c r="H930" s="5" t="s">
        <v>30</v>
      </c>
      <c r="I930" t="s">
        <v>13</v>
      </c>
      <c r="J930" t="s">
        <v>13</v>
      </c>
    </row>
    <row r="931" spans="1:11" x14ac:dyDescent="0.35">
      <c r="A931" t="s">
        <v>5</v>
      </c>
      <c r="B931" t="str">
        <f>"56146"</f>
        <v>56146</v>
      </c>
      <c r="C931" t="str">
        <f>"004"</f>
        <v>004</v>
      </c>
      <c r="D931">
        <v>2007</v>
      </c>
      <c r="E931" s="3">
        <v>52472300</v>
      </c>
      <c r="F931" s="3">
        <v>20731300</v>
      </c>
      <c r="G931" t="s">
        <v>11</v>
      </c>
      <c r="H931" s="5" t="s">
        <v>30</v>
      </c>
      <c r="I931" t="s">
        <v>13</v>
      </c>
      <c r="J931" t="s">
        <v>13</v>
      </c>
    </row>
    <row r="932" spans="1:11" x14ac:dyDescent="0.35">
      <c r="A932" t="s">
        <v>31</v>
      </c>
      <c r="B932" t="s">
        <v>13</v>
      </c>
      <c r="C932" t="s">
        <v>7</v>
      </c>
      <c r="D932" t="s">
        <v>8</v>
      </c>
      <c r="E932" s="3">
        <v>608026000</v>
      </c>
      <c r="F932" s="3">
        <v>495952700</v>
      </c>
      <c r="G932" t="s">
        <v>11</v>
      </c>
      <c r="H932" s="5">
        <v>1916198000</v>
      </c>
      <c r="I932" t="s">
        <v>13</v>
      </c>
      <c r="J932" t="s">
        <v>13</v>
      </c>
      <c r="K932">
        <v>25.88</v>
      </c>
    </row>
    <row r="934" spans="1:11" x14ac:dyDescent="0.35">
      <c r="A934" t="s">
        <v>220</v>
      </c>
      <c r="B934" t="str">
        <f>"09128"</f>
        <v>09128</v>
      </c>
      <c r="C934" t="str">
        <f>"001"</f>
        <v>001</v>
      </c>
      <c r="D934">
        <v>2003</v>
      </c>
      <c r="E934" s="3">
        <v>122460400</v>
      </c>
      <c r="F934" s="3">
        <v>110321500</v>
      </c>
      <c r="G934" t="s">
        <v>11</v>
      </c>
      <c r="H934" s="5" t="s">
        <v>30</v>
      </c>
      <c r="I934" t="s">
        <v>13</v>
      </c>
      <c r="J934" t="s">
        <v>13</v>
      </c>
    </row>
    <row r="935" spans="1:11" x14ac:dyDescent="0.35">
      <c r="A935" t="s">
        <v>5</v>
      </c>
      <c r="B935" t="str">
        <f>"09128"</f>
        <v>09128</v>
      </c>
      <c r="C935" t="str">
        <f>"002"</f>
        <v>002</v>
      </c>
      <c r="D935">
        <v>2003</v>
      </c>
      <c r="E935" s="3">
        <v>26336300</v>
      </c>
      <c r="F935" s="3">
        <v>26204400</v>
      </c>
      <c r="G935" t="s">
        <v>11</v>
      </c>
      <c r="H935" s="5" t="s">
        <v>30</v>
      </c>
      <c r="I935" t="s">
        <v>13</v>
      </c>
      <c r="J935" t="s">
        <v>13</v>
      </c>
    </row>
    <row r="936" spans="1:11" x14ac:dyDescent="0.35">
      <c r="A936" t="s">
        <v>31</v>
      </c>
      <c r="B936" t="s">
        <v>13</v>
      </c>
      <c r="C936" t="s">
        <v>7</v>
      </c>
      <c r="D936" t="s">
        <v>8</v>
      </c>
      <c r="E936" s="3">
        <v>148796700</v>
      </c>
      <c r="F936" s="3">
        <v>136525900</v>
      </c>
      <c r="G936" t="s">
        <v>11</v>
      </c>
      <c r="H936" s="5">
        <v>948173000</v>
      </c>
      <c r="I936" t="s">
        <v>13</v>
      </c>
      <c r="J936" t="s">
        <v>13</v>
      </c>
      <c r="K936">
        <v>14.4</v>
      </c>
    </row>
    <row r="938" spans="1:11" x14ac:dyDescent="0.35">
      <c r="A938" t="s">
        <v>221</v>
      </c>
      <c r="B938" t="str">
        <f t="shared" ref="B938:B943" si="17">"28246"</f>
        <v>28246</v>
      </c>
      <c r="C938" t="str">
        <f>"003"</f>
        <v>003</v>
      </c>
      <c r="D938">
        <v>2006</v>
      </c>
      <c r="E938" s="3">
        <v>13645200</v>
      </c>
      <c r="F938" s="3">
        <v>6651400</v>
      </c>
      <c r="G938" t="s">
        <v>11</v>
      </c>
      <c r="H938" s="5" t="s">
        <v>30</v>
      </c>
      <c r="I938" t="s">
        <v>13</v>
      </c>
      <c r="J938" t="s">
        <v>13</v>
      </c>
    </row>
    <row r="939" spans="1:11" x14ac:dyDescent="0.35">
      <c r="A939" t="s">
        <v>5</v>
      </c>
      <c r="B939" t="str">
        <f t="shared" si="17"/>
        <v>28246</v>
      </c>
      <c r="C939" t="str">
        <f>"004"</f>
        <v>004</v>
      </c>
      <c r="D939">
        <v>2006</v>
      </c>
      <c r="E939" s="3">
        <v>29675100</v>
      </c>
      <c r="F939" s="3">
        <v>21109700</v>
      </c>
      <c r="G939" t="s">
        <v>11</v>
      </c>
      <c r="H939" s="5" t="s">
        <v>30</v>
      </c>
      <c r="I939" t="s">
        <v>13</v>
      </c>
      <c r="J939" t="s">
        <v>13</v>
      </c>
    </row>
    <row r="940" spans="1:11" x14ac:dyDescent="0.35">
      <c r="A940" t="s">
        <v>5</v>
      </c>
      <c r="B940" t="str">
        <f t="shared" si="17"/>
        <v>28246</v>
      </c>
      <c r="C940" t="str">
        <f>"005"</f>
        <v>005</v>
      </c>
      <c r="D940">
        <v>2014</v>
      </c>
      <c r="E940" s="3">
        <v>12742800</v>
      </c>
      <c r="F940" s="3">
        <v>8354100</v>
      </c>
      <c r="G940" t="s">
        <v>11</v>
      </c>
      <c r="H940" s="5" t="s">
        <v>30</v>
      </c>
      <c r="I940" t="s">
        <v>13</v>
      </c>
      <c r="J940" t="s">
        <v>13</v>
      </c>
    </row>
    <row r="941" spans="1:11" x14ac:dyDescent="0.35">
      <c r="A941" t="s">
        <v>5</v>
      </c>
      <c r="B941" t="str">
        <f t="shared" si="17"/>
        <v>28246</v>
      </c>
      <c r="C941" t="str">
        <f>"006"</f>
        <v>006</v>
      </c>
      <c r="D941">
        <v>2014</v>
      </c>
      <c r="E941" s="3">
        <v>6539900</v>
      </c>
      <c r="F941" s="3">
        <v>3227700</v>
      </c>
      <c r="G941" t="s">
        <v>11</v>
      </c>
      <c r="H941" s="5" t="s">
        <v>30</v>
      </c>
      <c r="I941" t="s">
        <v>13</v>
      </c>
      <c r="J941" t="s">
        <v>13</v>
      </c>
    </row>
    <row r="942" spans="1:11" x14ac:dyDescent="0.35">
      <c r="A942" t="s">
        <v>5</v>
      </c>
      <c r="B942" t="str">
        <f t="shared" si="17"/>
        <v>28246</v>
      </c>
      <c r="C942" t="str">
        <f>"007"</f>
        <v>007</v>
      </c>
      <c r="D942">
        <v>2019</v>
      </c>
      <c r="E942" s="3">
        <v>13748500</v>
      </c>
      <c r="F942" s="3">
        <v>4091300</v>
      </c>
      <c r="G942" t="s">
        <v>11</v>
      </c>
      <c r="H942" s="5" t="s">
        <v>30</v>
      </c>
      <c r="I942" t="s">
        <v>13</v>
      </c>
      <c r="J942" t="s">
        <v>13</v>
      </c>
    </row>
    <row r="943" spans="1:11" x14ac:dyDescent="0.35">
      <c r="A943" t="s">
        <v>5</v>
      </c>
      <c r="B943" t="str">
        <f t="shared" si="17"/>
        <v>28246</v>
      </c>
      <c r="C943" t="str">
        <f>"008"</f>
        <v>008</v>
      </c>
      <c r="D943">
        <v>2021</v>
      </c>
      <c r="E943" s="3">
        <v>25905600</v>
      </c>
      <c r="F943" s="3">
        <v>2845100</v>
      </c>
      <c r="G943" t="s">
        <v>11</v>
      </c>
      <c r="H943" s="5" t="s">
        <v>30</v>
      </c>
      <c r="I943" t="s">
        <v>13</v>
      </c>
      <c r="J943" t="s">
        <v>13</v>
      </c>
    </row>
    <row r="944" spans="1:11" x14ac:dyDescent="0.35">
      <c r="A944" t="s">
        <v>31</v>
      </c>
      <c r="B944" t="s">
        <v>13</v>
      </c>
      <c r="C944" t="s">
        <v>7</v>
      </c>
      <c r="D944" t="s">
        <v>8</v>
      </c>
      <c r="E944" s="3">
        <v>102257100</v>
      </c>
      <c r="F944" s="3">
        <v>46279300</v>
      </c>
      <c r="G944" t="s">
        <v>11</v>
      </c>
      <c r="H944" s="5">
        <v>785678900</v>
      </c>
      <c r="I944" t="s">
        <v>13</v>
      </c>
      <c r="J944" t="s">
        <v>13</v>
      </c>
      <c r="K944">
        <v>5.89</v>
      </c>
    </row>
    <row r="946" spans="1:11" x14ac:dyDescent="0.35">
      <c r="A946" t="s">
        <v>222</v>
      </c>
      <c r="B946" t="str">
        <f>"22246"</f>
        <v>22246</v>
      </c>
      <c r="C946" t="str">
        <f>"003"</f>
        <v>003</v>
      </c>
      <c r="D946">
        <v>2006</v>
      </c>
      <c r="E946" s="3">
        <v>10465800</v>
      </c>
      <c r="F946" s="3">
        <v>10041300</v>
      </c>
      <c r="G946" t="s">
        <v>11</v>
      </c>
      <c r="H946" s="5" t="s">
        <v>30</v>
      </c>
      <c r="I946" t="s">
        <v>13</v>
      </c>
      <c r="J946" t="s">
        <v>13</v>
      </c>
    </row>
    <row r="947" spans="1:11" x14ac:dyDescent="0.35">
      <c r="A947" t="s">
        <v>5</v>
      </c>
      <c r="B947" t="str">
        <f>"22246"</f>
        <v>22246</v>
      </c>
      <c r="C947" t="str">
        <f>"004"</f>
        <v>004</v>
      </c>
      <c r="D947">
        <v>2006</v>
      </c>
      <c r="E947" s="3">
        <v>5452400</v>
      </c>
      <c r="F947" s="3">
        <v>3038000</v>
      </c>
      <c r="G947" t="s">
        <v>11</v>
      </c>
      <c r="H947" s="5" t="s">
        <v>30</v>
      </c>
      <c r="I947" t="s">
        <v>13</v>
      </c>
      <c r="J947" t="s">
        <v>13</v>
      </c>
    </row>
    <row r="948" spans="1:11" x14ac:dyDescent="0.35">
      <c r="A948" t="s">
        <v>5</v>
      </c>
      <c r="B948" t="str">
        <f>"22246"</f>
        <v>22246</v>
      </c>
      <c r="C948" t="str">
        <f>"005"</f>
        <v>005</v>
      </c>
      <c r="D948">
        <v>2018</v>
      </c>
      <c r="E948" s="3">
        <v>1998000</v>
      </c>
      <c r="F948" s="3">
        <v>1998000</v>
      </c>
      <c r="G948" t="s">
        <v>11</v>
      </c>
      <c r="H948" s="5" t="s">
        <v>30</v>
      </c>
      <c r="I948" t="s">
        <v>13</v>
      </c>
      <c r="J948" t="s">
        <v>13</v>
      </c>
    </row>
    <row r="949" spans="1:11" x14ac:dyDescent="0.35">
      <c r="A949" t="s">
        <v>5</v>
      </c>
      <c r="B949" t="str">
        <f>"22246"</f>
        <v>22246</v>
      </c>
      <c r="C949" t="str">
        <f>"006"</f>
        <v>006</v>
      </c>
      <c r="D949">
        <v>2020</v>
      </c>
      <c r="E949" s="3">
        <v>4049200</v>
      </c>
      <c r="F949" s="3">
        <v>4049200</v>
      </c>
      <c r="G949" t="s">
        <v>11</v>
      </c>
      <c r="H949" s="5" t="s">
        <v>30</v>
      </c>
      <c r="I949" t="s">
        <v>13</v>
      </c>
      <c r="J949" t="s">
        <v>13</v>
      </c>
    </row>
    <row r="950" spans="1:11" x14ac:dyDescent="0.35">
      <c r="A950" t="s">
        <v>5</v>
      </c>
      <c r="B950" t="str">
        <f>"22246"</f>
        <v>22246</v>
      </c>
      <c r="C950" t="str">
        <f>"007"</f>
        <v>007</v>
      </c>
      <c r="D950">
        <v>2021</v>
      </c>
      <c r="E950" s="3">
        <v>2034000</v>
      </c>
      <c r="F950" s="3">
        <v>-486100</v>
      </c>
      <c r="G950" t="s">
        <v>52</v>
      </c>
      <c r="H950" s="5" t="s">
        <v>30</v>
      </c>
      <c r="I950" t="s">
        <v>13</v>
      </c>
      <c r="J950" t="s">
        <v>13</v>
      </c>
    </row>
    <row r="951" spans="1:11" x14ac:dyDescent="0.35">
      <c r="A951" t="s">
        <v>31</v>
      </c>
      <c r="B951" t="s">
        <v>13</v>
      </c>
      <c r="C951" t="s">
        <v>7</v>
      </c>
      <c r="D951" t="s">
        <v>8</v>
      </c>
      <c r="E951" s="3">
        <v>23999400</v>
      </c>
      <c r="F951" s="3">
        <v>19126500</v>
      </c>
      <c r="G951" t="s">
        <v>11</v>
      </c>
      <c r="H951" s="5">
        <v>319188300</v>
      </c>
      <c r="I951" t="s">
        <v>13</v>
      </c>
      <c r="J951" t="s">
        <v>13</v>
      </c>
      <c r="K951">
        <v>5.99</v>
      </c>
    </row>
    <row r="953" spans="1:11" x14ac:dyDescent="0.35">
      <c r="A953" t="s">
        <v>223</v>
      </c>
      <c r="B953" t="str">
        <f>"67147"</f>
        <v>67147</v>
      </c>
      <c r="C953" t="str">
        <f>"001"</f>
        <v>001</v>
      </c>
      <c r="D953">
        <v>2018</v>
      </c>
      <c r="E953" s="3">
        <v>58080100</v>
      </c>
      <c r="F953" s="3">
        <v>50426900</v>
      </c>
      <c r="G953" t="s">
        <v>11</v>
      </c>
      <c r="H953" s="5" t="s">
        <v>30</v>
      </c>
      <c r="I953" t="s">
        <v>13</v>
      </c>
      <c r="J953" t="s">
        <v>13</v>
      </c>
    </row>
    <row r="954" spans="1:11" x14ac:dyDescent="0.35">
      <c r="A954" t="s">
        <v>5</v>
      </c>
      <c r="B954" t="str">
        <f>"67147"</f>
        <v>67147</v>
      </c>
      <c r="C954" t="str">
        <f>"002"</f>
        <v>002</v>
      </c>
      <c r="D954">
        <v>2018</v>
      </c>
      <c r="E954" s="3">
        <v>19528800</v>
      </c>
      <c r="F954" s="3">
        <v>9772200</v>
      </c>
      <c r="G954" t="s">
        <v>11</v>
      </c>
      <c r="H954" s="5" t="s">
        <v>30</v>
      </c>
      <c r="I954" t="s">
        <v>13</v>
      </c>
      <c r="J954" t="s">
        <v>13</v>
      </c>
    </row>
    <row r="955" spans="1:11" x14ac:dyDescent="0.35">
      <c r="A955" t="s">
        <v>31</v>
      </c>
      <c r="B955" t="s">
        <v>13</v>
      </c>
      <c r="C955" t="s">
        <v>7</v>
      </c>
      <c r="D955" t="s">
        <v>8</v>
      </c>
      <c r="E955" s="3">
        <v>77608900</v>
      </c>
      <c r="F955" s="3">
        <v>60199100</v>
      </c>
      <c r="G955" t="s">
        <v>11</v>
      </c>
      <c r="H955" s="5">
        <v>235171800</v>
      </c>
      <c r="I955" t="s">
        <v>13</v>
      </c>
      <c r="J955" t="s">
        <v>13</v>
      </c>
      <c r="K955">
        <v>25.6</v>
      </c>
    </row>
    <row r="957" spans="1:11" x14ac:dyDescent="0.35">
      <c r="A957" t="s">
        <v>224</v>
      </c>
      <c r="B957" t="str">
        <f>"05024"</f>
        <v>05024</v>
      </c>
      <c r="C957" t="str">
        <f>"001A"</f>
        <v>001A</v>
      </c>
      <c r="D957">
        <v>2018</v>
      </c>
      <c r="E957" s="3">
        <v>38114500</v>
      </c>
      <c r="F957" s="3">
        <v>37901600</v>
      </c>
      <c r="G957" t="s">
        <v>11</v>
      </c>
      <c r="H957" s="5" t="s">
        <v>30</v>
      </c>
      <c r="I957" t="s">
        <v>13</v>
      </c>
      <c r="J957" t="s">
        <v>13</v>
      </c>
    </row>
    <row r="958" spans="1:11" x14ac:dyDescent="0.35">
      <c r="A958" t="s">
        <v>5</v>
      </c>
      <c r="B958" t="str">
        <f>"05024"</f>
        <v>05024</v>
      </c>
      <c r="C958" t="str">
        <f>"002A"</f>
        <v>002A</v>
      </c>
      <c r="D958">
        <v>2018</v>
      </c>
      <c r="E958" s="3">
        <v>31386200</v>
      </c>
      <c r="F958" s="3">
        <v>30167300</v>
      </c>
      <c r="G958" t="s">
        <v>11</v>
      </c>
      <c r="H958" s="5" t="s">
        <v>30</v>
      </c>
      <c r="I958" t="s">
        <v>13</v>
      </c>
      <c r="J958" t="s">
        <v>13</v>
      </c>
    </row>
    <row r="959" spans="1:11" x14ac:dyDescent="0.35">
      <c r="A959" t="s">
        <v>31</v>
      </c>
      <c r="B959" t="s">
        <v>13</v>
      </c>
      <c r="C959" t="s">
        <v>7</v>
      </c>
      <c r="D959" t="s">
        <v>8</v>
      </c>
      <c r="E959" s="3">
        <v>69500700</v>
      </c>
      <c r="F959" s="3">
        <v>68068900</v>
      </c>
      <c r="G959" t="s">
        <v>11</v>
      </c>
      <c r="H959" s="5">
        <v>972417900</v>
      </c>
      <c r="I959" t="s">
        <v>13</v>
      </c>
      <c r="J959" t="s">
        <v>13</v>
      </c>
      <c r="K959">
        <v>7</v>
      </c>
    </row>
    <row r="961" spans="1:11" x14ac:dyDescent="0.35">
      <c r="A961" t="s">
        <v>225</v>
      </c>
      <c r="B961" t="str">
        <f>"05025"</f>
        <v>05025</v>
      </c>
      <c r="C961" t="str">
        <f>"001A"</f>
        <v>001A</v>
      </c>
      <c r="D961">
        <v>2015</v>
      </c>
      <c r="E961" s="3">
        <v>79848800</v>
      </c>
      <c r="F961" s="3">
        <v>39282200</v>
      </c>
      <c r="G961" t="s">
        <v>11</v>
      </c>
      <c r="H961" s="5" t="s">
        <v>30</v>
      </c>
      <c r="I961" t="s">
        <v>13</v>
      </c>
      <c r="J961" t="s">
        <v>13</v>
      </c>
    </row>
    <row r="962" spans="1:11" x14ac:dyDescent="0.35">
      <c r="A962" t="s">
        <v>31</v>
      </c>
      <c r="B962" t="s">
        <v>13</v>
      </c>
      <c r="C962" t="s">
        <v>7</v>
      </c>
      <c r="D962" t="s">
        <v>8</v>
      </c>
      <c r="E962" s="3">
        <v>79848800</v>
      </c>
      <c r="F962" s="3">
        <v>39282200</v>
      </c>
      <c r="G962" t="s">
        <v>11</v>
      </c>
      <c r="H962" s="5">
        <v>1365330300</v>
      </c>
      <c r="I962" t="s">
        <v>13</v>
      </c>
      <c r="J962" t="s">
        <v>13</v>
      </c>
      <c r="K962">
        <v>2.88</v>
      </c>
    </row>
    <row r="963" spans="1:11" x14ac:dyDescent="0.35">
      <c r="A963" t="s">
        <v>225</v>
      </c>
      <c r="B963" t="str">
        <f>"05025"</f>
        <v>05025</v>
      </c>
      <c r="C963" t="str">
        <f>"002T"</f>
        <v>002T</v>
      </c>
      <c r="D963">
        <v>2019</v>
      </c>
      <c r="E963" s="3">
        <v>10288900</v>
      </c>
      <c r="F963" s="3">
        <v>9848900</v>
      </c>
      <c r="G963" t="s">
        <v>11</v>
      </c>
      <c r="H963" s="5" t="s">
        <v>30</v>
      </c>
      <c r="I963" t="s">
        <v>13</v>
      </c>
      <c r="J963" t="s">
        <v>13</v>
      </c>
    </row>
    <row r="964" spans="1:11" x14ac:dyDescent="0.35">
      <c r="A964" t="s">
        <v>31</v>
      </c>
      <c r="B964" t="s">
        <v>13</v>
      </c>
      <c r="C964" t="s">
        <v>7</v>
      </c>
      <c r="D964" t="s">
        <v>8</v>
      </c>
      <c r="E964" s="3">
        <v>10288900</v>
      </c>
      <c r="F964" s="3">
        <v>9848900</v>
      </c>
      <c r="G964" t="s">
        <v>11</v>
      </c>
      <c r="H964" s="5">
        <v>1365330300</v>
      </c>
      <c r="I964">
        <v>0.72</v>
      </c>
      <c r="J964">
        <v>0.75</v>
      </c>
    </row>
    <row r="966" spans="1:11" x14ac:dyDescent="0.35">
      <c r="A966" t="s">
        <v>226</v>
      </c>
      <c r="B966" t="str">
        <f>"42146"</f>
        <v>42146</v>
      </c>
      <c r="C966" t="str">
        <f>"001"</f>
        <v>001</v>
      </c>
      <c r="D966">
        <v>2020</v>
      </c>
      <c r="E966" s="3">
        <v>913700</v>
      </c>
      <c r="F966" s="3">
        <v>729000</v>
      </c>
      <c r="G966" t="s">
        <v>11</v>
      </c>
      <c r="H966" s="5" t="s">
        <v>30</v>
      </c>
      <c r="I966" t="s">
        <v>13</v>
      </c>
      <c r="J966" t="s">
        <v>13</v>
      </c>
    </row>
    <row r="967" spans="1:11" x14ac:dyDescent="0.35">
      <c r="A967" t="s">
        <v>31</v>
      </c>
      <c r="B967" t="s">
        <v>13</v>
      </c>
      <c r="C967" t="s">
        <v>7</v>
      </c>
      <c r="D967" t="s">
        <v>8</v>
      </c>
      <c r="E967" s="3">
        <v>913700</v>
      </c>
      <c r="F967" s="3">
        <v>729000</v>
      </c>
      <c r="G967" t="s">
        <v>11</v>
      </c>
      <c r="H967" s="5">
        <v>38142600</v>
      </c>
      <c r="I967" t="s">
        <v>13</v>
      </c>
      <c r="J967" t="s">
        <v>13</v>
      </c>
      <c r="K967">
        <v>1.91</v>
      </c>
    </row>
    <row r="969" spans="1:11" x14ac:dyDescent="0.35">
      <c r="A969" t="s">
        <v>227</v>
      </c>
      <c r="B969" t="str">
        <f>"67010"</f>
        <v>67010</v>
      </c>
      <c r="C969" t="str">
        <f>"001A"</f>
        <v>001A</v>
      </c>
      <c r="D969">
        <v>2019</v>
      </c>
      <c r="E969" s="3">
        <v>9002900</v>
      </c>
      <c r="F969" s="3">
        <v>8103800</v>
      </c>
      <c r="G969" t="s">
        <v>11</v>
      </c>
      <c r="H969" s="5" t="s">
        <v>30</v>
      </c>
      <c r="I969" t="s">
        <v>13</v>
      </c>
      <c r="J969" t="s">
        <v>13</v>
      </c>
    </row>
    <row r="970" spans="1:11" x14ac:dyDescent="0.35">
      <c r="A970" t="s">
        <v>31</v>
      </c>
      <c r="B970" t="s">
        <v>13</v>
      </c>
      <c r="C970" t="s">
        <v>7</v>
      </c>
      <c r="D970" t="s">
        <v>8</v>
      </c>
      <c r="E970" s="3">
        <v>9002900</v>
      </c>
      <c r="F970" s="3">
        <v>8103800</v>
      </c>
      <c r="G970" t="s">
        <v>11</v>
      </c>
      <c r="H970" s="5">
        <v>1781962100</v>
      </c>
      <c r="I970" t="s">
        <v>13</v>
      </c>
      <c r="J970" t="s">
        <v>13</v>
      </c>
      <c r="K970">
        <v>0.45</v>
      </c>
    </row>
    <row r="972" spans="1:11" x14ac:dyDescent="0.35">
      <c r="A972" t="s">
        <v>228</v>
      </c>
      <c r="B972" t="str">
        <f>"44146"</f>
        <v>44146</v>
      </c>
      <c r="C972" t="str">
        <f>"004"</f>
        <v>004</v>
      </c>
      <c r="D972">
        <v>2007</v>
      </c>
      <c r="E972" s="3">
        <v>91487700</v>
      </c>
      <c r="F972" s="3">
        <v>88074300</v>
      </c>
      <c r="G972" t="s">
        <v>11</v>
      </c>
      <c r="H972" s="5" t="s">
        <v>30</v>
      </c>
      <c r="I972" t="s">
        <v>13</v>
      </c>
      <c r="J972" t="s">
        <v>13</v>
      </c>
    </row>
    <row r="973" spans="1:11" x14ac:dyDescent="0.35">
      <c r="A973" t="s">
        <v>5</v>
      </c>
      <c r="B973" t="str">
        <f>"44146"</f>
        <v>44146</v>
      </c>
      <c r="C973" t="str">
        <f>"005"</f>
        <v>005</v>
      </c>
      <c r="D973">
        <v>2013</v>
      </c>
      <c r="E973" s="3">
        <v>34512000</v>
      </c>
      <c r="F973" s="3">
        <v>22776300</v>
      </c>
      <c r="G973" t="s">
        <v>11</v>
      </c>
      <c r="H973" s="5" t="s">
        <v>30</v>
      </c>
      <c r="I973" t="s">
        <v>13</v>
      </c>
      <c r="J973" t="s">
        <v>13</v>
      </c>
    </row>
    <row r="974" spans="1:11" x14ac:dyDescent="0.35">
      <c r="A974" t="s">
        <v>5</v>
      </c>
      <c r="B974" t="str">
        <f>"44146"</f>
        <v>44146</v>
      </c>
      <c r="C974" t="str">
        <f>"006"</f>
        <v>006</v>
      </c>
      <c r="D974">
        <v>2016</v>
      </c>
      <c r="E974" s="3">
        <v>83581400</v>
      </c>
      <c r="F974" s="3">
        <v>81505700</v>
      </c>
      <c r="G974" t="s">
        <v>11</v>
      </c>
      <c r="H974" s="5" t="s">
        <v>30</v>
      </c>
      <c r="I974" t="s">
        <v>13</v>
      </c>
      <c r="J974" t="s">
        <v>13</v>
      </c>
    </row>
    <row r="975" spans="1:11" x14ac:dyDescent="0.35">
      <c r="A975" t="s">
        <v>5</v>
      </c>
      <c r="B975" t="str">
        <f>"44146"</f>
        <v>44146</v>
      </c>
      <c r="C975" t="str">
        <f>"007"</f>
        <v>007</v>
      </c>
      <c r="D975">
        <v>2018</v>
      </c>
      <c r="E975" s="3">
        <v>49369700</v>
      </c>
      <c r="F975" s="3">
        <v>45933500</v>
      </c>
      <c r="G975" t="s">
        <v>11</v>
      </c>
      <c r="H975" s="5" t="s">
        <v>30</v>
      </c>
      <c r="I975" t="s">
        <v>13</v>
      </c>
      <c r="J975" t="s">
        <v>13</v>
      </c>
    </row>
    <row r="976" spans="1:11" x14ac:dyDescent="0.35">
      <c r="A976" t="s">
        <v>5</v>
      </c>
      <c r="B976" t="str">
        <f>"44146"</f>
        <v>44146</v>
      </c>
      <c r="C976" t="str">
        <f>"008"</f>
        <v>008</v>
      </c>
      <c r="D976">
        <v>2018</v>
      </c>
      <c r="E976" s="3">
        <v>8097100</v>
      </c>
      <c r="F976" s="3">
        <v>5472600</v>
      </c>
      <c r="G976" t="s">
        <v>11</v>
      </c>
      <c r="H976" s="5" t="s">
        <v>30</v>
      </c>
      <c r="I976" t="s">
        <v>13</v>
      </c>
      <c r="J976" t="s">
        <v>13</v>
      </c>
    </row>
    <row r="977" spans="1:11" x14ac:dyDescent="0.35">
      <c r="A977" t="s">
        <v>31</v>
      </c>
      <c r="B977" t="s">
        <v>13</v>
      </c>
      <c r="C977" t="s">
        <v>7</v>
      </c>
      <c r="D977" t="s">
        <v>8</v>
      </c>
      <c r="E977" s="3">
        <v>267047900</v>
      </c>
      <c r="F977" s="3">
        <v>243762400</v>
      </c>
      <c r="G977" t="s">
        <v>11</v>
      </c>
      <c r="H977" s="5">
        <v>1217830100</v>
      </c>
      <c r="I977" t="s">
        <v>13</v>
      </c>
      <c r="J977" t="s">
        <v>13</v>
      </c>
      <c r="K977">
        <v>20.02</v>
      </c>
    </row>
    <row r="979" spans="1:11" x14ac:dyDescent="0.35">
      <c r="A979" t="s">
        <v>229</v>
      </c>
      <c r="B979" t="str">
        <f>"11246"</f>
        <v>11246</v>
      </c>
      <c r="C979" t="str">
        <f>"003"</f>
        <v>003</v>
      </c>
      <c r="D979">
        <v>2005</v>
      </c>
      <c r="E979" s="3">
        <v>1253500</v>
      </c>
      <c r="F979" s="3">
        <v>1092500</v>
      </c>
      <c r="G979" t="s">
        <v>11</v>
      </c>
      <c r="H979" s="5" t="s">
        <v>30</v>
      </c>
      <c r="I979" t="s">
        <v>13</v>
      </c>
      <c r="J979" t="s">
        <v>13</v>
      </c>
    </row>
    <row r="980" spans="1:11" x14ac:dyDescent="0.35">
      <c r="A980" t="s">
        <v>5</v>
      </c>
      <c r="B980" t="str">
        <f>"11246"</f>
        <v>11246</v>
      </c>
      <c r="C980" t="str">
        <f>"004"</f>
        <v>004</v>
      </c>
      <c r="D980">
        <v>2015</v>
      </c>
      <c r="E980" s="3">
        <v>19367500</v>
      </c>
      <c r="F980" s="3">
        <v>3334700</v>
      </c>
      <c r="G980" t="s">
        <v>11</v>
      </c>
      <c r="H980" s="5" t="s">
        <v>30</v>
      </c>
      <c r="I980" t="s">
        <v>13</v>
      </c>
      <c r="J980" t="s">
        <v>13</v>
      </c>
    </row>
    <row r="981" spans="1:11" x14ac:dyDescent="0.35">
      <c r="A981" t="s">
        <v>5</v>
      </c>
      <c r="B981" t="str">
        <f>"11246"</f>
        <v>11246</v>
      </c>
      <c r="C981" t="str">
        <f>"005"</f>
        <v>005</v>
      </c>
      <c r="D981">
        <v>2015</v>
      </c>
      <c r="E981" s="3">
        <v>15245200</v>
      </c>
      <c r="F981" s="3">
        <v>2622400</v>
      </c>
      <c r="G981" t="s">
        <v>11</v>
      </c>
      <c r="H981" s="5" t="s">
        <v>30</v>
      </c>
      <c r="I981" t="s">
        <v>13</v>
      </c>
      <c r="J981" t="s">
        <v>13</v>
      </c>
    </row>
    <row r="982" spans="1:11" x14ac:dyDescent="0.35">
      <c r="A982" t="s">
        <v>31</v>
      </c>
      <c r="B982" t="s">
        <v>13</v>
      </c>
      <c r="C982" t="s">
        <v>7</v>
      </c>
      <c r="D982" t="s">
        <v>8</v>
      </c>
      <c r="E982" s="3">
        <v>35866200</v>
      </c>
      <c r="F982" s="3">
        <v>7049600</v>
      </c>
      <c r="G982" t="s">
        <v>11</v>
      </c>
      <c r="H982" s="5">
        <v>357329600</v>
      </c>
      <c r="I982" t="s">
        <v>13</v>
      </c>
      <c r="J982" t="s">
        <v>13</v>
      </c>
      <c r="K982">
        <v>1.97</v>
      </c>
    </row>
    <row r="984" spans="1:11" x14ac:dyDescent="0.35">
      <c r="A984" t="s">
        <v>230</v>
      </c>
      <c r="B984" t="str">
        <f>"56149"</f>
        <v>56149</v>
      </c>
      <c r="C984" t="str">
        <f>"002"</f>
        <v>002</v>
      </c>
      <c r="D984">
        <v>2018</v>
      </c>
      <c r="E984" s="3">
        <v>2524900</v>
      </c>
      <c r="F984" s="3">
        <v>785800</v>
      </c>
      <c r="G984" t="s">
        <v>11</v>
      </c>
      <c r="H984" s="5" t="s">
        <v>30</v>
      </c>
      <c r="I984" t="s">
        <v>13</v>
      </c>
      <c r="J984" t="s">
        <v>13</v>
      </c>
    </row>
    <row r="985" spans="1:11" x14ac:dyDescent="0.35">
      <c r="A985" t="s">
        <v>31</v>
      </c>
      <c r="B985" t="s">
        <v>13</v>
      </c>
      <c r="C985" t="s">
        <v>7</v>
      </c>
      <c r="D985" t="s">
        <v>8</v>
      </c>
      <c r="E985" s="3">
        <v>2524900</v>
      </c>
      <c r="F985" s="3">
        <v>785800</v>
      </c>
      <c r="G985" t="s">
        <v>11</v>
      </c>
      <c r="H985" s="5">
        <v>19854900</v>
      </c>
      <c r="I985" t="s">
        <v>13</v>
      </c>
      <c r="J985" t="s">
        <v>13</v>
      </c>
      <c r="K985">
        <v>3.96</v>
      </c>
    </row>
    <row r="987" spans="1:11" x14ac:dyDescent="0.35">
      <c r="A987" t="s">
        <v>231</v>
      </c>
      <c r="B987" t="str">
        <f>"14146"</f>
        <v>14146</v>
      </c>
      <c r="C987" t="str">
        <f>"004"</f>
        <v>004</v>
      </c>
      <c r="D987">
        <v>2006</v>
      </c>
      <c r="E987" s="3">
        <v>12863700</v>
      </c>
      <c r="F987" s="3">
        <v>11969700</v>
      </c>
      <c r="G987" t="s">
        <v>11</v>
      </c>
      <c r="H987" s="5" t="s">
        <v>30</v>
      </c>
      <c r="I987" t="s">
        <v>13</v>
      </c>
      <c r="J987" t="s">
        <v>13</v>
      </c>
    </row>
    <row r="988" spans="1:11" x14ac:dyDescent="0.35">
      <c r="A988" t="s">
        <v>5</v>
      </c>
      <c r="B988" t="str">
        <f>"14146"</f>
        <v>14146</v>
      </c>
      <c r="C988" t="str">
        <f>"005"</f>
        <v>005</v>
      </c>
      <c r="D988">
        <v>2015</v>
      </c>
      <c r="E988" s="3">
        <v>16701500</v>
      </c>
      <c r="F988" s="3">
        <v>16403900</v>
      </c>
      <c r="G988" t="s">
        <v>11</v>
      </c>
      <c r="H988" s="5" t="s">
        <v>30</v>
      </c>
      <c r="I988" t="s">
        <v>13</v>
      </c>
      <c r="J988" t="s">
        <v>13</v>
      </c>
    </row>
    <row r="989" spans="1:11" x14ac:dyDescent="0.35">
      <c r="A989" t="s">
        <v>31</v>
      </c>
      <c r="B989" t="s">
        <v>13</v>
      </c>
      <c r="C989" t="s">
        <v>7</v>
      </c>
      <c r="D989" t="s">
        <v>8</v>
      </c>
      <c r="E989" s="3">
        <v>29565200</v>
      </c>
      <c r="F989" s="3">
        <v>28373600</v>
      </c>
      <c r="G989" t="s">
        <v>11</v>
      </c>
      <c r="H989" s="5">
        <v>223102500</v>
      </c>
      <c r="I989" t="s">
        <v>13</v>
      </c>
      <c r="J989" t="s">
        <v>13</v>
      </c>
      <c r="K989">
        <v>12.72</v>
      </c>
    </row>
    <row r="991" spans="1:11" x14ac:dyDescent="0.35">
      <c r="A991" t="s">
        <v>232</v>
      </c>
      <c r="B991" t="str">
        <f>"48146"</f>
        <v>48146</v>
      </c>
      <c r="C991" t="str">
        <f>"002"</f>
        <v>002</v>
      </c>
      <c r="D991">
        <v>2002</v>
      </c>
      <c r="E991" s="3">
        <v>9451700</v>
      </c>
      <c r="F991" s="3">
        <v>3942100</v>
      </c>
      <c r="G991" t="s">
        <v>11</v>
      </c>
      <c r="H991" s="5" t="s">
        <v>30</v>
      </c>
      <c r="I991" t="s">
        <v>13</v>
      </c>
      <c r="J991" t="s">
        <v>13</v>
      </c>
    </row>
    <row r="992" spans="1:11" x14ac:dyDescent="0.35">
      <c r="A992" t="s">
        <v>5</v>
      </c>
      <c r="B992" t="str">
        <f>"48146"</f>
        <v>48146</v>
      </c>
      <c r="C992" t="str">
        <f>"003"</f>
        <v>003</v>
      </c>
      <c r="D992">
        <v>2005</v>
      </c>
      <c r="E992" s="3">
        <v>5494700</v>
      </c>
      <c r="F992" s="3">
        <v>1972300</v>
      </c>
      <c r="G992" t="s">
        <v>11</v>
      </c>
      <c r="H992" s="5" t="s">
        <v>30</v>
      </c>
      <c r="I992" t="s">
        <v>13</v>
      </c>
      <c r="J992" t="s">
        <v>13</v>
      </c>
    </row>
    <row r="993" spans="1:11" x14ac:dyDescent="0.35">
      <c r="A993" t="s">
        <v>5</v>
      </c>
      <c r="B993" t="str">
        <f>"48146"</f>
        <v>48146</v>
      </c>
      <c r="C993" t="str">
        <f>"004"</f>
        <v>004</v>
      </c>
      <c r="D993">
        <v>2018</v>
      </c>
      <c r="E993" s="3">
        <v>11116600</v>
      </c>
      <c r="F993" s="3">
        <v>3423400</v>
      </c>
      <c r="G993" t="s">
        <v>11</v>
      </c>
      <c r="H993" s="5" t="s">
        <v>30</v>
      </c>
      <c r="I993" t="s">
        <v>13</v>
      </c>
      <c r="J993" t="s">
        <v>13</v>
      </c>
    </row>
    <row r="994" spans="1:11" x14ac:dyDescent="0.35">
      <c r="A994" t="s">
        <v>31</v>
      </c>
      <c r="B994" t="s">
        <v>13</v>
      </c>
      <c r="C994" t="s">
        <v>7</v>
      </c>
      <c r="D994" t="s">
        <v>8</v>
      </c>
      <c r="E994" s="3">
        <v>26063000</v>
      </c>
      <c r="F994" s="3">
        <v>9337800</v>
      </c>
      <c r="G994" t="s">
        <v>11</v>
      </c>
      <c r="H994" s="5">
        <v>99697400</v>
      </c>
      <c r="I994" t="s">
        <v>13</v>
      </c>
      <c r="J994" t="s">
        <v>13</v>
      </c>
      <c r="K994">
        <v>9.3699999999999992</v>
      </c>
    </row>
    <row r="996" spans="1:11" x14ac:dyDescent="0.35">
      <c r="A996" t="s">
        <v>233</v>
      </c>
      <c r="B996" t="str">
        <f>"31146"</f>
        <v>31146</v>
      </c>
      <c r="C996" t="str">
        <f>"001"</f>
        <v>001</v>
      </c>
      <c r="D996">
        <v>1995</v>
      </c>
      <c r="E996" s="3">
        <v>53463200</v>
      </c>
      <c r="F996" s="3">
        <v>48743000</v>
      </c>
      <c r="G996" t="s">
        <v>11</v>
      </c>
      <c r="H996" s="5" t="s">
        <v>30</v>
      </c>
      <c r="I996" t="s">
        <v>13</v>
      </c>
      <c r="J996" t="s">
        <v>13</v>
      </c>
    </row>
    <row r="997" spans="1:11" x14ac:dyDescent="0.35">
      <c r="A997" t="s">
        <v>31</v>
      </c>
      <c r="B997" t="s">
        <v>13</v>
      </c>
      <c r="C997" t="s">
        <v>7</v>
      </c>
      <c r="D997" t="s">
        <v>8</v>
      </c>
      <c r="E997" s="3">
        <v>53463200</v>
      </c>
      <c r="F997" s="3">
        <v>48743000</v>
      </c>
      <c r="G997" t="s">
        <v>11</v>
      </c>
      <c r="H997" s="5">
        <v>259128100</v>
      </c>
      <c r="I997" t="s">
        <v>13</v>
      </c>
      <c r="J997" t="s">
        <v>13</v>
      </c>
      <c r="K997">
        <v>18.809999999999999</v>
      </c>
    </row>
    <row r="999" spans="1:11" x14ac:dyDescent="0.35">
      <c r="A999" t="s">
        <v>234</v>
      </c>
      <c r="B999" t="str">
        <f>"13032"</f>
        <v>13032</v>
      </c>
      <c r="C999" t="str">
        <f>"002O"</f>
        <v>002O</v>
      </c>
      <c r="D999">
        <v>2006</v>
      </c>
      <c r="E999" s="3">
        <v>56548400</v>
      </c>
      <c r="F999" s="3">
        <v>31701600</v>
      </c>
      <c r="G999" t="s">
        <v>11</v>
      </c>
      <c r="H999" s="5" t="s">
        <v>30</v>
      </c>
      <c r="I999" t="s">
        <v>13</v>
      </c>
      <c r="J999" t="s">
        <v>13</v>
      </c>
    </row>
    <row r="1000" spans="1:11" x14ac:dyDescent="0.35">
      <c r="A1000" t="s">
        <v>31</v>
      </c>
      <c r="B1000" t="s">
        <v>13</v>
      </c>
      <c r="C1000" t="s">
        <v>7</v>
      </c>
      <c r="D1000" t="s">
        <v>8</v>
      </c>
      <c r="E1000" s="3">
        <v>56548400</v>
      </c>
      <c r="F1000" s="3">
        <v>31701600</v>
      </c>
      <c r="G1000" t="s">
        <v>11</v>
      </c>
      <c r="H1000" s="5">
        <v>584783700</v>
      </c>
      <c r="I1000" t="s">
        <v>13</v>
      </c>
      <c r="J1000" t="s">
        <v>13</v>
      </c>
      <c r="K1000">
        <v>5.42</v>
      </c>
    </row>
    <row r="1001" spans="1:11" x14ac:dyDescent="0.35">
      <c r="A1001" t="s">
        <v>234</v>
      </c>
      <c r="B1001" t="str">
        <f t="shared" ref="B1001:B1013" si="18">"13251"</f>
        <v>13251</v>
      </c>
      <c r="C1001" t="str">
        <f>"025"</f>
        <v>025</v>
      </c>
      <c r="D1001">
        <v>1995</v>
      </c>
      <c r="E1001" s="3">
        <v>275836000</v>
      </c>
      <c r="F1001" s="3">
        <v>237229300</v>
      </c>
      <c r="G1001" t="s">
        <v>11</v>
      </c>
      <c r="H1001" s="5" t="s">
        <v>30</v>
      </c>
      <c r="I1001" t="s">
        <v>13</v>
      </c>
      <c r="J1001" t="s">
        <v>13</v>
      </c>
    </row>
    <row r="1002" spans="1:11" x14ac:dyDescent="0.35">
      <c r="A1002" t="s">
        <v>5</v>
      </c>
      <c r="B1002" t="str">
        <f t="shared" si="18"/>
        <v>13251</v>
      </c>
      <c r="C1002" t="str">
        <f>"029"</f>
        <v>029</v>
      </c>
      <c r="D1002">
        <v>2000</v>
      </c>
      <c r="E1002" s="3">
        <v>87165000</v>
      </c>
      <c r="F1002" s="3">
        <v>45423600</v>
      </c>
      <c r="G1002" t="s">
        <v>11</v>
      </c>
      <c r="H1002" s="5" t="s">
        <v>30</v>
      </c>
      <c r="I1002" t="s">
        <v>13</v>
      </c>
      <c r="J1002" t="s">
        <v>13</v>
      </c>
    </row>
    <row r="1003" spans="1:11" x14ac:dyDescent="0.35">
      <c r="A1003" t="s">
        <v>5</v>
      </c>
      <c r="B1003" t="str">
        <f t="shared" si="18"/>
        <v>13251</v>
      </c>
      <c r="C1003" t="str">
        <f>"035"</f>
        <v>035</v>
      </c>
      <c r="D1003">
        <v>2005</v>
      </c>
      <c r="E1003" s="3">
        <v>85741700</v>
      </c>
      <c r="F1003" s="3">
        <v>59941100</v>
      </c>
      <c r="G1003" t="s">
        <v>11</v>
      </c>
      <c r="H1003" s="5" t="s">
        <v>30</v>
      </c>
      <c r="I1003" t="s">
        <v>13</v>
      </c>
      <c r="J1003" t="s">
        <v>13</v>
      </c>
    </row>
    <row r="1004" spans="1:11" x14ac:dyDescent="0.35">
      <c r="A1004" t="s">
        <v>5</v>
      </c>
      <c r="B1004" t="str">
        <f t="shared" si="18"/>
        <v>13251</v>
      </c>
      <c r="C1004" t="str">
        <f>"036"</f>
        <v>036</v>
      </c>
      <c r="D1004">
        <v>2005</v>
      </c>
      <c r="E1004" s="3">
        <v>586824100</v>
      </c>
      <c r="F1004" s="3">
        <v>489171700</v>
      </c>
      <c r="G1004" t="s">
        <v>11</v>
      </c>
      <c r="H1004" s="5" t="s">
        <v>30</v>
      </c>
      <c r="I1004" t="s">
        <v>13</v>
      </c>
      <c r="J1004" t="s">
        <v>13</v>
      </c>
    </row>
    <row r="1005" spans="1:11" x14ac:dyDescent="0.35">
      <c r="A1005" t="s">
        <v>5</v>
      </c>
      <c r="B1005" t="str">
        <f t="shared" si="18"/>
        <v>13251</v>
      </c>
      <c r="C1005" t="str">
        <f>"037"</f>
        <v>037</v>
      </c>
      <c r="D1005">
        <v>2006</v>
      </c>
      <c r="E1005" s="3">
        <v>194780300</v>
      </c>
      <c r="F1005" s="3">
        <v>151313400</v>
      </c>
      <c r="G1005" t="s">
        <v>11</v>
      </c>
      <c r="H1005" s="5" t="s">
        <v>30</v>
      </c>
      <c r="I1005" t="s">
        <v>13</v>
      </c>
      <c r="J1005" t="s">
        <v>13</v>
      </c>
    </row>
    <row r="1006" spans="1:11" x14ac:dyDescent="0.35">
      <c r="A1006" t="s">
        <v>5</v>
      </c>
      <c r="B1006" t="str">
        <f t="shared" si="18"/>
        <v>13251</v>
      </c>
      <c r="C1006" t="str">
        <f>"039"</f>
        <v>039</v>
      </c>
      <c r="D1006">
        <v>2008</v>
      </c>
      <c r="E1006" s="3">
        <v>438240200</v>
      </c>
      <c r="F1006" s="3">
        <v>174983700</v>
      </c>
      <c r="G1006" t="s">
        <v>11</v>
      </c>
      <c r="H1006" s="5" t="s">
        <v>30</v>
      </c>
      <c r="I1006" t="s">
        <v>13</v>
      </c>
      <c r="J1006" t="s">
        <v>13</v>
      </c>
    </row>
    <row r="1007" spans="1:11" x14ac:dyDescent="0.35">
      <c r="A1007" t="s">
        <v>5</v>
      </c>
      <c r="B1007" t="str">
        <f t="shared" si="18"/>
        <v>13251</v>
      </c>
      <c r="C1007" t="str">
        <f>"041"</f>
        <v>041</v>
      </c>
      <c r="D1007">
        <v>2011</v>
      </c>
      <c r="E1007" s="3">
        <v>75688000</v>
      </c>
      <c r="F1007" s="3">
        <v>56984700</v>
      </c>
      <c r="G1007" t="s">
        <v>11</v>
      </c>
      <c r="H1007" s="5" t="s">
        <v>30</v>
      </c>
      <c r="I1007" t="s">
        <v>13</v>
      </c>
      <c r="J1007" t="s">
        <v>13</v>
      </c>
    </row>
    <row r="1008" spans="1:11" x14ac:dyDescent="0.35">
      <c r="A1008" t="s">
        <v>5</v>
      </c>
      <c r="B1008" t="str">
        <f t="shared" si="18"/>
        <v>13251</v>
      </c>
      <c r="C1008" t="str">
        <f>"042"</f>
        <v>042</v>
      </c>
      <c r="D1008">
        <v>2012</v>
      </c>
      <c r="E1008" s="3">
        <v>168848300</v>
      </c>
      <c r="F1008" s="3">
        <v>117982100</v>
      </c>
      <c r="G1008" t="s">
        <v>11</v>
      </c>
      <c r="H1008" s="5" t="s">
        <v>30</v>
      </c>
      <c r="I1008" t="s">
        <v>13</v>
      </c>
      <c r="J1008" t="s">
        <v>13</v>
      </c>
    </row>
    <row r="1009" spans="1:11" x14ac:dyDescent="0.35">
      <c r="A1009" t="s">
        <v>5</v>
      </c>
      <c r="B1009" t="str">
        <f t="shared" si="18"/>
        <v>13251</v>
      </c>
      <c r="C1009" t="str">
        <f>"044"</f>
        <v>044</v>
      </c>
      <c r="D1009">
        <v>2013</v>
      </c>
      <c r="E1009" s="3">
        <v>92797900</v>
      </c>
      <c r="F1009" s="3">
        <v>62349500</v>
      </c>
      <c r="G1009" t="s">
        <v>11</v>
      </c>
      <c r="H1009" s="5" t="s">
        <v>30</v>
      </c>
      <c r="I1009" t="s">
        <v>13</v>
      </c>
      <c r="J1009" t="s">
        <v>13</v>
      </c>
    </row>
    <row r="1010" spans="1:11" x14ac:dyDescent="0.35">
      <c r="A1010" t="s">
        <v>5</v>
      </c>
      <c r="B1010" t="str">
        <f t="shared" si="18"/>
        <v>13251</v>
      </c>
      <c r="C1010" t="str">
        <f>"045"</f>
        <v>045</v>
      </c>
      <c r="D1010">
        <v>2015</v>
      </c>
      <c r="E1010" s="3">
        <v>172317200</v>
      </c>
      <c r="F1010" s="3">
        <v>93013200</v>
      </c>
      <c r="G1010" t="s">
        <v>11</v>
      </c>
      <c r="H1010" s="5" t="s">
        <v>30</v>
      </c>
      <c r="I1010" t="s">
        <v>13</v>
      </c>
      <c r="J1010" t="s">
        <v>13</v>
      </c>
    </row>
    <row r="1011" spans="1:11" x14ac:dyDescent="0.35">
      <c r="A1011" t="s">
        <v>5</v>
      </c>
      <c r="B1011" t="str">
        <f t="shared" si="18"/>
        <v>13251</v>
      </c>
      <c r="C1011" t="str">
        <f>"046"</f>
        <v>046</v>
      </c>
      <c r="D1011">
        <v>2015</v>
      </c>
      <c r="E1011" s="3">
        <v>670235900</v>
      </c>
      <c r="F1011" s="3">
        <v>349329600</v>
      </c>
      <c r="G1011" t="s">
        <v>11</v>
      </c>
      <c r="H1011" s="5" t="s">
        <v>30</v>
      </c>
      <c r="I1011" t="s">
        <v>13</v>
      </c>
      <c r="J1011" t="s">
        <v>13</v>
      </c>
    </row>
    <row r="1012" spans="1:11" x14ac:dyDescent="0.35">
      <c r="A1012" t="s">
        <v>5</v>
      </c>
      <c r="B1012" t="str">
        <f t="shared" si="18"/>
        <v>13251</v>
      </c>
      <c r="C1012" t="str">
        <f>"047"</f>
        <v>047</v>
      </c>
      <c r="D1012">
        <v>2017</v>
      </c>
      <c r="E1012" s="3">
        <v>28501500</v>
      </c>
      <c r="F1012" s="3">
        <v>18468900</v>
      </c>
      <c r="G1012" t="s">
        <v>11</v>
      </c>
      <c r="H1012" s="5" t="s">
        <v>30</v>
      </c>
      <c r="I1012" t="s">
        <v>13</v>
      </c>
      <c r="J1012" t="s">
        <v>13</v>
      </c>
    </row>
    <row r="1013" spans="1:11" x14ac:dyDescent="0.35">
      <c r="A1013" t="s">
        <v>5</v>
      </c>
      <c r="B1013" t="str">
        <f t="shared" si="18"/>
        <v>13251</v>
      </c>
      <c r="C1013" t="str">
        <f>"048"</f>
        <v>048</v>
      </c>
      <c r="D1013">
        <v>2021</v>
      </c>
      <c r="E1013" s="3">
        <v>279446200</v>
      </c>
      <c r="F1013" s="3">
        <v>38550000</v>
      </c>
      <c r="G1013" t="s">
        <v>11</v>
      </c>
      <c r="H1013" s="5" t="s">
        <v>30</v>
      </c>
      <c r="I1013" t="s">
        <v>13</v>
      </c>
      <c r="J1013" t="s">
        <v>13</v>
      </c>
    </row>
    <row r="1014" spans="1:11" x14ac:dyDescent="0.35">
      <c r="A1014" t="s">
        <v>31</v>
      </c>
      <c r="B1014" t="s">
        <v>13</v>
      </c>
      <c r="C1014" t="s">
        <v>7</v>
      </c>
      <c r="D1014" t="s">
        <v>8</v>
      </c>
      <c r="E1014" s="3">
        <v>3156422300</v>
      </c>
      <c r="F1014" s="3">
        <v>1894740800</v>
      </c>
      <c r="G1014" t="s">
        <v>11</v>
      </c>
      <c r="H1014" s="5">
        <v>38606699100</v>
      </c>
      <c r="I1014" t="s">
        <v>13</v>
      </c>
      <c r="J1014" t="s">
        <v>13</v>
      </c>
      <c r="K1014">
        <v>4.91</v>
      </c>
    </row>
    <row r="1016" spans="1:11" x14ac:dyDescent="0.35">
      <c r="A1016" t="s">
        <v>235</v>
      </c>
      <c r="B1016" t="str">
        <f>"37146"</f>
        <v>37146</v>
      </c>
      <c r="C1016" t="str">
        <f>"001"</f>
        <v>001</v>
      </c>
      <c r="D1016">
        <v>1997</v>
      </c>
      <c r="E1016" s="3">
        <v>12061600</v>
      </c>
      <c r="F1016" s="3">
        <v>11614500</v>
      </c>
      <c r="G1016" t="s">
        <v>11</v>
      </c>
      <c r="H1016" s="5" t="s">
        <v>30</v>
      </c>
      <c r="I1016" t="s">
        <v>13</v>
      </c>
      <c r="J1016" t="s">
        <v>13</v>
      </c>
    </row>
    <row r="1017" spans="1:11" x14ac:dyDescent="0.35">
      <c r="A1017" t="s">
        <v>31</v>
      </c>
      <c r="B1017" t="s">
        <v>13</v>
      </c>
      <c r="C1017" t="s">
        <v>7</v>
      </c>
      <c r="D1017" t="s">
        <v>8</v>
      </c>
      <c r="E1017" s="3">
        <v>12061600</v>
      </c>
      <c r="F1017" s="3">
        <v>11614500</v>
      </c>
      <c r="G1017" t="s">
        <v>11</v>
      </c>
      <c r="H1017" s="5">
        <v>323568700</v>
      </c>
      <c r="I1017" t="s">
        <v>13</v>
      </c>
      <c r="J1017" t="s">
        <v>13</v>
      </c>
      <c r="K1017">
        <v>3.59</v>
      </c>
    </row>
    <row r="1019" spans="1:11" x14ac:dyDescent="0.35">
      <c r="A1019" t="s">
        <v>236</v>
      </c>
      <c r="B1019" t="str">
        <f>"68251"</f>
        <v>68251</v>
      </c>
      <c r="C1019" t="str">
        <f>"002"</f>
        <v>002</v>
      </c>
      <c r="D1019">
        <v>2016</v>
      </c>
      <c r="E1019" s="3">
        <v>5087100</v>
      </c>
      <c r="F1019" s="3">
        <v>2694400</v>
      </c>
      <c r="G1019" t="s">
        <v>11</v>
      </c>
      <c r="H1019" s="5" t="s">
        <v>30</v>
      </c>
      <c r="I1019" t="s">
        <v>13</v>
      </c>
      <c r="J1019" t="s">
        <v>13</v>
      </c>
    </row>
    <row r="1020" spans="1:11" x14ac:dyDescent="0.35">
      <c r="A1020" t="s">
        <v>5</v>
      </c>
      <c r="B1020" t="str">
        <f>"68251"</f>
        <v>68251</v>
      </c>
      <c r="C1020" t="str">
        <f>"003"</f>
        <v>003</v>
      </c>
      <c r="D1020">
        <v>2018</v>
      </c>
      <c r="E1020" s="3">
        <v>3284800</v>
      </c>
      <c r="F1020" s="3">
        <v>922200</v>
      </c>
      <c r="G1020" t="s">
        <v>11</v>
      </c>
      <c r="H1020" s="5" t="s">
        <v>30</v>
      </c>
      <c r="I1020" t="s">
        <v>13</v>
      </c>
      <c r="J1020" t="s">
        <v>13</v>
      </c>
    </row>
    <row r="1021" spans="1:11" x14ac:dyDescent="0.35">
      <c r="A1021" t="s">
        <v>31</v>
      </c>
      <c r="B1021" t="s">
        <v>13</v>
      </c>
      <c r="C1021" t="s">
        <v>7</v>
      </c>
      <c r="D1021" t="s">
        <v>8</v>
      </c>
      <c r="E1021" s="3">
        <v>8371900</v>
      </c>
      <c r="F1021" s="3">
        <v>3616600</v>
      </c>
      <c r="G1021" t="s">
        <v>11</v>
      </c>
      <c r="H1021" s="5">
        <v>90915600</v>
      </c>
      <c r="I1021" t="s">
        <v>13</v>
      </c>
      <c r="J1021" t="s">
        <v>13</v>
      </c>
      <c r="K1021">
        <v>3.98</v>
      </c>
    </row>
    <row r="1023" spans="1:11" x14ac:dyDescent="0.35">
      <c r="A1023" t="s">
        <v>237</v>
      </c>
      <c r="B1023" t="str">
        <f t="shared" ref="B1023:B1029" si="19">"36251"</f>
        <v>36251</v>
      </c>
      <c r="C1023" t="str">
        <f>"016"</f>
        <v>016</v>
      </c>
      <c r="D1023">
        <v>2003</v>
      </c>
      <c r="E1023" s="3">
        <v>39196600</v>
      </c>
      <c r="F1023" s="3">
        <v>15666300</v>
      </c>
      <c r="G1023" t="s">
        <v>11</v>
      </c>
      <c r="H1023" s="5" t="s">
        <v>30</v>
      </c>
      <c r="I1023" t="s">
        <v>13</v>
      </c>
      <c r="J1023" t="s">
        <v>13</v>
      </c>
    </row>
    <row r="1024" spans="1:11" x14ac:dyDescent="0.35">
      <c r="A1024" t="s">
        <v>5</v>
      </c>
      <c r="B1024" t="str">
        <f t="shared" si="19"/>
        <v>36251</v>
      </c>
      <c r="C1024" t="str">
        <f>"017"</f>
        <v>017</v>
      </c>
      <c r="D1024">
        <v>2007</v>
      </c>
      <c r="E1024" s="3">
        <v>10714400</v>
      </c>
      <c r="F1024" s="3">
        <v>10522200</v>
      </c>
      <c r="G1024" t="s">
        <v>11</v>
      </c>
      <c r="H1024" s="5" t="s">
        <v>30</v>
      </c>
      <c r="I1024" t="s">
        <v>13</v>
      </c>
      <c r="J1024" t="s">
        <v>13</v>
      </c>
    </row>
    <row r="1025" spans="1:11" x14ac:dyDescent="0.35">
      <c r="A1025" t="s">
        <v>5</v>
      </c>
      <c r="B1025" t="str">
        <f t="shared" si="19"/>
        <v>36251</v>
      </c>
      <c r="C1025" t="str">
        <f>"018"</f>
        <v>018</v>
      </c>
      <c r="D1025">
        <v>2015</v>
      </c>
      <c r="E1025" s="3">
        <v>30760800</v>
      </c>
      <c r="F1025" s="3">
        <v>17268500</v>
      </c>
      <c r="G1025" t="s">
        <v>11</v>
      </c>
      <c r="H1025" s="5" t="s">
        <v>30</v>
      </c>
      <c r="I1025" t="s">
        <v>13</v>
      </c>
      <c r="J1025" t="s">
        <v>13</v>
      </c>
    </row>
    <row r="1026" spans="1:11" x14ac:dyDescent="0.35">
      <c r="A1026" t="s">
        <v>5</v>
      </c>
      <c r="B1026" t="str">
        <f t="shared" si="19"/>
        <v>36251</v>
      </c>
      <c r="C1026" t="str">
        <f>"019"</f>
        <v>019</v>
      </c>
      <c r="D1026">
        <v>2017</v>
      </c>
      <c r="E1026" s="3">
        <v>75120100</v>
      </c>
      <c r="F1026" s="3">
        <v>16705500</v>
      </c>
      <c r="G1026" t="s">
        <v>11</v>
      </c>
      <c r="H1026" s="5" t="s">
        <v>30</v>
      </c>
      <c r="I1026" t="s">
        <v>13</v>
      </c>
      <c r="J1026" t="s">
        <v>13</v>
      </c>
    </row>
    <row r="1027" spans="1:11" x14ac:dyDescent="0.35">
      <c r="A1027" t="s">
        <v>5</v>
      </c>
      <c r="B1027" t="str">
        <f t="shared" si="19"/>
        <v>36251</v>
      </c>
      <c r="C1027" t="str">
        <f>"020"</f>
        <v>020</v>
      </c>
      <c r="D1027">
        <v>2018</v>
      </c>
      <c r="E1027" s="3">
        <v>52185500</v>
      </c>
      <c r="F1027" s="3">
        <v>30545500</v>
      </c>
      <c r="G1027" t="s">
        <v>11</v>
      </c>
      <c r="H1027" s="5" t="s">
        <v>30</v>
      </c>
      <c r="I1027" t="s">
        <v>13</v>
      </c>
      <c r="J1027" t="s">
        <v>13</v>
      </c>
    </row>
    <row r="1028" spans="1:11" x14ac:dyDescent="0.35">
      <c r="A1028" t="s">
        <v>5</v>
      </c>
      <c r="B1028" t="str">
        <f t="shared" si="19"/>
        <v>36251</v>
      </c>
      <c r="C1028" t="str">
        <f>"021"</f>
        <v>021</v>
      </c>
      <c r="D1028">
        <v>2018</v>
      </c>
      <c r="E1028" s="3">
        <v>57679300</v>
      </c>
      <c r="F1028" s="3">
        <v>34948900</v>
      </c>
      <c r="G1028" t="s">
        <v>11</v>
      </c>
      <c r="H1028" s="5" t="s">
        <v>30</v>
      </c>
      <c r="I1028" t="s">
        <v>13</v>
      </c>
      <c r="J1028" t="s">
        <v>13</v>
      </c>
    </row>
    <row r="1029" spans="1:11" x14ac:dyDescent="0.35">
      <c r="A1029" t="s">
        <v>5</v>
      </c>
      <c r="B1029" t="str">
        <f t="shared" si="19"/>
        <v>36251</v>
      </c>
      <c r="C1029" t="str">
        <f>"022"</f>
        <v>022</v>
      </c>
      <c r="D1029">
        <v>2020</v>
      </c>
      <c r="E1029" s="3">
        <v>3363500</v>
      </c>
      <c r="F1029" s="3">
        <v>212100</v>
      </c>
      <c r="G1029" t="s">
        <v>11</v>
      </c>
      <c r="H1029" s="5" t="s">
        <v>30</v>
      </c>
      <c r="I1029" t="s">
        <v>13</v>
      </c>
      <c r="J1029" t="s">
        <v>13</v>
      </c>
    </row>
    <row r="1030" spans="1:11" x14ac:dyDescent="0.35">
      <c r="A1030" t="s">
        <v>31</v>
      </c>
      <c r="B1030" t="s">
        <v>13</v>
      </c>
      <c r="C1030" t="s">
        <v>7</v>
      </c>
      <c r="D1030" t="s">
        <v>8</v>
      </c>
      <c r="E1030" s="3">
        <v>269020200</v>
      </c>
      <c r="F1030" s="3">
        <v>125869000</v>
      </c>
      <c r="G1030" t="s">
        <v>11</v>
      </c>
      <c r="H1030" s="5">
        <v>2682419000</v>
      </c>
      <c r="I1030" t="s">
        <v>13</v>
      </c>
      <c r="J1030" t="s">
        <v>13</v>
      </c>
      <c r="K1030">
        <v>4.6900000000000004</v>
      </c>
    </row>
    <row r="1032" spans="1:11" x14ac:dyDescent="0.35">
      <c r="A1032" t="s">
        <v>238</v>
      </c>
      <c r="B1032" t="str">
        <f>"13151"</f>
        <v>13151</v>
      </c>
      <c r="C1032" t="str">
        <f>"001"</f>
        <v>001</v>
      </c>
      <c r="D1032">
        <v>2014</v>
      </c>
      <c r="E1032" s="3">
        <v>16030600</v>
      </c>
      <c r="F1032" s="3">
        <v>10341200</v>
      </c>
      <c r="G1032" t="s">
        <v>11</v>
      </c>
      <c r="H1032" s="5" t="s">
        <v>30</v>
      </c>
      <c r="I1032" t="s">
        <v>13</v>
      </c>
      <c r="J1032" t="s">
        <v>13</v>
      </c>
    </row>
    <row r="1033" spans="1:11" x14ac:dyDescent="0.35">
      <c r="A1033" t="s">
        <v>31</v>
      </c>
      <c r="B1033" t="s">
        <v>13</v>
      </c>
      <c r="C1033" t="s">
        <v>7</v>
      </c>
      <c r="D1033" t="s">
        <v>8</v>
      </c>
      <c r="E1033" s="3">
        <v>16030600</v>
      </c>
      <c r="F1033" s="3">
        <v>10341200</v>
      </c>
      <c r="G1033" t="s">
        <v>11</v>
      </c>
      <c r="H1033" s="5">
        <v>581262700</v>
      </c>
      <c r="I1033" t="s">
        <v>13</v>
      </c>
      <c r="J1033" t="s">
        <v>13</v>
      </c>
      <c r="K1033">
        <v>1.78</v>
      </c>
    </row>
    <row r="1035" spans="1:11" x14ac:dyDescent="0.35">
      <c r="A1035" t="s">
        <v>239</v>
      </c>
      <c r="B1035" t="str">
        <f>"37151"</f>
        <v>37151</v>
      </c>
      <c r="C1035" t="str">
        <f>"001"</f>
        <v>001</v>
      </c>
      <c r="D1035">
        <v>2002</v>
      </c>
      <c r="E1035" s="3">
        <v>42771500</v>
      </c>
      <c r="F1035" s="3">
        <v>35410100</v>
      </c>
      <c r="G1035" t="s">
        <v>11</v>
      </c>
      <c r="H1035" s="5" t="s">
        <v>30</v>
      </c>
      <c r="I1035" t="s">
        <v>13</v>
      </c>
      <c r="J1035" t="s">
        <v>13</v>
      </c>
    </row>
    <row r="1036" spans="1:11" x14ac:dyDescent="0.35">
      <c r="A1036" t="s">
        <v>5</v>
      </c>
      <c r="B1036" t="str">
        <f>"37151"</f>
        <v>37151</v>
      </c>
      <c r="C1036" t="str">
        <f>"002"</f>
        <v>002</v>
      </c>
      <c r="D1036">
        <v>2016</v>
      </c>
      <c r="E1036" s="3">
        <v>7561500</v>
      </c>
      <c r="F1036" s="3">
        <v>6414700</v>
      </c>
      <c r="G1036" t="s">
        <v>11</v>
      </c>
      <c r="H1036" s="5" t="s">
        <v>30</v>
      </c>
      <c r="I1036" t="s">
        <v>13</v>
      </c>
      <c r="J1036" t="s">
        <v>13</v>
      </c>
    </row>
    <row r="1037" spans="1:11" x14ac:dyDescent="0.35">
      <c r="A1037" t="s">
        <v>31</v>
      </c>
      <c r="B1037" t="s">
        <v>13</v>
      </c>
      <c r="C1037" t="s">
        <v>7</v>
      </c>
      <c r="D1037" t="s">
        <v>8</v>
      </c>
      <c r="E1037" s="3">
        <v>50333000</v>
      </c>
      <c r="F1037" s="3">
        <v>41824800</v>
      </c>
      <c r="G1037" t="s">
        <v>11</v>
      </c>
      <c r="H1037" s="5">
        <v>201342800</v>
      </c>
      <c r="I1037" t="s">
        <v>13</v>
      </c>
      <c r="J1037" t="s">
        <v>13</v>
      </c>
      <c r="K1037">
        <v>20.77</v>
      </c>
    </row>
    <row r="1039" spans="1:11" x14ac:dyDescent="0.35">
      <c r="A1039" t="s">
        <v>240</v>
      </c>
      <c r="B1039" t="str">
        <f>"36147"</f>
        <v>36147</v>
      </c>
      <c r="C1039" t="str">
        <f>"001"</f>
        <v>001</v>
      </c>
      <c r="D1039">
        <v>2017</v>
      </c>
      <c r="E1039" s="3">
        <v>4883500</v>
      </c>
      <c r="F1039" s="3">
        <v>3636100</v>
      </c>
      <c r="G1039" t="s">
        <v>11</v>
      </c>
      <c r="H1039" s="5" t="s">
        <v>30</v>
      </c>
      <c r="I1039" t="s">
        <v>13</v>
      </c>
      <c r="J1039" t="s">
        <v>13</v>
      </c>
    </row>
    <row r="1040" spans="1:11" x14ac:dyDescent="0.35">
      <c r="A1040" t="s">
        <v>31</v>
      </c>
      <c r="B1040" t="s">
        <v>13</v>
      </c>
      <c r="C1040" t="s">
        <v>7</v>
      </c>
      <c r="D1040" t="s">
        <v>8</v>
      </c>
      <c r="E1040" s="3">
        <v>4883500</v>
      </c>
      <c r="F1040" s="3">
        <v>3636100</v>
      </c>
      <c r="G1040" t="s">
        <v>11</v>
      </c>
      <c r="H1040" s="5">
        <v>26076800</v>
      </c>
      <c r="I1040" t="s">
        <v>13</v>
      </c>
      <c r="J1040" t="s">
        <v>13</v>
      </c>
      <c r="K1040">
        <v>13.94</v>
      </c>
    </row>
    <row r="1042" spans="1:11" x14ac:dyDescent="0.35">
      <c r="A1042" t="s">
        <v>241</v>
      </c>
      <c r="B1042" t="str">
        <f t="shared" ref="B1042:B1049" si="20">"38251"</f>
        <v>38251</v>
      </c>
      <c r="C1042" t="str">
        <f>"006"</f>
        <v>006</v>
      </c>
      <c r="D1042">
        <v>2002</v>
      </c>
      <c r="E1042" s="3">
        <v>14214000</v>
      </c>
      <c r="F1042" s="3">
        <v>13890900</v>
      </c>
      <c r="G1042" t="s">
        <v>11</v>
      </c>
      <c r="H1042" s="5" t="s">
        <v>30</v>
      </c>
      <c r="I1042" t="s">
        <v>13</v>
      </c>
      <c r="J1042" t="s">
        <v>13</v>
      </c>
    </row>
    <row r="1043" spans="1:11" x14ac:dyDescent="0.35">
      <c r="A1043" t="s">
        <v>5</v>
      </c>
      <c r="B1043" t="str">
        <f t="shared" si="20"/>
        <v>38251</v>
      </c>
      <c r="C1043" t="str">
        <f>"007"</f>
        <v>007</v>
      </c>
      <c r="D1043">
        <v>2005</v>
      </c>
      <c r="E1043" s="3">
        <v>6459400</v>
      </c>
      <c r="F1043" s="3">
        <v>3565700</v>
      </c>
      <c r="G1043" t="s">
        <v>11</v>
      </c>
      <c r="H1043" s="5" t="s">
        <v>30</v>
      </c>
      <c r="I1043" t="s">
        <v>13</v>
      </c>
      <c r="J1043" t="s">
        <v>13</v>
      </c>
    </row>
    <row r="1044" spans="1:11" x14ac:dyDescent="0.35">
      <c r="A1044" t="s">
        <v>5</v>
      </c>
      <c r="B1044" t="str">
        <f t="shared" si="20"/>
        <v>38251</v>
      </c>
      <c r="C1044" t="str">
        <f>"008"</f>
        <v>008</v>
      </c>
      <c r="D1044">
        <v>2007</v>
      </c>
      <c r="E1044" s="3">
        <v>9197900</v>
      </c>
      <c r="F1044" s="3">
        <v>7763200</v>
      </c>
      <c r="G1044" t="s">
        <v>11</v>
      </c>
      <c r="H1044" s="5" t="s">
        <v>30</v>
      </c>
      <c r="I1044" t="s">
        <v>13</v>
      </c>
      <c r="J1044" t="s">
        <v>13</v>
      </c>
    </row>
    <row r="1045" spans="1:11" x14ac:dyDescent="0.35">
      <c r="A1045" t="s">
        <v>5</v>
      </c>
      <c r="B1045" t="str">
        <f t="shared" si="20"/>
        <v>38251</v>
      </c>
      <c r="C1045" t="str">
        <f>"009"</f>
        <v>009</v>
      </c>
      <c r="D1045">
        <v>2009</v>
      </c>
      <c r="E1045" s="3">
        <v>2566900</v>
      </c>
      <c r="F1045" s="3">
        <v>2254000</v>
      </c>
      <c r="G1045" t="s">
        <v>11</v>
      </c>
      <c r="H1045" s="5" t="s">
        <v>30</v>
      </c>
      <c r="I1045" t="s">
        <v>13</v>
      </c>
      <c r="J1045" t="s">
        <v>13</v>
      </c>
    </row>
    <row r="1046" spans="1:11" x14ac:dyDescent="0.35">
      <c r="A1046" t="s">
        <v>5</v>
      </c>
      <c r="B1046" t="str">
        <f t="shared" si="20"/>
        <v>38251</v>
      </c>
      <c r="C1046" t="str">
        <f>"010"</f>
        <v>010</v>
      </c>
      <c r="D1046">
        <v>2010</v>
      </c>
      <c r="E1046" s="3">
        <v>13947700</v>
      </c>
      <c r="F1046" s="3">
        <v>10447200</v>
      </c>
      <c r="G1046" t="s">
        <v>11</v>
      </c>
      <c r="H1046" s="5" t="s">
        <v>30</v>
      </c>
      <c r="I1046" t="s">
        <v>13</v>
      </c>
      <c r="J1046" t="s">
        <v>13</v>
      </c>
    </row>
    <row r="1047" spans="1:11" x14ac:dyDescent="0.35">
      <c r="A1047" t="s">
        <v>5</v>
      </c>
      <c r="B1047" t="str">
        <f t="shared" si="20"/>
        <v>38251</v>
      </c>
      <c r="C1047" t="str">
        <f>"011"</f>
        <v>011</v>
      </c>
      <c r="D1047">
        <v>2011</v>
      </c>
      <c r="E1047" s="3">
        <v>53044100</v>
      </c>
      <c r="F1047" s="3">
        <v>37665400</v>
      </c>
      <c r="G1047" t="s">
        <v>11</v>
      </c>
      <c r="H1047" s="5" t="s">
        <v>30</v>
      </c>
      <c r="I1047" t="s">
        <v>13</v>
      </c>
      <c r="J1047" t="s">
        <v>13</v>
      </c>
    </row>
    <row r="1048" spans="1:11" x14ac:dyDescent="0.35">
      <c r="A1048" t="s">
        <v>5</v>
      </c>
      <c r="B1048" t="str">
        <f t="shared" si="20"/>
        <v>38251</v>
      </c>
      <c r="C1048" t="str">
        <f>"012"</f>
        <v>012</v>
      </c>
      <c r="D1048">
        <v>2012</v>
      </c>
      <c r="E1048" s="3">
        <v>3478200</v>
      </c>
      <c r="F1048" s="3">
        <v>1844300</v>
      </c>
      <c r="G1048" t="s">
        <v>11</v>
      </c>
      <c r="H1048" s="5" t="s">
        <v>30</v>
      </c>
      <c r="I1048" t="s">
        <v>13</v>
      </c>
      <c r="J1048" t="s">
        <v>13</v>
      </c>
    </row>
    <row r="1049" spans="1:11" x14ac:dyDescent="0.35">
      <c r="A1049" t="s">
        <v>5</v>
      </c>
      <c r="B1049" t="str">
        <f t="shared" si="20"/>
        <v>38251</v>
      </c>
      <c r="C1049" t="str">
        <f>"013"</f>
        <v>013</v>
      </c>
      <c r="D1049">
        <v>2016</v>
      </c>
      <c r="E1049" s="3">
        <v>20984000</v>
      </c>
      <c r="F1049" s="3">
        <v>16333300</v>
      </c>
      <c r="G1049" t="s">
        <v>11</v>
      </c>
      <c r="H1049" s="5" t="s">
        <v>30</v>
      </c>
      <c r="I1049" t="s">
        <v>13</v>
      </c>
      <c r="J1049" t="s">
        <v>13</v>
      </c>
    </row>
    <row r="1050" spans="1:11" x14ac:dyDescent="0.35">
      <c r="A1050" t="s">
        <v>31</v>
      </c>
      <c r="B1050" t="s">
        <v>13</v>
      </c>
      <c r="C1050" t="s">
        <v>7</v>
      </c>
      <c r="D1050" t="s">
        <v>8</v>
      </c>
      <c r="E1050" s="3">
        <v>123892200</v>
      </c>
      <c r="F1050" s="3">
        <v>93764000</v>
      </c>
      <c r="G1050" t="s">
        <v>11</v>
      </c>
      <c r="H1050" s="5">
        <v>881343000</v>
      </c>
      <c r="I1050" t="s">
        <v>13</v>
      </c>
      <c r="J1050" t="s">
        <v>13</v>
      </c>
      <c r="K1050">
        <v>10.64</v>
      </c>
    </row>
    <row r="1052" spans="1:11" x14ac:dyDescent="0.35">
      <c r="A1052" t="s">
        <v>242</v>
      </c>
      <c r="B1052" t="str">
        <f>"24251"</f>
        <v>24251</v>
      </c>
      <c r="C1052" t="str">
        <f>"001"</f>
        <v>001</v>
      </c>
      <c r="D1052">
        <v>1995</v>
      </c>
      <c r="E1052" s="3">
        <v>6625000</v>
      </c>
      <c r="F1052" s="3">
        <v>5298500</v>
      </c>
      <c r="G1052" t="s">
        <v>11</v>
      </c>
      <c r="H1052" s="5" t="s">
        <v>30</v>
      </c>
      <c r="I1052" t="s">
        <v>13</v>
      </c>
      <c r="J1052" t="s">
        <v>13</v>
      </c>
    </row>
    <row r="1053" spans="1:11" x14ac:dyDescent="0.35">
      <c r="A1053" t="s">
        <v>31</v>
      </c>
      <c r="B1053" t="s">
        <v>13</v>
      </c>
      <c r="C1053" t="s">
        <v>7</v>
      </c>
      <c r="D1053" t="s">
        <v>8</v>
      </c>
      <c r="E1053" s="3">
        <v>6625000</v>
      </c>
      <c r="F1053" s="3">
        <v>5298500</v>
      </c>
      <c r="G1053" t="s">
        <v>11</v>
      </c>
      <c r="H1053" s="5">
        <v>98595000</v>
      </c>
      <c r="I1053" t="s">
        <v>13</v>
      </c>
      <c r="J1053" t="s">
        <v>13</v>
      </c>
      <c r="K1053">
        <v>5.37</v>
      </c>
    </row>
    <row r="1055" spans="1:11" x14ac:dyDescent="0.35">
      <c r="A1055" t="s">
        <v>243</v>
      </c>
      <c r="B1055" t="str">
        <f>"13152"</f>
        <v>13152</v>
      </c>
      <c r="C1055" t="str">
        <f>"002"</f>
        <v>002</v>
      </c>
      <c r="D1055">
        <v>2018</v>
      </c>
      <c r="E1055" s="3">
        <v>25349800</v>
      </c>
      <c r="F1055" s="3">
        <v>10972700</v>
      </c>
      <c r="G1055" t="s">
        <v>11</v>
      </c>
      <c r="H1055" s="5" t="s">
        <v>30</v>
      </c>
      <c r="I1055" t="s">
        <v>13</v>
      </c>
      <c r="J1055" t="s">
        <v>13</v>
      </c>
    </row>
    <row r="1056" spans="1:11" x14ac:dyDescent="0.35">
      <c r="A1056" t="s">
        <v>31</v>
      </c>
      <c r="B1056" t="s">
        <v>13</v>
      </c>
      <c r="C1056" t="s">
        <v>7</v>
      </c>
      <c r="D1056" t="s">
        <v>8</v>
      </c>
      <c r="E1056" s="3">
        <v>25349800</v>
      </c>
      <c r="F1056" s="3">
        <v>10972700</v>
      </c>
      <c r="G1056" t="s">
        <v>11</v>
      </c>
      <c r="H1056" s="5">
        <v>312269300</v>
      </c>
      <c r="I1056" t="s">
        <v>13</v>
      </c>
      <c r="J1056" t="s">
        <v>13</v>
      </c>
      <c r="K1056">
        <v>3.51</v>
      </c>
    </row>
    <row r="1058" spans="1:11" x14ac:dyDescent="0.35">
      <c r="A1058" t="s">
        <v>244</v>
      </c>
      <c r="B1058" t="str">
        <f t="shared" ref="B1058:B1065" si="21">"71251"</f>
        <v>71251</v>
      </c>
      <c r="C1058" t="str">
        <f>"004"</f>
        <v>004</v>
      </c>
      <c r="D1058">
        <v>1996</v>
      </c>
      <c r="E1058" s="3">
        <v>87877400</v>
      </c>
      <c r="F1058" s="3">
        <v>50119600</v>
      </c>
      <c r="G1058" t="s">
        <v>11</v>
      </c>
      <c r="H1058" s="5" t="s">
        <v>30</v>
      </c>
      <c r="I1058" t="s">
        <v>13</v>
      </c>
      <c r="J1058" t="s">
        <v>13</v>
      </c>
    </row>
    <row r="1059" spans="1:11" x14ac:dyDescent="0.35">
      <c r="A1059" t="s">
        <v>5</v>
      </c>
      <c r="B1059" t="str">
        <f t="shared" si="21"/>
        <v>71251</v>
      </c>
      <c r="C1059" t="str">
        <f>"005"</f>
        <v>005</v>
      </c>
      <c r="D1059">
        <v>1997</v>
      </c>
      <c r="E1059" s="3">
        <v>30139800</v>
      </c>
      <c r="F1059" s="3">
        <v>29840300</v>
      </c>
      <c r="G1059" t="s">
        <v>11</v>
      </c>
      <c r="H1059" s="5" t="s">
        <v>30</v>
      </c>
      <c r="I1059" t="s">
        <v>13</v>
      </c>
      <c r="J1059" t="s">
        <v>13</v>
      </c>
    </row>
    <row r="1060" spans="1:11" x14ac:dyDescent="0.35">
      <c r="A1060" t="s">
        <v>5</v>
      </c>
      <c r="B1060" t="str">
        <f t="shared" si="21"/>
        <v>71251</v>
      </c>
      <c r="C1060" t="str">
        <f>"007"</f>
        <v>007</v>
      </c>
      <c r="D1060">
        <v>2001</v>
      </c>
      <c r="E1060" s="3">
        <v>40269000</v>
      </c>
      <c r="F1060" s="3">
        <v>38058500</v>
      </c>
      <c r="G1060" t="s">
        <v>11</v>
      </c>
      <c r="H1060" s="5" t="s">
        <v>30</v>
      </c>
      <c r="I1060" t="s">
        <v>13</v>
      </c>
      <c r="J1060" t="s">
        <v>13</v>
      </c>
    </row>
    <row r="1061" spans="1:11" x14ac:dyDescent="0.35">
      <c r="A1061" t="s">
        <v>5</v>
      </c>
      <c r="B1061" t="str">
        <f t="shared" si="21"/>
        <v>71251</v>
      </c>
      <c r="C1061" t="str">
        <f>"009"</f>
        <v>009</v>
      </c>
      <c r="D1061">
        <v>2013</v>
      </c>
      <c r="E1061" s="3">
        <v>22913200</v>
      </c>
      <c r="F1061" s="3">
        <v>21428400</v>
      </c>
      <c r="G1061" t="s">
        <v>11</v>
      </c>
      <c r="H1061" s="5" t="s">
        <v>30</v>
      </c>
      <c r="I1061" t="s">
        <v>13</v>
      </c>
      <c r="J1061" t="s">
        <v>13</v>
      </c>
    </row>
    <row r="1062" spans="1:11" x14ac:dyDescent="0.35">
      <c r="A1062" t="s">
        <v>5</v>
      </c>
      <c r="B1062" t="str">
        <f t="shared" si="21"/>
        <v>71251</v>
      </c>
      <c r="C1062" t="str">
        <f>"010"</f>
        <v>010</v>
      </c>
      <c r="D1062">
        <v>2015</v>
      </c>
      <c r="E1062" s="3">
        <v>23579200</v>
      </c>
      <c r="F1062" s="3">
        <v>7044700</v>
      </c>
      <c r="G1062" t="s">
        <v>11</v>
      </c>
      <c r="H1062" s="5" t="s">
        <v>30</v>
      </c>
      <c r="I1062" t="s">
        <v>13</v>
      </c>
      <c r="J1062" t="s">
        <v>13</v>
      </c>
    </row>
    <row r="1063" spans="1:11" x14ac:dyDescent="0.35">
      <c r="A1063" t="s">
        <v>5</v>
      </c>
      <c r="B1063" t="str">
        <f t="shared" si="21"/>
        <v>71251</v>
      </c>
      <c r="C1063" t="str">
        <f>"011"</f>
        <v>011</v>
      </c>
      <c r="D1063">
        <v>2016</v>
      </c>
      <c r="E1063" s="3">
        <v>6232300</v>
      </c>
      <c r="F1063" s="3">
        <v>5688800</v>
      </c>
      <c r="G1063" t="s">
        <v>11</v>
      </c>
      <c r="H1063" s="5" t="s">
        <v>30</v>
      </c>
      <c r="I1063" t="s">
        <v>13</v>
      </c>
      <c r="J1063" t="s">
        <v>13</v>
      </c>
    </row>
    <row r="1064" spans="1:11" x14ac:dyDescent="0.35">
      <c r="A1064" t="s">
        <v>5</v>
      </c>
      <c r="B1064" t="str">
        <f t="shared" si="21"/>
        <v>71251</v>
      </c>
      <c r="C1064" t="str">
        <f>"012"</f>
        <v>012</v>
      </c>
      <c r="D1064">
        <v>2021</v>
      </c>
      <c r="E1064" s="3">
        <v>0</v>
      </c>
      <c r="F1064" s="3">
        <v>0</v>
      </c>
      <c r="G1064" t="s">
        <v>11</v>
      </c>
      <c r="H1064" s="5" t="s">
        <v>30</v>
      </c>
      <c r="I1064" t="s">
        <v>13</v>
      </c>
      <c r="J1064" t="s">
        <v>13</v>
      </c>
    </row>
    <row r="1065" spans="1:11" x14ac:dyDescent="0.35">
      <c r="A1065" t="s">
        <v>5</v>
      </c>
      <c r="B1065" t="str">
        <f t="shared" si="21"/>
        <v>71251</v>
      </c>
      <c r="C1065" t="str">
        <f>"013"</f>
        <v>013</v>
      </c>
      <c r="D1065">
        <v>2021</v>
      </c>
      <c r="E1065" s="3">
        <v>22894400</v>
      </c>
      <c r="F1065" s="3">
        <v>1874400</v>
      </c>
      <c r="G1065" t="s">
        <v>11</v>
      </c>
      <c r="H1065" s="5" t="s">
        <v>30</v>
      </c>
      <c r="I1065" t="s">
        <v>13</v>
      </c>
      <c r="J1065" t="s">
        <v>13</v>
      </c>
    </row>
    <row r="1066" spans="1:11" x14ac:dyDescent="0.35">
      <c r="A1066" t="s">
        <v>31</v>
      </c>
      <c r="B1066" t="s">
        <v>13</v>
      </c>
      <c r="C1066" t="s">
        <v>7</v>
      </c>
      <c r="D1066" t="s">
        <v>8</v>
      </c>
      <c r="E1066" s="3">
        <v>233905300</v>
      </c>
      <c r="F1066" s="3">
        <v>154054700</v>
      </c>
      <c r="G1066" t="s">
        <v>11</v>
      </c>
      <c r="H1066" s="5">
        <v>2115313700</v>
      </c>
      <c r="I1066" t="s">
        <v>13</v>
      </c>
      <c r="J1066" t="s">
        <v>13</v>
      </c>
      <c r="K1066">
        <v>7.28</v>
      </c>
    </row>
    <row r="1068" spans="1:11" x14ac:dyDescent="0.35">
      <c r="A1068" t="s">
        <v>245</v>
      </c>
      <c r="B1068" t="str">
        <f>"04151"</f>
        <v>04151</v>
      </c>
      <c r="C1068" t="str">
        <f>"001"</f>
        <v>001</v>
      </c>
      <c r="D1068">
        <v>1999</v>
      </c>
      <c r="E1068" s="3">
        <v>1451800</v>
      </c>
      <c r="F1068" s="3">
        <v>1292800</v>
      </c>
      <c r="G1068" t="s">
        <v>11</v>
      </c>
      <c r="H1068" s="5" t="s">
        <v>30</v>
      </c>
      <c r="I1068" t="s">
        <v>13</v>
      </c>
      <c r="J1068" t="s">
        <v>13</v>
      </c>
    </row>
    <row r="1069" spans="1:11" x14ac:dyDescent="0.35">
      <c r="A1069" t="s">
        <v>31</v>
      </c>
      <c r="B1069" t="s">
        <v>13</v>
      </c>
      <c r="C1069" t="s">
        <v>7</v>
      </c>
      <c r="D1069" t="s">
        <v>8</v>
      </c>
      <c r="E1069" s="3">
        <v>1451800</v>
      </c>
      <c r="F1069" s="3">
        <v>1292800</v>
      </c>
      <c r="G1069" t="s">
        <v>11</v>
      </c>
      <c r="H1069" s="5">
        <v>5117900</v>
      </c>
      <c r="I1069" t="s">
        <v>13</v>
      </c>
      <c r="J1069" t="s">
        <v>13</v>
      </c>
      <c r="K1069">
        <v>25.26</v>
      </c>
    </row>
    <row r="1071" spans="1:11" x14ac:dyDescent="0.35">
      <c r="A1071" t="s">
        <v>246</v>
      </c>
      <c r="B1071" t="str">
        <f>"14251"</f>
        <v>14251</v>
      </c>
      <c r="C1071" t="str">
        <f>"004"</f>
        <v>004</v>
      </c>
      <c r="D1071">
        <v>2009</v>
      </c>
      <c r="E1071" s="3">
        <v>2384000</v>
      </c>
      <c r="F1071" s="3">
        <v>835400</v>
      </c>
      <c r="G1071" t="s">
        <v>11</v>
      </c>
      <c r="H1071" s="5" t="s">
        <v>30</v>
      </c>
      <c r="I1071" t="s">
        <v>13</v>
      </c>
      <c r="J1071" t="s">
        <v>13</v>
      </c>
    </row>
    <row r="1072" spans="1:11" x14ac:dyDescent="0.35">
      <c r="A1072" t="s">
        <v>5</v>
      </c>
      <c r="B1072" t="str">
        <f>"14251"</f>
        <v>14251</v>
      </c>
      <c r="C1072" t="str">
        <f>"005"</f>
        <v>005</v>
      </c>
      <c r="D1072">
        <v>2013</v>
      </c>
      <c r="E1072" s="3">
        <v>5049100</v>
      </c>
      <c r="F1072" s="3">
        <v>2715900</v>
      </c>
      <c r="G1072" t="s">
        <v>11</v>
      </c>
      <c r="H1072" s="5" t="s">
        <v>30</v>
      </c>
      <c r="I1072" t="s">
        <v>13</v>
      </c>
      <c r="J1072" t="s">
        <v>13</v>
      </c>
    </row>
    <row r="1073" spans="1:11" x14ac:dyDescent="0.35">
      <c r="A1073" t="s">
        <v>5</v>
      </c>
      <c r="B1073" t="str">
        <f>"14251"</f>
        <v>14251</v>
      </c>
      <c r="C1073" t="str">
        <f>"006"</f>
        <v>006</v>
      </c>
      <c r="D1073">
        <v>2021</v>
      </c>
      <c r="E1073" s="3">
        <v>20852000</v>
      </c>
      <c r="F1073" s="3">
        <v>-909900</v>
      </c>
      <c r="G1073" t="s">
        <v>52</v>
      </c>
      <c r="H1073" s="5" t="s">
        <v>30</v>
      </c>
      <c r="I1073" t="s">
        <v>13</v>
      </c>
      <c r="J1073" t="s">
        <v>13</v>
      </c>
    </row>
    <row r="1074" spans="1:11" x14ac:dyDescent="0.35">
      <c r="A1074" t="s">
        <v>31</v>
      </c>
      <c r="B1074" t="s">
        <v>13</v>
      </c>
      <c r="C1074" t="s">
        <v>7</v>
      </c>
      <c r="D1074" t="s">
        <v>8</v>
      </c>
      <c r="E1074" s="3">
        <v>28285100</v>
      </c>
      <c r="F1074" s="3">
        <v>3551300</v>
      </c>
      <c r="G1074" t="s">
        <v>11</v>
      </c>
      <c r="H1074" s="5">
        <v>484203000</v>
      </c>
      <c r="I1074" t="s">
        <v>13</v>
      </c>
      <c r="J1074" t="s">
        <v>13</v>
      </c>
      <c r="K1074">
        <v>0.73</v>
      </c>
    </row>
    <row r="1076" spans="1:11" x14ac:dyDescent="0.35">
      <c r="A1076" t="s">
        <v>247</v>
      </c>
      <c r="B1076" t="str">
        <f>"13153"</f>
        <v>13153</v>
      </c>
      <c r="C1076" t="str">
        <f>"004"</f>
        <v>004</v>
      </c>
      <c r="D1076">
        <v>2005</v>
      </c>
      <c r="E1076" s="3">
        <v>29087900</v>
      </c>
      <c r="F1076" s="3">
        <v>23504400</v>
      </c>
      <c r="G1076" t="s">
        <v>11</v>
      </c>
      <c r="H1076" s="5" t="s">
        <v>30</v>
      </c>
      <c r="I1076" t="s">
        <v>13</v>
      </c>
      <c r="J1076" t="s">
        <v>13</v>
      </c>
    </row>
    <row r="1077" spans="1:11" x14ac:dyDescent="0.35">
      <c r="A1077" t="s">
        <v>5</v>
      </c>
      <c r="B1077" t="str">
        <f>"13153"</f>
        <v>13153</v>
      </c>
      <c r="C1077" t="str">
        <f>"005"</f>
        <v>005</v>
      </c>
      <c r="D1077">
        <v>2005</v>
      </c>
      <c r="E1077" s="3">
        <v>5652700</v>
      </c>
      <c r="F1077" s="3">
        <v>1058100</v>
      </c>
      <c r="G1077" t="s">
        <v>11</v>
      </c>
      <c r="H1077" s="5" t="s">
        <v>30</v>
      </c>
      <c r="I1077" t="s">
        <v>13</v>
      </c>
      <c r="J1077" t="s">
        <v>13</v>
      </c>
    </row>
    <row r="1078" spans="1:11" x14ac:dyDescent="0.35">
      <c r="A1078" t="s">
        <v>31</v>
      </c>
      <c r="B1078" t="s">
        <v>13</v>
      </c>
      <c r="C1078" t="s">
        <v>7</v>
      </c>
      <c r="D1078" t="s">
        <v>8</v>
      </c>
      <c r="E1078" s="3">
        <v>34740600</v>
      </c>
      <c r="F1078" s="3">
        <v>24562500</v>
      </c>
      <c r="G1078" t="s">
        <v>11</v>
      </c>
      <c r="H1078" s="5">
        <v>221754800</v>
      </c>
      <c r="I1078" t="s">
        <v>13</v>
      </c>
      <c r="J1078" t="s">
        <v>13</v>
      </c>
      <c r="K1078">
        <v>11.08</v>
      </c>
    </row>
    <row r="1080" spans="1:11" x14ac:dyDescent="0.35">
      <c r="A1080" t="s">
        <v>248</v>
      </c>
      <c r="B1080" t="str">
        <f>"13154"</f>
        <v>13154</v>
      </c>
      <c r="C1080" t="str">
        <f>"003"</f>
        <v>003</v>
      </c>
      <c r="D1080">
        <v>2004</v>
      </c>
      <c r="E1080" s="3">
        <v>93650100</v>
      </c>
      <c r="F1080" s="3">
        <v>66652700</v>
      </c>
      <c r="G1080" t="s">
        <v>11</v>
      </c>
      <c r="H1080" s="5" t="s">
        <v>30</v>
      </c>
      <c r="I1080" t="s">
        <v>13</v>
      </c>
      <c r="J1080" t="s">
        <v>13</v>
      </c>
    </row>
    <row r="1081" spans="1:11" x14ac:dyDescent="0.35">
      <c r="A1081" t="s">
        <v>5</v>
      </c>
      <c r="B1081" t="str">
        <f>"13154"</f>
        <v>13154</v>
      </c>
      <c r="C1081" t="str">
        <f>"004"</f>
        <v>004</v>
      </c>
      <c r="D1081">
        <v>2008</v>
      </c>
      <c r="E1081" s="3">
        <v>13648800</v>
      </c>
      <c r="F1081" s="3">
        <v>6065700</v>
      </c>
      <c r="G1081" t="s">
        <v>11</v>
      </c>
      <c r="H1081" s="5" t="s">
        <v>30</v>
      </c>
      <c r="I1081" t="s">
        <v>13</v>
      </c>
      <c r="J1081" t="s">
        <v>13</v>
      </c>
    </row>
    <row r="1082" spans="1:11" x14ac:dyDescent="0.35">
      <c r="A1082" t="s">
        <v>5</v>
      </c>
      <c r="B1082" t="str">
        <f>"13154"</f>
        <v>13154</v>
      </c>
      <c r="C1082" t="str">
        <f>"005"</f>
        <v>005</v>
      </c>
      <c r="D1082">
        <v>2018</v>
      </c>
      <c r="E1082" s="3">
        <v>30000500</v>
      </c>
      <c r="F1082" s="3">
        <v>12970400</v>
      </c>
      <c r="G1082" t="s">
        <v>11</v>
      </c>
      <c r="H1082" s="5" t="s">
        <v>30</v>
      </c>
      <c r="I1082" t="s">
        <v>13</v>
      </c>
      <c r="J1082" t="s">
        <v>13</v>
      </c>
    </row>
    <row r="1083" spans="1:11" x14ac:dyDescent="0.35">
      <c r="A1083" t="s">
        <v>31</v>
      </c>
      <c r="B1083" t="s">
        <v>13</v>
      </c>
      <c r="C1083" t="s">
        <v>7</v>
      </c>
      <c r="D1083" t="s">
        <v>8</v>
      </c>
      <c r="E1083" s="3">
        <v>137299400</v>
      </c>
      <c r="F1083" s="3">
        <v>85688800</v>
      </c>
      <c r="G1083" t="s">
        <v>11</v>
      </c>
      <c r="H1083" s="5">
        <v>1434947800</v>
      </c>
      <c r="I1083" t="s">
        <v>13</v>
      </c>
      <c r="J1083" t="s">
        <v>13</v>
      </c>
      <c r="K1083">
        <v>5.97</v>
      </c>
    </row>
    <row r="1085" spans="1:11" x14ac:dyDescent="0.35">
      <c r="A1085" t="s">
        <v>249</v>
      </c>
      <c r="B1085" t="str">
        <f t="shared" ref="B1085:B1090" si="22">"60251"</f>
        <v>60251</v>
      </c>
      <c r="C1085" t="str">
        <f>"005"</f>
        <v>005</v>
      </c>
      <c r="D1085">
        <v>1989</v>
      </c>
      <c r="E1085" s="3">
        <v>8497500</v>
      </c>
      <c r="F1085" s="3">
        <v>3309600</v>
      </c>
      <c r="G1085" t="s">
        <v>11</v>
      </c>
      <c r="H1085" s="5" t="s">
        <v>30</v>
      </c>
      <c r="I1085" t="s">
        <v>13</v>
      </c>
      <c r="J1085" t="s">
        <v>13</v>
      </c>
    </row>
    <row r="1086" spans="1:11" x14ac:dyDescent="0.35">
      <c r="A1086" t="s">
        <v>5</v>
      </c>
      <c r="B1086" t="str">
        <f t="shared" si="22"/>
        <v>60251</v>
      </c>
      <c r="C1086" t="str">
        <f>"006"</f>
        <v>006</v>
      </c>
      <c r="D1086">
        <v>1996</v>
      </c>
      <c r="E1086" s="3">
        <v>4144800</v>
      </c>
      <c r="F1086" s="3">
        <v>2727200</v>
      </c>
      <c r="G1086" t="s">
        <v>11</v>
      </c>
      <c r="H1086" s="5" t="s">
        <v>30</v>
      </c>
      <c r="I1086" t="s">
        <v>13</v>
      </c>
      <c r="J1086" t="s">
        <v>13</v>
      </c>
    </row>
    <row r="1087" spans="1:11" x14ac:dyDescent="0.35">
      <c r="A1087" t="s">
        <v>5</v>
      </c>
      <c r="B1087" t="str">
        <f t="shared" si="22"/>
        <v>60251</v>
      </c>
      <c r="C1087" t="str">
        <f>"007"</f>
        <v>007</v>
      </c>
      <c r="D1087">
        <v>1997</v>
      </c>
      <c r="E1087" s="3">
        <v>3056100</v>
      </c>
      <c r="F1087" s="3">
        <v>1567200</v>
      </c>
      <c r="G1087" t="s">
        <v>11</v>
      </c>
      <c r="H1087" s="5" t="s">
        <v>30</v>
      </c>
      <c r="I1087" t="s">
        <v>13</v>
      </c>
      <c r="J1087" t="s">
        <v>13</v>
      </c>
    </row>
    <row r="1088" spans="1:11" x14ac:dyDescent="0.35">
      <c r="A1088" t="s">
        <v>5</v>
      </c>
      <c r="B1088" t="str">
        <f t="shared" si="22"/>
        <v>60251</v>
      </c>
      <c r="C1088" t="str">
        <f>"010"</f>
        <v>010</v>
      </c>
      <c r="D1088">
        <v>1999</v>
      </c>
      <c r="E1088" s="3">
        <v>2665300</v>
      </c>
      <c r="F1088" s="3">
        <v>2425100</v>
      </c>
      <c r="G1088" t="s">
        <v>11</v>
      </c>
      <c r="H1088" s="5" t="s">
        <v>30</v>
      </c>
      <c r="I1088" t="s">
        <v>13</v>
      </c>
      <c r="J1088" t="s">
        <v>13</v>
      </c>
    </row>
    <row r="1089" spans="1:11" x14ac:dyDescent="0.35">
      <c r="A1089" t="s">
        <v>5</v>
      </c>
      <c r="B1089" t="str">
        <f t="shared" si="22"/>
        <v>60251</v>
      </c>
      <c r="C1089" t="str">
        <f>"011"</f>
        <v>011</v>
      </c>
      <c r="D1089">
        <v>1999</v>
      </c>
      <c r="E1089" s="3">
        <v>3946600</v>
      </c>
      <c r="F1089" s="3">
        <v>2762600</v>
      </c>
      <c r="G1089" t="s">
        <v>11</v>
      </c>
      <c r="H1089" s="5" t="s">
        <v>30</v>
      </c>
      <c r="I1089" t="s">
        <v>13</v>
      </c>
      <c r="J1089" t="s">
        <v>13</v>
      </c>
    </row>
    <row r="1090" spans="1:11" x14ac:dyDescent="0.35">
      <c r="A1090" t="s">
        <v>5</v>
      </c>
      <c r="B1090" t="str">
        <f t="shared" si="22"/>
        <v>60251</v>
      </c>
      <c r="C1090" t="str">
        <f>"013"</f>
        <v>013</v>
      </c>
      <c r="D1090">
        <v>2005</v>
      </c>
      <c r="E1090" s="3">
        <v>16616800</v>
      </c>
      <c r="F1090" s="3">
        <v>13234800</v>
      </c>
      <c r="G1090" t="s">
        <v>11</v>
      </c>
      <c r="H1090" s="5" t="s">
        <v>30</v>
      </c>
      <c r="I1090" t="s">
        <v>13</v>
      </c>
      <c r="J1090" t="s">
        <v>13</v>
      </c>
    </row>
    <row r="1091" spans="1:11" x14ac:dyDescent="0.35">
      <c r="A1091" t="s">
        <v>31</v>
      </c>
      <c r="B1091" t="s">
        <v>13</v>
      </c>
      <c r="C1091" t="s">
        <v>7</v>
      </c>
      <c r="D1091" t="s">
        <v>8</v>
      </c>
      <c r="E1091" s="3">
        <v>38927100</v>
      </c>
      <c r="F1091" s="3">
        <v>26026500</v>
      </c>
      <c r="G1091" t="s">
        <v>11</v>
      </c>
      <c r="H1091" s="5">
        <v>372183300</v>
      </c>
      <c r="I1091" t="s">
        <v>13</v>
      </c>
      <c r="J1091" t="s">
        <v>13</v>
      </c>
      <c r="K1091">
        <v>6.99</v>
      </c>
    </row>
    <row r="1093" spans="1:11" x14ac:dyDescent="0.35">
      <c r="A1093" t="s">
        <v>250</v>
      </c>
      <c r="B1093" t="str">
        <f>"70251"</f>
        <v>70251</v>
      </c>
      <c r="C1093" t="str">
        <f>"004"</f>
        <v>004</v>
      </c>
      <c r="D1093">
        <v>1997</v>
      </c>
      <c r="E1093" s="3">
        <v>7550800</v>
      </c>
      <c r="F1093" s="3">
        <v>3354800</v>
      </c>
      <c r="G1093" t="s">
        <v>11</v>
      </c>
      <c r="H1093" s="5" t="s">
        <v>30</v>
      </c>
      <c r="I1093" t="s">
        <v>13</v>
      </c>
      <c r="J1093" t="s">
        <v>13</v>
      </c>
    </row>
    <row r="1094" spans="1:11" x14ac:dyDescent="0.35">
      <c r="A1094" t="s">
        <v>5</v>
      </c>
      <c r="B1094" t="str">
        <f>"70251"</f>
        <v>70251</v>
      </c>
      <c r="C1094" t="str">
        <f>"007"</f>
        <v>007</v>
      </c>
      <c r="D1094">
        <v>2003</v>
      </c>
      <c r="E1094" s="3">
        <v>5791400</v>
      </c>
      <c r="F1094" s="3">
        <v>5104100</v>
      </c>
      <c r="G1094" t="s">
        <v>11</v>
      </c>
      <c r="H1094" s="5" t="s">
        <v>30</v>
      </c>
      <c r="I1094" t="s">
        <v>13</v>
      </c>
      <c r="J1094" t="s">
        <v>13</v>
      </c>
    </row>
    <row r="1095" spans="1:11" x14ac:dyDescent="0.35">
      <c r="A1095" t="s">
        <v>5</v>
      </c>
      <c r="B1095" t="str">
        <f>"70251"</f>
        <v>70251</v>
      </c>
      <c r="C1095" t="str">
        <f>"008"</f>
        <v>008</v>
      </c>
      <c r="D1095">
        <v>2005</v>
      </c>
      <c r="E1095" s="3">
        <v>3873800</v>
      </c>
      <c r="F1095" s="3">
        <v>3389300</v>
      </c>
      <c r="G1095" t="s">
        <v>11</v>
      </c>
      <c r="H1095" s="5" t="s">
        <v>30</v>
      </c>
      <c r="I1095" t="s">
        <v>13</v>
      </c>
      <c r="J1095" t="s">
        <v>13</v>
      </c>
    </row>
    <row r="1096" spans="1:11" x14ac:dyDescent="0.35">
      <c r="A1096" t="s">
        <v>5</v>
      </c>
      <c r="B1096" t="str">
        <f>"70251"</f>
        <v>70251</v>
      </c>
      <c r="C1096" t="str">
        <f>"010"</f>
        <v>010</v>
      </c>
      <c r="D1096">
        <v>2006</v>
      </c>
      <c r="E1096" s="3">
        <v>12792400</v>
      </c>
      <c r="F1096" s="3">
        <v>3090500</v>
      </c>
      <c r="G1096" t="s">
        <v>11</v>
      </c>
      <c r="H1096" s="5" t="s">
        <v>30</v>
      </c>
      <c r="I1096" t="s">
        <v>13</v>
      </c>
      <c r="J1096" t="s">
        <v>13</v>
      </c>
    </row>
    <row r="1097" spans="1:11" x14ac:dyDescent="0.35">
      <c r="A1097" t="s">
        <v>5</v>
      </c>
      <c r="B1097" t="str">
        <f>"70251"</f>
        <v>70251</v>
      </c>
      <c r="C1097" t="str">
        <f>"011"</f>
        <v>011</v>
      </c>
      <c r="D1097">
        <v>2007</v>
      </c>
      <c r="E1097" s="3">
        <v>4010400</v>
      </c>
      <c r="F1097" s="3">
        <v>3725500</v>
      </c>
      <c r="G1097" t="s">
        <v>11</v>
      </c>
      <c r="H1097" s="5" t="s">
        <v>30</v>
      </c>
      <c r="I1097" t="s">
        <v>13</v>
      </c>
      <c r="J1097" t="s">
        <v>13</v>
      </c>
    </row>
    <row r="1098" spans="1:11" x14ac:dyDescent="0.35">
      <c r="A1098" t="s">
        <v>5</v>
      </c>
      <c r="B1098" t="str">
        <f>"08251"</f>
        <v>08251</v>
      </c>
      <c r="C1098" t="str">
        <f>"012"</f>
        <v>012</v>
      </c>
      <c r="D1098">
        <v>2011</v>
      </c>
      <c r="E1098" s="3">
        <v>87623000</v>
      </c>
      <c r="F1098" s="3">
        <v>65907400</v>
      </c>
      <c r="G1098" t="s">
        <v>11</v>
      </c>
      <c r="H1098" s="5" t="s">
        <v>30</v>
      </c>
      <c r="I1098" t="s">
        <v>13</v>
      </c>
      <c r="J1098" t="s">
        <v>13</v>
      </c>
    </row>
    <row r="1099" spans="1:11" x14ac:dyDescent="0.35">
      <c r="A1099" t="s">
        <v>5</v>
      </c>
      <c r="B1099" t="str">
        <f>"70251"</f>
        <v>70251</v>
      </c>
      <c r="C1099" t="str">
        <f>"013"</f>
        <v>013</v>
      </c>
      <c r="D1099">
        <v>2015</v>
      </c>
      <c r="E1099" s="3">
        <v>15947100</v>
      </c>
      <c r="F1099" s="3">
        <v>15698900</v>
      </c>
      <c r="G1099" t="s">
        <v>11</v>
      </c>
      <c r="H1099" s="5" t="s">
        <v>30</v>
      </c>
      <c r="I1099" t="s">
        <v>13</v>
      </c>
      <c r="J1099" t="s">
        <v>13</v>
      </c>
    </row>
    <row r="1100" spans="1:11" x14ac:dyDescent="0.35">
      <c r="A1100" t="s">
        <v>5</v>
      </c>
      <c r="B1100" t="str">
        <f>"70251"</f>
        <v>70251</v>
      </c>
      <c r="C1100" t="str">
        <f>"014"</f>
        <v>014</v>
      </c>
      <c r="D1100">
        <v>2019</v>
      </c>
      <c r="E1100" s="3">
        <v>3041600</v>
      </c>
      <c r="F1100" s="3">
        <v>-2894900</v>
      </c>
      <c r="G1100" t="s">
        <v>52</v>
      </c>
      <c r="H1100" s="5" t="s">
        <v>30</v>
      </c>
      <c r="I1100" t="s">
        <v>13</v>
      </c>
      <c r="J1100" t="s">
        <v>13</v>
      </c>
    </row>
    <row r="1101" spans="1:11" x14ac:dyDescent="0.35">
      <c r="A1101" t="s">
        <v>31</v>
      </c>
      <c r="B1101" t="s">
        <v>13</v>
      </c>
      <c r="C1101" t="s">
        <v>7</v>
      </c>
      <c r="D1101" t="s">
        <v>8</v>
      </c>
      <c r="E1101" s="3">
        <v>140630500</v>
      </c>
      <c r="F1101" s="3">
        <v>100270500</v>
      </c>
      <c r="G1101" t="s">
        <v>11</v>
      </c>
      <c r="H1101" s="5">
        <v>1463645400</v>
      </c>
      <c r="I1101" t="s">
        <v>13</v>
      </c>
      <c r="J1101" t="s">
        <v>13</v>
      </c>
      <c r="K1101">
        <v>6.85</v>
      </c>
    </row>
    <row r="1103" spans="1:11" x14ac:dyDescent="0.35">
      <c r="A1103" t="s">
        <v>251</v>
      </c>
      <c r="B1103" t="str">
        <f t="shared" ref="B1103:B1111" si="23">"67151"</f>
        <v>67151</v>
      </c>
      <c r="C1103" t="str">
        <f>"006"</f>
        <v>006</v>
      </c>
      <c r="D1103">
        <v>2006</v>
      </c>
      <c r="E1103" s="3">
        <v>95748500</v>
      </c>
      <c r="F1103" s="3">
        <v>47920500</v>
      </c>
      <c r="G1103" t="s">
        <v>11</v>
      </c>
      <c r="H1103" s="5" t="s">
        <v>30</v>
      </c>
      <c r="I1103" t="s">
        <v>13</v>
      </c>
      <c r="J1103" t="s">
        <v>13</v>
      </c>
    </row>
    <row r="1104" spans="1:11" x14ac:dyDescent="0.35">
      <c r="A1104" t="s">
        <v>5</v>
      </c>
      <c r="B1104" t="str">
        <f t="shared" si="23"/>
        <v>67151</v>
      </c>
      <c r="C1104" t="str">
        <f>"007"</f>
        <v>007</v>
      </c>
      <c r="D1104">
        <v>2008</v>
      </c>
      <c r="E1104" s="3">
        <v>33113900</v>
      </c>
      <c r="F1104" s="3">
        <v>32085800</v>
      </c>
      <c r="G1104" t="s">
        <v>11</v>
      </c>
      <c r="H1104" s="5" t="s">
        <v>30</v>
      </c>
      <c r="I1104" t="s">
        <v>13</v>
      </c>
      <c r="J1104" t="s">
        <v>13</v>
      </c>
    </row>
    <row r="1105" spans="1:11" x14ac:dyDescent="0.35">
      <c r="A1105" t="s">
        <v>5</v>
      </c>
      <c r="B1105" t="str">
        <f t="shared" si="23"/>
        <v>67151</v>
      </c>
      <c r="C1105" t="str">
        <f>"008"</f>
        <v>008</v>
      </c>
      <c r="D1105">
        <v>2008</v>
      </c>
      <c r="E1105" s="3">
        <v>147019300</v>
      </c>
      <c r="F1105" s="3">
        <v>124788400</v>
      </c>
      <c r="G1105" t="s">
        <v>11</v>
      </c>
      <c r="H1105" s="5" t="s">
        <v>30</v>
      </c>
      <c r="I1105" t="s">
        <v>13</v>
      </c>
      <c r="J1105" t="s">
        <v>13</v>
      </c>
    </row>
    <row r="1106" spans="1:11" x14ac:dyDescent="0.35">
      <c r="A1106" t="s">
        <v>5</v>
      </c>
      <c r="B1106" t="str">
        <f t="shared" si="23"/>
        <v>67151</v>
      </c>
      <c r="C1106" t="str">
        <f>"009"</f>
        <v>009</v>
      </c>
      <c r="D1106">
        <v>2010</v>
      </c>
      <c r="E1106" s="3">
        <v>158679000</v>
      </c>
      <c r="F1106" s="3">
        <v>53973600</v>
      </c>
      <c r="G1106" t="s">
        <v>11</v>
      </c>
      <c r="H1106" s="5" t="s">
        <v>30</v>
      </c>
      <c r="I1106" t="s">
        <v>13</v>
      </c>
      <c r="J1106" t="s">
        <v>13</v>
      </c>
    </row>
    <row r="1107" spans="1:11" x14ac:dyDescent="0.35">
      <c r="A1107" t="s">
        <v>5</v>
      </c>
      <c r="B1107" t="str">
        <f t="shared" si="23"/>
        <v>67151</v>
      </c>
      <c r="C1107" t="str">
        <f>"010"</f>
        <v>010</v>
      </c>
      <c r="D1107">
        <v>2011</v>
      </c>
      <c r="E1107" s="3">
        <v>108357600</v>
      </c>
      <c r="F1107" s="3">
        <v>62161500</v>
      </c>
      <c r="G1107" t="s">
        <v>11</v>
      </c>
      <c r="H1107" s="5" t="s">
        <v>30</v>
      </c>
      <c r="I1107" t="s">
        <v>13</v>
      </c>
      <c r="J1107" t="s">
        <v>13</v>
      </c>
    </row>
    <row r="1108" spans="1:11" x14ac:dyDescent="0.35">
      <c r="A1108" t="s">
        <v>5</v>
      </c>
      <c r="B1108" t="str">
        <f t="shared" si="23"/>
        <v>67151</v>
      </c>
      <c r="C1108" t="str">
        <f>"011"</f>
        <v>011</v>
      </c>
      <c r="D1108">
        <v>2011</v>
      </c>
      <c r="E1108" s="3">
        <v>15214900</v>
      </c>
      <c r="F1108" s="3">
        <v>3261300</v>
      </c>
      <c r="G1108" t="s">
        <v>11</v>
      </c>
      <c r="H1108" s="5" t="s">
        <v>30</v>
      </c>
      <c r="I1108" t="s">
        <v>13</v>
      </c>
      <c r="J1108" t="s">
        <v>13</v>
      </c>
    </row>
    <row r="1109" spans="1:11" x14ac:dyDescent="0.35">
      <c r="A1109" t="s">
        <v>5</v>
      </c>
      <c r="B1109" t="str">
        <f t="shared" si="23"/>
        <v>67151</v>
      </c>
      <c r="C1109" t="str">
        <f>"012"</f>
        <v>012</v>
      </c>
      <c r="D1109">
        <v>2014</v>
      </c>
      <c r="E1109" s="3">
        <v>40538100</v>
      </c>
      <c r="F1109" s="3">
        <v>35454700</v>
      </c>
      <c r="G1109" t="s">
        <v>11</v>
      </c>
      <c r="H1109" s="5" t="s">
        <v>30</v>
      </c>
      <c r="I1109" t="s">
        <v>13</v>
      </c>
      <c r="J1109" t="s">
        <v>13</v>
      </c>
    </row>
    <row r="1110" spans="1:11" x14ac:dyDescent="0.35">
      <c r="A1110" t="s">
        <v>5</v>
      </c>
      <c r="B1110" t="str">
        <f t="shared" si="23"/>
        <v>67151</v>
      </c>
      <c r="C1110" t="str">
        <f>"013"</f>
        <v>013</v>
      </c>
      <c r="D1110">
        <v>2019</v>
      </c>
      <c r="E1110" s="3">
        <v>40812200</v>
      </c>
      <c r="F1110" s="3">
        <v>38124000</v>
      </c>
      <c r="G1110" t="s">
        <v>11</v>
      </c>
      <c r="H1110" s="5" t="s">
        <v>30</v>
      </c>
      <c r="I1110" t="s">
        <v>13</v>
      </c>
      <c r="J1110" t="s">
        <v>13</v>
      </c>
    </row>
    <row r="1111" spans="1:11" x14ac:dyDescent="0.35">
      <c r="A1111" t="s">
        <v>5</v>
      </c>
      <c r="B1111" t="str">
        <f t="shared" si="23"/>
        <v>67151</v>
      </c>
      <c r="C1111" t="str">
        <f>"014"</f>
        <v>014</v>
      </c>
      <c r="D1111">
        <v>2019</v>
      </c>
      <c r="E1111" s="3">
        <v>17002800</v>
      </c>
      <c r="F1111" s="3">
        <v>7223300</v>
      </c>
      <c r="G1111" t="s">
        <v>11</v>
      </c>
      <c r="H1111" s="5" t="s">
        <v>30</v>
      </c>
      <c r="I1111" t="s">
        <v>13</v>
      </c>
      <c r="J1111" t="s">
        <v>13</v>
      </c>
    </row>
    <row r="1112" spans="1:11" x14ac:dyDescent="0.35">
      <c r="A1112" t="s">
        <v>31</v>
      </c>
      <c r="B1112" t="s">
        <v>13</v>
      </c>
      <c r="C1112" t="s">
        <v>7</v>
      </c>
      <c r="D1112" t="s">
        <v>8</v>
      </c>
      <c r="E1112" s="3">
        <v>656486300</v>
      </c>
      <c r="F1112" s="3">
        <v>404993100</v>
      </c>
      <c r="G1112" t="s">
        <v>11</v>
      </c>
      <c r="H1112" s="5">
        <v>6939272100</v>
      </c>
      <c r="I1112" t="s">
        <v>13</v>
      </c>
      <c r="J1112" t="s">
        <v>13</v>
      </c>
      <c r="K1112">
        <v>5.84</v>
      </c>
    </row>
    <row r="1114" spans="1:11" x14ac:dyDescent="0.35">
      <c r="A1114" t="s">
        <v>252</v>
      </c>
      <c r="B1114" t="str">
        <f>"17251"</f>
        <v>17251</v>
      </c>
      <c r="C1114" t="str">
        <f>"012"</f>
        <v>012</v>
      </c>
      <c r="D1114">
        <v>2003</v>
      </c>
      <c r="E1114" s="3">
        <v>27938500</v>
      </c>
      <c r="F1114" s="3">
        <v>26267300</v>
      </c>
      <c r="G1114" t="s">
        <v>11</v>
      </c>
      <c r="H1114" s="5" t="s">
        <v>30</v>
      </c>
      <c r="I1114" t="s">
        <v>13</v>
      </c>
      <c r="J1114" t="s">
        <v>13</v>
      </c>
    </row>
    <row r="1115" spans="1:11" x14ac:dyDescent="0.35">
      <c r="A1115" t="s">
        <v>5</v>
      </c>
      <c r="B1115" t="str">
        <f>"17251"</f>
        <v>17251</v>
      </c>
      <c r="C1115" t="str">
        <f>"013"</f>
        <v>013</v>
      </c>
      <c r="D1115">
        <v>2004</v>
      </c>
      <c r="E1115" s="3">
        <v>5016800</v>
      </c>
      <c r="F1115" s="3">
        <v>4854900</v>
      </c>
      <c r="G1115" t="s">
        <v>11</v>
      </c>
      <c r="H1115" s="5" t="s">
        <v>30</v>
      </c>
      <c r="I1115" t="s">
        <v>13</v>
      </c>
      <c r="J1115" t="s">
        <v>13</v>
      </c>
    </row>
    <row r="1116" spans="1:11" x14ac:dyDescent="0.35">
      <c r="A1116" t="s">
        <v>5</v>
      </c>
      <c r="B1116" t="str">
        <f>"17251"</f>
        <v>17251</v>
      </c>
      <c r="C1116" t="str">
        <f>"014"</f>
        <v>014</v>
      </c>
      <c r="D1116">
        <v>2004</v>
      </c>
      <c r="E1116" s="3">
        <v>13179500</v>
      </c>
      <c r="F1116" s="3">
        <v>5221400</v>
      </c>
      <c r="G1116" t="s">
        <v>11</v>
      </c>
      <c r="H1116" s="5" t="s">
        <v>30</v>
      </c>
      <c r="I1116" t="s">
        <v>13</v>
      </c>
      <c r="J1116" t="s">
        <v>13</v>
      </c>
    </row>
    <row r="1117" spans="1:11" x14ac:dyDescent="0.35">
      <c r="A1117" t="s">
        <v>5</v>
      </c>
      <c r="B1117" t="str">
        <f>"17251"</f>
        <v>17251</v>
      </c>
      <c r="C1117" t="str">
        <f>"015"</f>
        <v>015</v>
      </c>
      <c r="D1117">
        <v>2005</v>
      </c>
      <c r="E1117" s="3">
        <v>43346100</v>
      </c>
      <c r="F1117" s="3">
        <v>21100000</v>
      </c>
      <c r="G1117" t="s">
        <v>11</v>
      </c>
      <c r="H1117" s="5" t="s">
        <v>30</v>
      </c>
      <c r="I1117" t="s">
        <v>13</v>
      </c>
      <c r="J1117" t="s">
        <v>13</v>
      </c>
    </row>
    <row r="1118" spans="1:11" x14ac:dyDescent="0.35">
      <c r="A1118" t="s">
        <v>5</v>
      </c>
      <c r="B1118" t="str">
        <f>"17251"</f>
        <v>17251</v>
      </c>
      <c r="C1118" t="str">
        <f>"016"</f>
        <v>016</v>
      </c>
      <c r="D1118">
        <v>2019</v>
      </c>
      <c r="E1118" s="3">
        <v>6120100</v>
      </c>
      <c r="F1118" s="3">
        <v>5560000</v>
      </c>
      <c r="G1118" t="s">
        <v>11</v>
      </c>
      <c r="H1118" s="5" t="s">
        <v>30</v>
      </c>
      <c r="I1118" t="s">
        <v>13</v>
      </c>
      <c r="J1118" t="s">
        <v>13</v>
      </c>
    </row>
    <row r="1119" spans="1:11" x14ac:dyDescent="0.35">
      <c r="A1119" t="s">
        <v>31</v>
      </c>
      <c r="B1119" t="s">
        <v>13</v>
      </c>
      <c r="C1119" t="s">
        <v>7</v>
      </c>
      <c r="D1119" t="s">
        <v>8</v>
      </c>
      <c r="E1119" s="3">
        <v>95601000</v>
      </c>
      <c r="F1119" s="3">
        <v>63003600</v>
      </c>
      <c r="G1119" t="s">
        <v>11</v>
      </c>
      <c r="H1119" s="5">
        <v>1441068800</v>
      </c>
      <c r="I1119" t="s">
        <v>13</v>
      </c>
      <c r="J1119" t="s">
        <v>13</v>
      </c>
      <c r="K1119">
        <v>4.37</v>
      </c>
    </row>
    <row r="1121" spans="1:11" x14ac:dyDescent="0.35">
      <c r="A1121" t="s">
        <v>253</v>
      </c>
      <c r="B1121" t="str">
        <f>"45255"</f>
        <v>45255</v>
      </c>
      <c r="C1121" t="str">
        <f>"002"</f>
        <v>002</v>
      </c>
      <c r="D1121">
        <v>2002</v>
      </c>
      <c r="E1121" s="3">
        <v>31019600</v>
      </c>
      <c r="F1121" s="3">
        <v>25108000</v>
      </c>
      <c r="G1121" t="s">
        <v>11</v>
      </c>
      <c r="H1121" s="5" t="s">
        <v>30</v>
      </c>
      <c r="I1121" t="s">
        <v>13</v>
      </c>
      <c r="J1121" t="s">
        <v>13</v>
      </c>
    </row>
    <row r="1122" spans="1:11" x14ac:dyDescent="0.35">
      <c r="A1122" t="s">
        <v>5</v>
      </c>
      <c r="B1122" t="str">
        <f>"45255"</f>
        <v>45255</v>
      </c>
      <c r="C1122" t="str">
        <f>"003"</f>
        <v>003</v>
      </c>
      <c r="D1122">
        <v>2008</v>
      </c>
      <c r="E1122" s="3">
        <v>199022500</v>
      </c>
      <c r="F1122" s="3">
        <v>157692200</v>
      </c>
      <c r="G1122" t="s">
        <v>11</v>
      </c>
      <c r="H1122" s="5" t="s">
        <v>30</v>
      </c>
      <c r="I1122" t="s">
        <v>13</v>
      </c>
      <c r="J1122" t="s">
        <v>13</v>
      </c>
    </row>
    <row r="1123" spans="1:11" x14ac:dyDescent="0.35">
      <c r="A1123" t="s">
        <v>5</v>
      </c>
      <c r="B1123" t="str">
        <f>"45255"</f>
        <v>45255</v>
      </c>
      <c r="C1123" t="str">
        <f>"004"</f>
        <v>004</v>
      </c>
      <c r="D1123">
        <v>2012</v>
      </c>
      <c r="E1123" s="3">
        <v>56575700</v>
      </c>
      <c r="F1123" s="3">
        <v>14703500</v>
      </c>
      <c r="G1123" t="s">
        <v>11</v>
      </c>
      <c r="H1123" s="5" t="s">
        <v>30</v>
      </c>
      <c r="I1123" t="s">
        <v>13</v>
      </c>
      <c r="J1123" t="s">
        <v>13</v>
      </c>
    </row>
    <row r="1124" spans="1:11" x14ac:dyDescent="0.35">
      <c r="A1124" t="s">
        <v>5</v>
      </c>
      <c r="B1124" t="str">
        <f>"45255"</f>
        <v>45255</v>
      </c>
      <c r="C1124" t="str">
        <f>"005"</f>
        <v>005</v>
      </c>
      <c r="D1124">
        <v>2012</v>
      </c>
      <c r="E1124" s="3">
        <v>65076200</v>
      </c>
      <c r="F1124" s="3">
        <v>13889300</v>
      </c>
      <c r="G1124" t="s">
        <v>11</v>
      </c>
      <c r="H1124" s="5" t="s">
        <v>30</v>
      </c>
      <c r="I1124" t="s">
        <v>13</v>
      </c>
      <c r="J1124" t="s">
        <v>13</v>
      </c>
    </row>
    <row r="1125" spans="1:11" x14ac:dyDescent="0.35">
      <c r="A1125" t="s">
        <v>31</v>
      </c>
      <c r="B1125" t="s">
        <v>13</v>
      </c>
      <c r="C1125" t="s">
        <v>7</v>
      </c>
      <c r="D1125" t="s">
        <v>8</v>
      </c>
      <c r="E1125" s="3">
        <v>351694000</v>
      </c>
      <c r="F1125" s="3">
        <v>211393000</v>
      </c>
      <c r="G1125" t="s">
        <v>11</v>
      </c>
      <c r="H1125" s="5">
        <v>5997009400</v>
      </c>
      <c r="I1125" t="s">
        <v>13</v>
      </c>
      <c r="J1125" t="s">
        <v>13</v>
      </c>
      <c r="K1125">
        <v>3.52</v>
      </c>
    </row>
    <row r="1127" spans="1:11" x14ac:dyDescent="0.35">
      <c r="A1127" t="s">
        <v>254</v>
      </c>
      <c r="B1127" t="str">
        <f t="shared" ref="B1127:B1138" si="24">"35251"</f>
        <v>35251</v>
      </c>
      <c r="C1127" t="str">
        <f>"003"</f>
        <v>003</v>
      </c>
      <c r="D1127">
        <v>2005</v>
      </c>
      <c r="E1127" s="3">
        <v>57764100</v>
      </c>
      <c r="F1127" s="3">
        <v>42396200</v>
      </c>
      <c r="G1127" t="s">
        <v>11</v>
      </c>
      <c r="H1127" s="5" t="s">
        <v>30</v>
      </c>
      <c r="I1127" t="s">
        <v>13</v>
      </c>
      <c r="J1127" t="s">
        <v>13</v>
      </c>
    </row>
    <row r="1128" spans="1:11" x14ac:dyDescent="0.35">
      <c r="A1128" t="s">
        <v>5</v>
      </c>
      <c r="B1128" t="str">
        <f t="shared" si="24"/>
        <v>35251</v>
      </c>
      <c r="C1128" t="str">
        <f>"004"</f>
        <v>004</v>
      </c>
      <c r="D1128">
        <v>2007</v>
      </c>
      <c r="E1128" s="3">
        <v>16055100</v>
      </c>
      <c r="F1128" s="3">
        <v>7170600</v>
      </c>
      <c r="G1128" t="s">
        <v>11</v>
      </c>
      <c r="H1128" s="5" t="s">
        <v>30</v>
      </c>
      <c r="I1128" t="s">
        <v>13</v>
      </c>
      <c r="J1128" t="s">
        <v>13</v>
      </c>
    </row>
    <row r="1129" spans="1:11" x14ac:dyDescent="0.35">
      <c r="A1129" t="s">
        <v>5</v>
      </c>
      <c r="B1129" t="str">
        <f t="shared" si="24"/>
        <v>35251</v>
      </c>
      <c r="C1129" t="str">
        <f>"005"</f>
        <v>005</v>
      </c>
      <c r="D1129">
        <v>2007</v>
      </c>
      <c r="E1129" s="3">
        <v>678300</v>
      </c>
      <c r="F1129" s="3">
        <v>604300</v>
      </c>
      <c r="G1129" t="s">
        <v>11</v>
      </c>
      <c r="H1129" s="5" t="s">
        <v>30</v>
      </c>
      <c r="I1129" t="s">
        <v>13</v>
      </c>
      <c r="J1129" t="s">
        <v>13</v>
      </c>
    </row>
    <row r="1130" spans="1:11" x14ac:dyDescent="0.35">
      <c r="A1130" t="s">
        <v>5</v>
      </c>
      <c r="B1130" t="str">
        <f t="shared" si="24"/>
        <v>35251</v>
      </c>
      <c r="C1130" t="str">
        <f>"006"</f>
        <v>006</v>
      </c>
      <c r="D1130">
        <v>2009</v>
      </c>
      <c r="E1130" s="3">
        <v>16825300</v>
      </c>
      <c r="F1130" s="3">
        <v>4842900</v>
      </c>
      <c r="G1130" t="s">
        <v>11</v>
      </c>
      <c r="H1130" s="5" t="s">
        <v>30</v>
      </c>
      <c r="I1130" t="s">
        <v>13</v>
      </c>
      <c r="J1130" t="s">
        <v>13</v>
      </c>
    </row>
    <row r="1131" spans="1:11" x14ac:dyDescent="0.35">
      <c r="A1131" t="s">
        <v>5</v>
      </c>
      <c r="B1131" t="str">
        <f t="shared" si="24"/>
        <v>35251</v>
      </c>
      <c r="C1131" t="str">
        <f>"007"</f>
        <v>007</v>
      </c>
      <c r="D1131">
        <v>2009</v>
      </c>
      <c r="E1131" s="3">
        <v>14314900</v>
      </c>
      <c r="F1131" s="3">
        <v>6527900</v>
      </c>
      <c r="G1131" t="s">
        <v>11</v>
      </c>
      <c r="H1131" s="5" t="s">
        <v>30</v>
      </c>
      <c r="I1131" t="s">
        <v>13</v>
      </c>
      <c r="J1131" t="s">
        <v>13</v>
      </c>
    </row>
    <row r="1132" spans="1:11" x14ac:dyDescent="0.35">
      <c r="A1132" t="s">
        <v>5</v>
      </c>
      <c r="B1132" t="str">
        <f t="shared" si="24"/>
        <v>35251</v>
      </c>
      <c r="C1132" t="str">
        <f>"008"</f>
        <v>008</v>
      </c>
      <c r="D1132">
        <v>2011</v>
      </c>
      <c r="E1132" s="3">
        <v>22809100</v>
      </c>
      <c r="F1132" s="3">
        <v>5492400</v>
      </c>
      <c r="G1132" t="s">
        <v>11</v>
      </c>
      <c r="H1132" s="5" t="s">
        <v>30</v>
      </c>
      <c r="I1132" t="s">
        <v>13</v>
      </c>
      <c r="J1132" t="s">
        <v>13</v>
      </c>
    </row>
    <row r="1133" spans="1:11" x14ac:dyDescent="0.35">
      <c r="A1133" t="s">
        <v>5</v>
      </c>
      <c r="B1133" t="str">
        <f t="shared" si="24"/>
        <v>35251</v>
      </c>
      <c r="C1133" t="str">
        <f>"009"</f>
        <v>009</v>
      </c>
      <c r="D1133">
        <v>2013</v>
      </c>
      <c r="E1133" s="3">
        <v>5347600</v>
      </c>
      <c r="F1133" s="3">
        <v>-588400</v>
      </c>
      <c r="G1133" t="s">
        <v>52</v>
      </c>
      <c r="H1133" s="5" t="s">
        <v>30</v>
      </c>
      <c r="I1133" t="s">
        <v>13</v>
      </c>
      <c r="J1133" t="s">
        <v>13</v>
      </c>
    </row>
    <row r="1134" spans="1:11" x14ac:dyDescent="0.35">
      <c r="A1134" t="s">
        <v>5</v>
      </c>
      <c r="B1134" t="str">
        <f t="shared" si="24"/>
        <v>35251</v>
      </c>
      <c r="C1134" t="str">
        <f>"010"</f>
        <v>010</v>
      </c>
      <c r="D1134">
        <v>2015</v>
      </c>
      <c r="E1134" s="3">
        <v>2792200</v>
      </c>
      <c r="F1134" s="3">
        <v>2495400</v>
      </c>
      <c r="G1134" t="s">
        <v>11</v>
      </c>
      <c r="H1134" s="5" t="s">
        <v>30</v>
      </c>
      <c r="I1134" t="s">
        <v>13</v>
      </c>
      <c r="J1134" t="s">
        <v>13</v>
      </c>
    </row>
    <row r="1135" spans="1:11" x14ac:dyDescent="0.35">
      <c r="A1135" t="s">
        <v>5</v>
      </c>
      <c r="B1135" t="str">
        <f t="shared" si="24"/>
        <v>35251</v>
      </c>
      <c r="C1135" t="str">
        <f>"011"</f>
        <v>011</v>
      </c>
      <c r="D1135">
        <v>2016</v>
      </c>
      <c r="E1135" s="3">
        <v>25075100</v>
      </c>
      <c r="F1135" s="3">
        <v>10094500</v>
      </c>
      <c r="G1135" t="s">
        <v>11</v>
      </c>
      <c r="H1135" s="5" t="s">
        <v>30</v>
      </c>
      <c r="I1135" t="s">
        <v>13</v>
      </c>
      <c r="J1135" t="s">
        <v>13</v>
      </c>
    </row>
    <row r="1136" spans="1:11" x14ac:dyDescent="0.35">
      <c r="A1136" t="s">
        <v>5</v>
      </c>
      <c r="B1136" t="str">
        <f t="shared" si="24"/>
        <v>35251</v>
      </c>
      <c r="C1136" t="str">
        <f>"012"</f>
        <v>012</v>
      </c>
      <c r="D1136">
        <v>2017</v>
      </c>
      <c r="E1136" s="3">
        <v>2680600</v>
      </c>
      <c r="F1136" s="3">
        <v>1085900</v>
      </c>
      <c r="G1136" t="s">
        <v>11</v>
      </c>
      <c r="H1136" s="5" t="s">
        <v>30</v>
      </c>
      <c r="I1136" t="s">
        <v>13</v>
      </c>
      <c r="J1136" t="s">
        <v>13</v>
      </c>
    </row>
    <row r="1137" spans="1:11" x14ac:dyDescent="0.35">
      <c r="A1137" t="s">
        <v>5</v>
      </c>
      <c r="B1137" t="str">
        <f t="shared" si="24"/>
        <v>35251</v>
      </c>
      <c r="C1137" t="str">
        <f>"013"</f>
        <v>013</v>
      </c>
      <c r="D1137">
        <v>2021</v>
      </c>
      <c r="E1137" s="3">
        <v>77000</v>
      </c>
      <c r="F1137" s="3">
        <v>8900</v>
      </c>
      <c r="G1137" t="s">
        <v>11</v>
      </c>
      <c r="H1137" s="5" t="s">
        <v>30</v>
      </c>
      <c r="I1137" t="s">
        <v>13</v>
      </c>
      <c r="J1137" t="s">
        <v>13</v>
      </c>
    </row>
    <row r="1138" spans="1:11" x14ac:dyDescent="0.35">
      <c r="A1138" t="s">
        <v>5</v>
      </c>
      <c r="B1138" t="str">
        <f t="shared" si="24"/>
        <v>35251</v>
      </c>
      <c r="C1138" t="str">
        <f>"014"</f>
        <v>014</v>
      </c>
      <c r="D1138">
        <v>2021</v>
      </c>
      <c r="E1138" s="3">
        <v>834200</v>
      </c>
      <c r="F1138" s="3">
        <v>571200</v>
      </c>
      <c r="G1138" t="s">
        <v>11</v>
      </c>
      <c r="H1138" s="5" t="s">
        <v>30</v>
      </c>
      <c r="I1138" t="s">
        <v>13</v>
      </c>
      <c r="J1138" t="s">
        <v>13</v>
      </c>
    </row>
    <row r="1139" spans="1:11" x14ac:dyDescent="0.35">
      <c r="A1139" t="s">
        <v>31</v>
      </c>
      <c r="B1139" t="s">
        <v>13</v>
      </c>
      <c r="C1139" t="s">
        <v>7</v>
      </c>
      <c r="D1139" t="s">
        <v>8</v>
      </c>
      <c r="E1139" s="3">
        <v>165253500</v>
      </c>
      <c r="F1139" s="3">
        <v>81290200</v>
      </c>
      <c r="G1139" t="s">
        <v>11</v>
      </c>
      <c r="H1139" s="5">
        <v>552633600</v>
      </c>
      <c r="I1139" t="s">
        <v>13</v>
      </c>
      <c r="J1139" t="s">
        <v>13</v>
      </c>
      <c r="K1139">
        <v>14.71</v>
      </c>
    </row>
    <row r="1141" spans="1:11" x14ac:dyDescent="0.35">
      <c r="A1141" t="s">
        <v>255</v>
      </c>
      <c r="B1141" t="str">
        <f>"27152"</f>
        <v>27152</v>
      </c>
      <c r="C1141" t="str">
        <f>"001"</f>
        <v>001</v>
      </c>
      <c r="D1141">
        <v>2018</v>
      </c>
      <c r="E1141" s="3">
        <v>4013500</v>
      </c>
      <c r="F1141" s="3">
        <v>1492900</v>
      </c>
      <c r="G1141" t="s">
        <v>11</v>
      </c>
      <c r="H1141" s="5" t="s">
        <v>30</v>
      </c>
      <c r="I1141" t="s">
        <v>13</v>
      </c>
      <c r="J1141" t="s">
        <v>13</v>
      </c>
    </row>
    <row r="1142" spans="1:11" x14ac:dyDescent="0.35">
      <c r="A1142" t="s">
        <v>31</v>
      </c>
      <c r="B1142" t="s">
        <v>13</v>
      </c>
      <c r="C1142" t="s">
        <v>7</v>
      </c>
      <c r="D1142" t="s">
        <v>8</v>
      </c>
      <c r="E1142" s="3">
        <v>4013500</v>
      </c>
      <c r="F1142" s="3">
        <v>1492900</v>
      </c>
      <c r="G1142" t="s">
        <v>11</v>
      </c>
      <c r="H1142" s="5">
        <v>29143700</v>
      </c>
      <c r="I1142" t="s">
        <v>13</v>
      </c>
      <c r="J1142" t="s">
        <v>13</v>
      </c>
      <c r="K1142">
        <v>5.12</v>
      </c>
    </row>
    <row r="1144" spans="1:11" x14ac:dyDescent="0.35">
      <c r="A1144" t="s">
        <v>256</v>
      </c>
      <c r="B1144" t="str">
        <f>"13255"</f>
        <v>13255</v>
      </c>
      <c r="C1144" t="str">
        <f>"003"</f>
        <v>003</v>
      </c>
      <c r="D1144">
        <v>1993</v>
      </c>
      <c r="E1144" s="3">
        <v>627662100</v>
      </c>
      <c r="F1144" s="3">
        <v>571793900</v>
      </c>
      <c r="G1144" t="s">
        <v>11</v>
      </c>
      <c r="H1144" s="5" t="s">
        <v>30</v>
      </c>
      <c r="I1144" t="s">
        <v>13</v>
      </c>
      <c r="J1144" t="s">
        <v>13</v>
      </c>
    </row>
    <row r="1145" spans="1:11" x14ac:dyDescent="0.35">
      <c r="A1145" t="s">
        <v>5</v>
      </c>
      <c r="B1145" t="str">
        <f>"13255"</f>
        <v>13255</v>
      </c>
      <c r="C1145" t="str">
        <f>"005"</f>
        <v>005</v>
      </c>
      <c r="D1145">
        <v>2009</v>
      </c>
      <c r="E1145" s="3">
        <v>264565700</v>
      </c>
      <c r="F1145" s="3">
        <v>174994400</v>
      </c>
      <c r="G1145" t="s">
        <v>11</v>
      </c>
      <c r="H1145" s="5" t="s">
        <v>30</v>
      </c>
      <c r="I1145" t="s">
        <v>13</v>
      </c>
      <c r="J1145" t="s">
        <v>13</v>
      </c>
    </row>
    <row r="1146" spans="1:11" x14ac:dyDescent="0.35">
      <c r="A1146" t="s">
        <v>31</v>
      </c>
      <c r="B1146" t="s">
        <v>13</v>
      </c>
      <c r="C1146" t="s">
        <v>7</v>
      </c>
      <c r="D1146" t="s">
        <v>8</v>
      </c>
      <c r="E1146" s="3">
        <v>892227800</v>
      </c>
      <c r="F1146" s="3">
        <v>746788300</v>
      </c>
      <c r="G1146" t="s">
        <v>11</v>
      </c>
      <c r="H1146" s="5">
        <v>4775023600</v>
      </c>
      <c r="I1146" t="s">
        <v>13</v>
      </c>
      <c r="J1146" t="s">
        <v>13</v>
      </c>
      <c r="K1146">
        <v>15.64</v>
      </c>
    </row>
    <row r="1148" spans="1:11" x14ac:dyDescent="0.35">
      <c r="A1148" t="s">
        <v>257</v>
      </c>
      <c r="B1148" t="str">
        <f>"48151"</f>
        <v>48151</v>
      </c>
      <c r="C1148" t="str">
        <f>"003"</f>
        <v>003</v>
      </c>
      <c r="D1148">
        <v>2004</v>
      </c>
      <c r="E1148" s="3">
        <v>4707600</v>
      </c>
      <c r="F1148" s="3">
        <v>1160800</v>
      </c>
      <c r="G1148" t="s">
        <v>11</v>
      </c>
      <c r="H1148" s="5" t="s">
        <v>30</v>
      </c>
      <c r="I1148" t="s">
        <v>13</v>
      </c>
      <c r="J1148" t="s">
        <v>13</v>
      </c>
    </row>
    <row r="1149" spans="1:11" x14ac:dyDescent="0.35">
      <c r="A1149" t="s">
        <v>5</v>
      </c>
      <c r="B1149" t="str">
        <f>"48151"</f>
        <v>48151</v>
      </c>
      <c r="C1149" t="str">
        <f>"004"</f>
        <v>004</v>
      </c>
      <c r="D1149">
        <v>2012</v>
      </c>
      <c r="E1149" s="3">
        <v>2206500</v>
      </c>
      <c r="F1149" s="3">
        <v>1178800</v>
      </c>
      <c r="G1149" t="s">
        <v>11</v>
      </c>
      <c r="H1149" s="5" t="s">
        <v>30</v>
      </c>
      <c r="I1149" t="s">
        <v>13</v>
      </c>
      <c r="J1149" t="s">
        <v>13</v>
      </c>
    </row>
    <row r="1150" spans="1:11" x14ac:dyDescent="0.35">
      <c r="A1150" t="s">
        <v>31</v>
      </c>
      <c r="B1150" t="s">
        <v>13</v>
      </c>
      <c r="C1150" t="s">
        <v>7</v>
      </c>
      <c r="D1150" t="s">
        <v>8</v>
      </c>
      <c r="E1150" s="3">
        <v>6914100</v>
      </c>
      <c r="F1150" s="3">
        <v>2339600</v>
      </c>
      <c r="G1150" t="s">
        <v>11</v>
      </c>
      <c r="H1150" s="5">
        <v>58352200</v>
      </c>
      <c r="I1150" t="s">
        <v>13</v>
      </c>
      <c r="J1150" t="s">
        <v>13</v>
      </c>
      <c r="K1150">
        <v>4.01</v>
      </c>
    </row>
    <row r="1152" spans="1:11" x14ac:dyDescent="0.35">
      <c r="A1152" t="s">
        <v>258</v>
      </c>
      <c r="B1152" t="str">
        <f>"53257"</f>
        <v>53257</v>
      </c>
      <c r="C1152" t="str">
        <f>"006"</f>
        <v>006</v>
      </c>
      <c r="D1152">
        <v>2003</v>
      </c>
      <c r="E1152" s="3">
        <v>39094300</v>
      </c>
      <c r="F1152" s="3">
        <v>37125600</v>
      </c>
      <c r="G1152" t="s">
        <v>11</v>
      </c>
      <c r="H1152" s="5" t="s">
        <v>30</v>
      </c>
      <c r="I1152" t="s">
        <v>13</v>
      </c>
      <c r="J1152" t="s">
        <v>13</v>
      </c>
    </row>
    <row r="1153" spans="1:11" x14ac:dyDescent="0.35">
      <c r="A1153" t="s">
        <v>5</v>
      </c>
      <c r="B1153" t="str">
        <f>"53257"</f>
        <v>53257</v>
      </c>
      <c r="C1153" t="str">
        <f>"007"</f>
        <v>007</v>
      </c>
      <c r="D1153">
        <v>2004</v>
      </c>
      <c r="E1153" s="3">
        <v>17982900</v>
      </c>
      <c r="F1153" s="3">
        <v>9415400</v>
      </c>
      <c r="G1153" t="s">
        <v>11</v>
      </c>
      <c r="H1153" s="5" t="s">
        <v>30</v>
      </c>
      <c r="I1153" t="s">
        <v>13</v>
      </c>
      <c r="J1153" t="s">
        <v>13</v>
      </c>
    </row>
    <row r="1154" spans="1:11" x14ac:dyDescent="0.35">
      <c r="A1154" t="s">
        <v>5</v>
      </c>
      <c r="B1154" t="str">
        <f>"53257"</f>
        <v>53257</v>
      </c>
      <c r="C1154" t="str">
        <f>"009"</f>
        <v>009</v>
      </c>
      <c r="D1154">
        <v>2016</v>
      </c>
      <c r="E1154" s="3">
        <v>9258800</v>
      </c>
      <c r="F1154" s="3">
        <v>9084100</v>
      </c>
      <c r="G1154" t="s">
        <v>11</v>
      </c>
      <c r="H1154" s="5" t="s">
        <v>30</v>
      </c>
      <c r="I1154" t="s">
        <v>13</v>
      </c>
      <c r="J1154" t="s">
        <v>13</v>
      </c>
    </row>
    <row r="1155" spans="1:11" x14ac:dyDescent="0.35">
      <c r="A1155" t="s">
        <v>5</v>
      </c>
      <c r="B1155" t="str">
        <f>"53257"</f>
        <v>53257</v>
      </c>
      <c r="C1155" t="str">
        <f>"010"</f>
        <v>010</v>
      </c>
      <c r="D1155">
        <v>2018</v>
      </c>
      <c r="E1155" s="3">
        <v>25942900</v>
      </c>
      <c r="F1155" s="3">
        <v>5188700</v>
      </c>
      <c r="G1155" t="s">
        <v>11</v>
      </c>
      <c r="H1155" s="5" t="s">
        <v>30</v>
      </c>
      <c r="I1155" t="s">
        <v>13</v>
      </c>
      <c r="J1155" t="s">
        <v>13</v>
      </c>
    </row>
    <row r="1156" spans="1:11" x14ac:dyDescent="0.35">
      <c r="A1156" t="s">
        <v>5</v>
      </c>
      <c r="B1156" t="str">
        <f>"53257"</f>
        <v>53257</v>
      </c>
      <c r="C1156" t="str">
        <f>"011"</f>
        <v>011</v>
      </c>
      <c r="D1156">
        <v>2021</v>
      </c>
      <c r="E1156" s="3">
        <v>16299800</v>
      </c>
      <c r="F1156" s="3">
        <v>7922900</v>
      </c>
      <c r="G1156" t="s">
        <v>11</v>
      </c>
      <c r="H1156" s="5" t="s">
        <v>30</v>
      </c>
      <c r="I1156" t="s">
        <v>13</v>
      </c>
      <c r="J1156" t="s">
        <v>13</v>
      </c>
    </row>
    <row r="1157" spans="1:11" x14ac:dyDescent="0.35">
      <c r="A1157" t="s">
        <v>31</v>
      </c>
      <c r="B1157" t="s">
        <v>13</v>
      </c>
      <c r="C1157" t="s">
        <v>7</v>
      </c>
      <c r="D1157" t="s">
        <v>8</v>
      </c>
      <c r="E1157" s="3">
        <v>108578700</v>
      </c>
      <c r="F1157" s="3">
        <v>68736700</v>
      </c>
      <c r="G1157" t="s">
        <v>11</v>
      </c>
      <c r="H1157" s="5">
        <v>554624800</v>
      </c>
      <c r="I1157" t="s">
        <v>13</v>
      </c>
      <c r="J1157" t="s">
        <v>13</v>
      </c>
      <c r="K1157">
        <v>12.39</v>
      </c>
    </row>
    <row r="1159" spans="1:11" x14ac:dyDescent="0.35">
      <c r="A1159" t="s">
        <v>259</v>
      </c>
      <c r="B1159" t="str">
        <f t="shared" ref="B1159:B1190" si="25">"40251"</f>
        <v>40251</v>
      </c>
      <c r="C1159" t="str">
        <f>"037"</f>
        <v>037</v>
      </c>
      <c r="D1159">
        <v>1998</v>
      </c>
      <c r="E1159" s="3">
        <v>146526200</v>
      </c>
      <c r="F1159" s="3">
        <v>86208800</v>
      </c>
      <c r="G1159" t="s">
        <v>11</v>
      </c>
      <c r="H1159" s="5" t="s">
        <v>30</v>
      </c>
      <c r="I1159" t="s">
        <v>13</v>
      </c>
      <c r="J1159" t="s">
        <v>13</v>
      </c>
    </row>
    <row r="1160" spans="1:11" x14ac:dyDescent="0.35">
      <c r="A1160" t="s">
        <v>5</v>
      </c>
      <c r="B1160" t="str">
        <f t="shared" si="25"/>
        <v>40251</v>
      </c>
      <c r="C1160" t="str">
        <f>"039"</f>
        <v>039</v>
      </c>
      <c r="D1160">
        <v>2000</v>
      </c>
      <c r="E1160" s="3">
        <v>52839900</v>
      </c>
      <c r="F1160" s="3">
        <v>28976500</v>
      </c>
      <c r="G1160" t="s">
        <v>11</v>
      </c>
      <c r="H1160" s="5" t="s">
        <v>30</v>
      </c>
      <c r="I1160" t="s">
        <v>13</v>
      </c>
      <c r="J1160" t="s">
        <v>13</v>
      </c>
    </row>
    <row r="1161" spans="1:11" x14ac:dyDescent="0.35">
      <c r="A1161" t="s">
        <v>5</v>
      </c>
      <c r="B1161" t="str">
        <f t="shared" si="25"/>
        <v>40251</v>
      </c>
      <c r="C1161" t="str">
        <f>"041"</f>
        <v>041</v>
      </c>
      <c r="D1161">
        <v>2000</v>
      </c>
      <c r="E1161" s="3">
        <v>127448300</v>
      </c>
      <c r="F1161" s="3">
        <v>117426900</v>
      </c>
      <c r="G1161" t="s">
        <v>11</v>
      </c>
      <c r="H1161" s="5" t="s">
        <v>30</v>
      </c>
      <c r="I1161" t="s">
        <v>13</v>
      </c>
      <c r="J1161" t="s">
        <v>13</v>
      </c>
    </row>
    <row r="1162" spans="1:11" x14ac:dyDescent="0.35">
      <c r="A1162" t="s">
        <v>5</v>
      </c>
      <c r="B1162" t="str">
        <f t="shared" si="25"/>
        <v>40251</v>
      </c>
      <c r="C1162" t="str">
        <f>"042"</f>
        <v>042</v>
      </c>
      <c r="D1162">
        <v>2001</v>
      </c>
      <c r="E1162" s="3">
        <v>38053700</v>
      </c>
      <c r="F1162" s="3">
        <v>30935400</v>
      </c>
      <c r="G1162" t="s">
        <v>11</v>
      </c>
      <c r="H1162" s="5" t="s">
        <v>30</v>
      </c>
      <c r="I1162" t="s">
        <v>13</v>
      </c>
      <c r="J1162" t="s">
        <v>13</v>
      </c>
    </row>
    <row r="1163" spans="1:11" x14ac:dyDescent="0.35">
      <c r="A1163" t="s">
        <v>5</v>
      </c>
      <c r="B1163" t="str">
        <f t="shared" si="25"/>
        <v>40251</v>
      </c>
      <c r="C1163" t="str">
        <f>"046"</f>
        <v>046</v>
      </c>
      <c r="D1163">
        <v>2001</v>
      </c>
      <c r="E1163" s="3">
        <v>37542700</v>
      </c>
      <c r="F1163" s="3">
        <v>22783200</v>
      </c>
      <c r="G1163" t="s">
        <v>11</v>
      </c>
      <c r="H1163" s="5" t="s">
        <v>30</v>
      </c>
      <c r="I1163" t="s">
        <v>13</v>
      </c>
      <c r="J1163" t="s">
        <v>13</v>
      </c>
    </row>
    <row r="1164" spans="1:11" x14ac:dyDescent="0.35">
      <c r="A1164" t="s">
        <v>5</v>
      </c>
      <c r="B1164" t="str">
        <f t="shared" si="25"/>
        <v>40251</v>
      </c>
      <c r="C1164" t="str">
        <f>"048"</f>
        <v>048</v>
      </c>
      <c r="D1164">
        <v>2002</v>
      </c>
      <c r="E1164" s="3">
        <v>363102800</v>
      </c>
      <c r="F1164" s="3">
        <v>317777200</v>
      </c>
      <c r="G1164" t="s">
        <v>11</v>
      </c>
      <c r="H1164" s="5" t="s">
        <v>30</v>
      </c>
      <c r="I1164" t="s">
        <v>13</v>
      </c>
      <c r="J1164" t="s">
        <v>13</v>
      </c>
    </row>
    <row r="1165" spans="1:11" x14ac:dyDescent="0.35">
      <c r="A1165" t="s">
        <v>5</v>
      </c>
      <c r="B1165" t="str">
        <f t="shared" si="25"/>
        <v>40251</v>
      </c>
      <c r="C1165" t="str">
        <f>"049"</f>
        <v>049</v>
      </c>
      <c r="D1165">
        <v>2002</v>
      </c>
      <c r="E1165" s="3">
        <v>59404000</v>
      </c>
      <c r="F1165" s="3">
        <v>57351300</v>
      </c>
      <c r="G1165" t="s">
        <v>11</v>
      </c>
      <c r="H1165" s="5" t="s">
        <v>30</v>
      </c>
      <c r="I1165" t="s">
        <v>13</v>
      </c>
      <c r="J1165" t="s">
        <v>13</v>
      </c>
    </row>
    <row r="1166" spans="1:11" x14ac:dyDescent="0.35">
      <c r="A1166" t="s">
        <v>5</v>
      </c>
      <c r="B1166" t="str">
        <f t="shared" si="25"/>
        <v>40251</v>
      </c>
      <c r="C1166" t="str">
        <f>"051"</f>
        <v>051</v>
      </c>
      <c r="D1166">
        <v>2003</v>
      </c>
      <c r="E1166" s="3">
        <v>15546200</v>
      </c>
      <c r="F1166" s="3">
        <v>5497500</v>
      </c>
      <c r="G1166" t="s">
        <v>11</v>
      </c>
      <c r="H1166" s="5" t="s">
        <v>30</v>
      </c>
      <c r="I1166" t="s">
        <v>13</v>
      </c>
      <c r="J1166" t="s">
        <v>13</v>
      </c>
    </row>
    <row r="1167" spans="1:11" x14ac:dyDescent="0.35">
      <c r="A1167" t="s">
        <v>5</v>
      </c>
      <c r="B1167" t="str">
        <f t="shared" si="25"/>
        <v>40251</v>
      </c>
      <c r="C1167" t="str">
        <f>"053"</f>
        <v>053</v>
      </c>
      <c r="D1167">
        <v>2004</v>
      </c>
      <c r="E1167" s="3">
        <v>77887000</v>
      </c>
      <c r="F1167" s="3">
        <v>73134700</v>
      </c>
      <c r="G1167" t="s">
        <v>11</v>
      </c>
      <c r="H1167" s="5" t="s">
        <v>30</v>
      </c>
      <c r="I1167" t="s">
        <v>13</v>
      </c>
      <c r="J1167" t="s">
        <v>13</v>
      </c>
    </row>
    <row r="1168" spans="1:11" x14ac:dyDescent="0.35">
      <c r="A1168" t="s">
        <v>5</v>
      </c>
      <c r="B1168" t="str">
        <f t="shared" si="25"/>
        <v>40251</v>
      </c>
      <c r="C1168" t="str">
        <f>"054"</f>
        <v>054</v>
      </c>
      <c r="D1168">
        <v>2004</v>
      </c>
      <c r="E1168" s="3">
        <v>19850300</v>
      </c>
      <c r="F1168" s="3">
        <v>18702300</v>
      </c>
      <c r="G1168" t="s">
        <v>11</v>
      </c>
      <c r="H1168" s="5" t="s">
        <v>30</v>
      </c>
      <c r="I1168" t="s">
        <v>13</v>
      </c>
      <c r="J1168" t="s">
        <v>13</v>
      </c>
    </row>
    <row r="1169" spans="1:10" x14ac:dyDescent="0.35">
      <c r="A1169" t="s">
        <v>5</v>
      </c>
      <c r="B1169" t="str">
        <f t="shared" si="25"/>
        <v>40251</v>
      </c>
      <c r="C1169" t="str">
        <f>"056"</f>
        <v>056</v>
      </c>
      <c r="D1169">
        <v>2004</v>
      </c>
      <c r="E1169" s="3">
        <v>197971700</v>
      </c>
      <c r="F1169" s="3">
        <v>189013100</v>
      </c>
      <c r="G1169" t="s">
        <v>11</v>
      </c>
      <c r="H1169" s="5" t="s">
        <v>30</v>
      </c>
      <c r="I1169" t="s">
        <v>13</v>
      </c>
      <c r="J1169" t="s">
        <v>13</v>
      </c>
    </row>
    <row r="1170" spans="1:10" x14ac:dyDescent="0.35">
      <c r="A1170" t="s">
        <v>5</v>
      </c>
      <c r="B1170" t="str">
        <f t="shared" si="25"/>
        <v>40251</v>
      </c>
      <c r="C1170" t="str">
        <f>"057"</f>
        <v>057</v>
      </c>
      <c r="D1170">
        <v>2005</v>
      </c>
      <c r="E1170" s="3">
        <v>15919700</v>
      </c>
      <c r="F1170" s="3">
        <v>15919700</v>
      </c>
      <c r="G1170" t="s">
        <v>11</v>
      </c>
      <c r="H1170" s="5" t="s">
        <v>30</v>
      </c>
      <c r="I1170" t="s">
        <v>13</v>
      </c>
      <c r="J1170" t="s">
        <v>13</v>
      </c>
    </row>
    <row r="1171" spans="1:10" x14ac:dyDescent="0.35">
      <c r="A1171" t="s">
        <v>5</v>
      </c>
      <c r="B1171" t="str">
        <f t="shared" si="25"/>
        <v>40251</v>
      </c>
      <c r="C1171" t="str">
        <f>"059"</f>
        <v>059</v>
      </c>
      <c r="D1171">
        <v>2005</v>
      </c>
      <c r="E1171" s="3">
        <v>65105900</v>
      </c>
      <c r="F1171" s="3">
        <v>19084400</v>
      </c>
      <c r="G1171" t="s">
        <v>11</v>
      </c>
      <c r="H1171" s="5" t="s">
        <v>30</v>
      </c>
      <c r="I1171" t="s">
        <v>13</v>
      </c>
      <c r="J1171" t="s">
        <v>13</v>
      </c>
    </row>
    <row r="1172" spans="1:10" x14ac:dyDescent="0.35">
      <c r="A1172" t="s">
        <v>5</v>
      </c>
      <c r="B1172" t="str">
        <f t="shared" si="25"/>
        <v>40251</v>
      </c>
      <c r="C1172" t="str">
        <f>"060"</f>
        <v>060</v>
      </c>
      <c r="D1172">
        <v>2005</v>
      </c>
      <c r="E1172" s="3">
        <v>11728600</v>
      </c>
      <c r="F1172" s="3">
        <v>9515700</v>
      </c>
      <c r="G1172" t="s">
        <v>11</v>
      </c>
      <c r="H1172" s="5" t="s">
        <v>30</v>
      </c>
      <c r="I1172" t="s">
        <v>13</v>
      </c>
      <c r="J1172" t="s">
        <v>13</v>
      </c>
    </row>
    <row r="1173" spans="1:10" x14ac:dyDescent="0.35">
      <c r="A1173" t="s">
        <v>5</v>
      </c>
      <c r="B1173" t="str">
        <f t="shared" si="25"/>
        <v>40251</v>
      </c>
      <c r="C1173" t="str">
        <f>"062"</f>
        <v>062</v>
      </c>
      <c r="D1173">
        <v>2006</v>
      </c>
      <c r="E1173" s="3">
        <v>8506400</v>
      </c>
      <c r="F1173" s="3">
        <v>3176600</v>
      </c>
      <c r="G1173" t="s">
        <v>11</v>
      </c>
      <c r="H1173" s="5" t="s">
        <v>30</v>
      </c>
      <c r="I1173" t="s">
        <v>13</v>
      </c>
      <c r="J1173" t="s">
        <v>13</v>
      </c>
    </row>
    <row r="1174" spans="1:10" x14ac:dyDescent="0.35">
      <c r="A1174" t="s">
        <v>5</v>
      </c>
      <c r="B1174" t="str">
        <f t="shared" si="25"/>
        <v>40251</v>
      </c>
      <c r="C1174" t="str">
        <f>"063"</f>
        <v>063</v>
      </c>
      <c r="D1174">
        <v>2006</v>
      </c>
      <c r="E1174" s="3">
        <v>18288300</v>
      </c>
      <c r="F1174" s="3">
        <v>9417200</v>
      </c>
      <c r="G1174" t="s">
        <v>11</v>
      </c>
      <c r="H1174" s="5" t="s">
        <v>30</v>
      </c>
      <c r="I1174" t="s">
        <v>13</v>
      </c>
      <c r="J1174" t="s">
        <v>13</v>
      </c>
    </row>
    <row r="1175" spans="1:10" x14ac:dyDescent="0.35">
      <c r="A1175" t="s">
        <v>5</v>
      </c>
      <c r="B1175" t="str">
        <f t="shared" si="25"/>
        <v>40251</v>
      </c>
      <c r="C1175" t="str">
        <f>"064"</f>
        <v>064</v>
      </c>
      <c r="D1175">
        <v>2006</v>
      </c>
      <c r="E1175" s="3">
        <v>27745800</v>
      </c>
      <c r="F1175" s="3">
        <v>13387800</v>
      </c>
      <c r="G1175" t="s">
        <v>11</v>
      </c>
      <c r="H1175" s="5" t="s">
        <v>30</v>
      </c>
      <c r="I1175" t="s">
        <v>13</v>
      </c>
      <c r="J1175" t="s">
        <v>13</v>
      </c>
    </row>
    <row r="1176" spans="1:10" x14ac:dyDescent="0.35">
      <c r="A1176" t="s">
        <v>5</v>
      </c>
      <c r="B1176" t="str">
        <f t="shared" si="25"/>
        <v>40251</v>
      </c>
      <c r="C1176" t="str">
        <f>"067"</f>
        <v>067</v>
      </c>
      <c r="D1176">
        <v>2007</v>
      </c>
      <c r="E1176" s="3">
        <v>182213400</v>
      </c>
      <c r="F1176" s="3">
        <v>172946500</v>
      </c>
      <c r="G1176" t="s">
        <v>11</v>
      </c>
      <c r="H1176" s="5" t="s">
        <v>30</v>
      </c>
      <c r="I1176" t="s">
        <v>13</v>
      </c>
      <c r="J1176" t="s">
        <v>13</v>
      </c>
    </row>
    <row r="1177" spans="1:10" x14ac:dyDescent="0.35">
      <c r="A1177" t="s">
        <v>5</v>
      </c>
      <c r="B1177" t="str">
        <f t="shared" si="25"/>
        <v>40251</v>
      </c>
      <c r="C1177" t="str">
        <f>"068"</f>
        <v>068</v>
      </c>
      <c r="D1177">
        <v>2007</v>
      </c>
      <c r="E1177" s="3">
        <v>89740300</v>
      </c>
      <c r="F1177" s="3">
        <v>56933500</v>
      </c>
      <c r="G1177" t="s">
        <v>11</v>
      </c>
      <c r="H1177" s="5" t="s">
        <v>30</v>
      </c>
      <c r="I1177" t="s">
        <v>13</v>
      </c>
      <c r="J1177" t="s">
        <v>13</v>
      </c>
    </row>
    <row r="1178" spans="1:10" x14ac:dyDescent="0.35">
      <c r="A1178" t="s">
        <v>5</v>
      </c>
      <c r="B1178" t="str">
        <f t="shared" si="25"/>
        <v>40251</v>
      </c>
      <c r="C1178" t="str">
        <f>"070"</f>
        <v>070</v>
      </c>
      <c r="D1178">
        <v>2007</v>
      </c>
      <c r="E1178" s="3">
        <v>35092000</v>
      </c>
      <c r="F1178" s="3">
        <v>20187300</v>
      </c>
      <c r="G1178" t="s">
        <v>11</v>
      </c>
      <c r="H1178" s="5" t="s">
        <v>30</v>
      </c>
      <c r="I1178" t="s">
        <v>13</v>
      </c>
      <c r="J1178" t="s">
        <v>13</v>
      </c>
    </row>
    <row r="1179" spans="1:10" x14ac:dyDescent="0.35">
      <c r="A1179" t="s">
        <v>5</v>
      </c>
      <c r="B1179" t="str">
        <f t="shared" si="25"/>
        <v>40251</v>
      </c>
      <c r="C1179" t="str">
        <f>"071"</f>
        <v>071</v>
      </c>
      <c r="D1179">
        <v>2008</v>
      </c>
      <c r="E1179" s="3">
        <v>74223100</v>
      </c>
      <c r="F1179" s="3">
        <v>7471800</v>
      </c>
      <c r="G1179" t="s">
        <v>11</v>
      </c>
      <c r="H1179" s="5" t="s">
        <v>30</v>
      </c>
      <c r="I1179" t="s">
        <v>13</v>
      </c>
      <c r="J1179" t="s">
        <v>13</v>
      </c>
    </row>
    <row r="1180" spans="1:10" x14ac:dyDescent="0.35">
      <c r="A1180" t="s">
        <v>5</v>
      </c>
      <c r="B1180" t="str">
        <f t="shared" si="25"/>
        <v>40251</v>
      </c>
      <c r="C1180" t="str">
        <f>"072"</f>
        <v>072</v>
      </c>
      <c r="D1180">
        <v>2009</v>
      </c>
      <c r="E1180" s="3">
        <v>29188600</v>
      </c>
      <c r="F1180" s="3">
        <v>4713900</v>
      </c>
      <c r="G1180" t="s">
        <v>11</v>
      </c>
      <c r="H1180" s="5" t="s">
        <v>30</v>
      </c>
      <c r="I1180" t="s">
        <v>13</v>
      </c>
      <c r="J1180" t="s">
        <v>13</v>
      </c>
    </row>
    <row r="1181" spans="1:10" x14ac:dyDescent="0.35">
      <c r="A1181" t="s">
        <v>5</v>
      </c>
      <c r="B1181" t="str">
        <f t="shared" si="25"/>
        <v>40251</v>
      </c>
      <c r="C1181" t="str">
        <f>"073"</f>
        <v>073</v>
      </c>
      <c r="D1181">
        <v>2009</v>
      </c>
      <c r="E1181" s="3">
        <v>9020100</v>
      </c>
      <c r="F1181" s="3">
        <v>4417300</v>
      </c>
      <c r="G1181" t="s">
        <v>11</v>
      </c>
      <c r="H1181" s="5" t="s">
        <v>30</v>
      </c>
      <c r="I1181" t="s">
        <v>13</v>
      </c>
      <c r="J1181" t="s">
        <v>13</v>
      </c>
    </row>
    <row r="1182" spans="1:10" x14ac:dyDescent="0.35">
      <c r="A1182" t="s">
        <v>5</v>
      </c>
      <c r="B1182" t="str">
        <f t="shared" si="25"/>
        <v>40251</v>
      </c>
      <c r="C1182" t="str">
        <f>"074"</f>
        <v>074</v>
      </c>
      <c r="D1182">
        <v>2009</v>
      </c>
      <c r="E1182" s="3">
        <v>72656300</v>
      </c>
      <c r="F1182" s="3">
        <v>9321600</v>
      </c>
      <c r="G1182" t="s">
        <v>11</v>
      </c>
      <c r="H1182" s="5" t="s">
        <v>30</v>
      </c>
      <c r="I1182" t="s">
        <v>13</v>
      </c>
      <c r="J1182" t="s">
        <v>13</v>
      </c>
    </row>
    <row r="1183" spans="1:10" x14ac:dyDescent="0.35">
      <c r="A1183" t="s">
        <v>5</v>
      </c>
      <c r="B1183" t="str">
        <f t="shared" si="25"/>
        <v>40251</v>
      </c>
      <c r="C1183" t="str">
        <f>"075"</f>
        <v>075</v>
      </c>
      <c r="D1183">
        <v>2009</v>
      </c>
      <c r="E1183" s="3">
        <v>146874400</v>
      </c>
      <c r="F1183" s="3">
        <v>120403900</v>
      </c>
      <c r="G1183" t="s">
        <v>11</v>
      </c>
      <c r="H1183" s="5" t="s">
        <v>30</v>
      </c>
      <c r="I1183" t="s">
        <v>13</v>
      </c>
      <c r="J1183" t="s">
        <v>13</v>
      </c>
    </row>
    <row r="1184" spans="1:10" x14ac:dyDescent="0.35">
      <c r="A1184" t="s">
        <v>5</v>
      </c>
      <c r="B1184" t="str">
        <f t="shared" si="25"/>
        <v>40251</v>
      </c>
      <c r="C1184" t="str">
        <f>"076"</f>
        <v>076</v>
      </c>
      <c r="D1184">
        <v>2010</v>
      </c>
      <c r="E1184" s="3">
        <v>21493300</v>
      </c>
      <c r="F1184" s="3">
        <v>5380300</v>
      </c>
      <c r="G1184" t="s">
        <v>11</v>
      </c>
      <c r="H1184" s="5" t="s">
        <v>30</v>
      </c>
      <c r="I1184" t="s">
        <v>13</v>
      </c>
      <c r="J1184" t="s">
        <v>13</v>
      </c>
    </row>
    <row r="1185" spans="1:10" x14ac:dyDescent="0.35">
      <c r="A1185" t="s">
        <v>5</v>
      </c>
      <c r="B1185" t="str">
        <f t="shared" si="25"/>
        <v>40251</v>
      </c>
      <c r="C1185" t="str">
        <f>"077"</f>
        <v>077</v>
      </c>
      <c r="D1185">
        <v>2012</v>
      </c>
      <c r="E1185" s="3">
        <v>9329300</v>
      </c>
      <c r="F1185" s="3">
        <v>5961200</v>
      </c>
      <c r="G1185" t="s">
        <v>11</v>
      </c>
      <c r="H1185" s="5" t="s">
        <v>30</v>
      </c>
      <c r="I1185" t="s">
        <v>13</v>
      </c>
      <c r="J1185" t="s">
        <v>13</v>
      </c>
    </row>
    <row r="1186" spans="1:10" x14ac:dyDescent="0.35">
      <c r="A1186" t="s">
        <v>5</v>
      </c>
      <c r="B1186" t="str">
        <f t="shared" si="25"/>
        <v>40251</v>
      </c>
      <c r="C1186" t="str">
        <f>"078"</f>
        <v>078</v>
      </c>
      <c r="D1186">
        <v>2013</v>
      </c>
      <c r="E1186" s="3">
        <v>311978800</v>
      </c>
      <c r="F1186" s="3">
        <v>262390300</v>
      </c>
      <c r="G1186" t="s">
        <v>11</v>
      </c>
      <c r="H1186" s="5" t="s">
        <v>30</v>
      </c>
      <c r="I1186" t="s">
        <v>13</v>
      </c>
      <c r="J1186" t="s">
        <v>13</v>
      </c>
    </row>
    <row r="1187" spans="1:10" x14ac:dyDescent="0.35">
      <c r="A1187" t="s">
        <v>5</v>
      </c>
      <c r="B1187" t="str">
        <f t="shared" si="25"/>
        <v>40251</v>
      </c>
      <c r="C1187" t="str">
        <f>"079"</f>
        <v>079</v>
      </c>
      <c r="D1187">
        <v>2013</v>
      </c>
      <c r="E1187" s="3">
        <v>66023800</v>
      </c>
      <c r="F1187" s="3">
        <v>52305100</v>
      </c>
      <c r="G1187" t="s">
        <v>11</v>
      </c>
      <c r="H1187" s="5" t="s">
        <v>30</v>
      </c>
      <c r="I1187" t="s">
        <v>13</v>
      </c>
      <c r="J1187" t="s">
        <v>13</v>
      </c>
    </row>
    <row r="1188" spans="1:10" x14ac:dyDescent="0.35">
      <c r="A1188" t="s">
        <v>5</v>
      </c>
      <c r="B1188" t="str">
        <f t="shared" si="25"/>
        <v>40251</v>
      </c>
      <c r="C1188" t="str">
        <f>"080"</f>
        <v>080</v>
      </c>
      <c r="D1188">
        <v>2014</v>
      </c>
      <c r="E1188" s="3">
        <v>14159800</v>
      </c>
      <c r="F1188" s="3">
        <v>10659500</v>
      </c>
      <c r="G1188" t="s">
        <v>11</v>
      </c>
      <c r="H1188" s="5" t="s">
        <v>30</v>
      </c>
      <c r="I1188" t="s">
        <v>13</v>
      </c>
      <c r="J1188" t="s">
        <v>13</v>
      </c>
    </row>
    <row r="1189" spans="1:10" x14ac:dyDescent="0.35">
      <c r="A1189" t="s">
        <v>5</v>
      </c>
      <c r="B1189" t="str">
        <f t="shared" si="25"/>
        <v>40251</v>
      </c>
      <c r="C1189" t="str">
        <f>"081"</f>
        <v>081</v>
      </c>
      <c r="D1189">
        <v>2015</v>
      </c>
      <c r="E1189" s="3">
        <v>22022400</v>
      </c>
      <c r="F1189" s="3">
        <v>19333200</v>
      </c>
      <c r="G1189" t="s">
        <v>11</v>
      </c>
      <c r="H1189" s="5" t="s">
        <v>30</v>
      </c>
      <c r="I1189" t="s">
        <v>13</v>
      </c>
      <c r="J1189" t="s">
        <v>13</v>
      </c>
    </row>
    <row r="1190" spans="1:10" x14ac:dyDescent="0.35">
      <c r="A1190" t="s">
        <v>5</v>
      </c>
      <c r="B1190" t="str">
        <f t="shared" si="25"/>
        <v>40251</v>
      </c>
      <c r="C1190" t="str">
        <f>"082"</f>
        <v>082</v>
      </c>
      <c r="D1190">
        <v>2015</v>
      </c>
      <c r="E1190" s="3">
        <v>100017000</v>
      </c>
      <c r="F1190" s="3">
        <v>94542900</v>
      </c>
      <c r="G1190" t="s">
        <v>11</v>
      </c>
      <c r="H1190" s="5" t="s">
        <v>30</v>
      </c>
      <c r="I1190" t="s">
        <v>13</v>
      </c>
      <c r="J1190" t="s">
        <v>13</v>
      </c>
    </row>
    <row r="1191" spans="1:10" x14ac:dyDescent="0.35">
      <c r="A1191" t="s">
        <v>5</v>
      </c>
      <c r="B1191" t="str">
        <f t="shared" ref="B1191:B1215" si="26">"40251"</f>
        <v>40251</v>
      </c>
      <c r="C1191" t="str">
        <f>"083"</f>
        <v>083</v>
      </c>
      <c r="D1191">
        <v>2015</v>
      </c>
      <c r="E1191" s="3">
        <v>60420200</v>
      </c>
      <c r="F1191" s="3">
        <v>54646000</v>
      </c>
      <c r="G1191" t="s">
        <v>11</v>
      </c>
      <c r="H1191" s="5" t="s">
        <v>30</v>
      </c>
      <c r="I1191" t="s">
        <v>13</v>
      </c>
      <c r="J1191" t="s">
        <v>13</v>
      </c>
    </row>
    <row r="1192" spans="1:10" x14ac:dyDescent="0.35">
      <c r="A1192" t="s">
        <v>5</v>
      </c>
      <c r="B1192" t="str">
        <f t="shared" si="26"/>
        <v>40251</v>
      </c>
      <c r="C1192" t="str">
        <f>"084"</f>
        <v>084</v>
      </c>
      <c r="D1192">
        <v>2015</v>
      </c>
      <c r="E1192" s="3">
        <v>165711800</v>
      </c>
      <c r="F1192" s="3">
        <v>105600700</v>
      </c>
      <c r="G1192" t="s">
        <v>11</v>
      </c>
      <c r="H1192" s="5" t="s">
        <v>30</v>
      </c>
      <c r="I1192" t="s">
        <v>13</v>
      </c>
      <c r="J1192" t="s">
        <v>13</v>
      </c>
    </row>
    <row r="1193" spans="1:10" x14ac:dyDescent="0.35">
      <c r="A1193" t="s">
        <v>5</v>
      </c>
      <c r="B1193" t="str">
        <f t="shared" si="26"/>
        <v>40251</v>
      </c>
      <c r="C1193" t="str">
        <f>"085"</f>
        <v>085</v>
      </c>
      <c r="D1193">
        <v>2015</v>
      </c>
      <c r="E1193" s="3">
        <v>56888500</v>
      </c>
      <c r="F1193" s="3">
        <v>24791900</v>
      </c>
      <c r="G1193" t="s">
        <v>11</v>
      </c>
      <c r="H1193" s="5" t="s">
        <v>30</v>
      </c>
      <c r="I1193" t="s">
        <v>13</v>
      </c>
      <c r="J1193" t="s">
        <v>13</v>
      </c>
    </row>
    <row r="1194" spans="1:10" x14ac:dyDescent="0.35">
      <c r="A1194" t="s">
        <v>5</v>
      </c>
      <c r="B1194" t="str">
        <f t="shared" si="26"/>
        <v>40251</v>
      </c>
      <c r="C1194" t="str">
        <f>"086"</f>
        <v>086</v>
      </c>
      <c r="D1194">
        <v>2016</v>
      </c>
      <c r="E1194" s="3">
        <v>4771200</v>
      </c>
      <c r="F1194" s="3">
        <v>1459900</v>
      </c>
      <c r="G1194" t="s">
        <v>11</v>
      </c>
      <c r="H1194" s="5" t="s">
        <v>30</v>
      </c>
      <c r="I1194" t="s">
        <v>13</v>
      </c>
      <c r="J1194" t="s">
        <v>13</v>
      </c>
    </row>
    <row r="1195" spans="1:10" x14ac:dyDescent="0.35">
      <c r="A1195" t="s">
        <v>5</v>
      </c>
      <c r="B1195" t="str">
        <f t="shared" si="26"/>
        <v>40251</v>
      </c>
      <c r="C1195" t="str">
        <f>"087"</f>
        <v>087</v>
      </c>
      <c r="D1195">
        <v>2016</v>
      </c>
      <c r="E1195" s="3">
        <v>3508400</v>
      </c>
      <c r="F1195" s="3">
        <v>3127800</v>
      </c>
      <c r="G1195" t="s">
        <v>11</v>
      </c>
      <c r="H1195" s="5" t="s">
        <v>30</v>
      </c>
      <c r="I1195" t="s">
        <v>13</v>
      </c>
      <c r="J1195" t="s">
        <v>13</v>
      </c>
    </row>
    <row r="1196" spans="1:10" x14ac:dyDescent="0.35">
      <c r="A1196" t="s">
        <v>5</v>
      </c>
      <c r="B1196" t="str">
        <f t="shared" si="26"/>
        <v>40251</v>
      </c>
      <c r="C1196" t="str">
        <f>"088"</f>
        <v>088</v>
      </c>
      <c r="D1196">
        <v>2016</v>
      </c>
      <c r="E1196" s="3">
        <v>4221300</v>
      </c>
      <c r="F1196" s="3">
        <v>13800</v>
      </c>
      <c r="G1196" t="s">
        <v>11</v>
      </c>
      <c r="H1196" s="5" t="s">
        <v>30</v>
      </c>
      <c r="I1196" t="s">
        <v>13</v>
      </c>
      <c r="J1196" t="s">
        <v>13</v>
      </c>
    </row>
    <row r="1197" spans="1:10" x14ac:dyDescent="0.35">
      <c r="A1197" t="s">
        <v>5</v>
      </c>
      <c r="B1197" t="str">
        <f t="shared" si="26"/>
        <v>40251</v>
      </c>
      <c r="C1197" t="str">
        <f>"089"</f>
        <v>089</v>
      </c>
      <c r="D1197">
        <v>2017</v>
      </c>
      <c r="E1197" s="3">
        <v>3014800</v>
      </c>
      <c r="F1197" s="3">
        <v>3014800</v>
      </c>
      <c r="G1197" t="s">
        <v>11</v>
      </c>
      <c r="H1197" s="5" t="s">
        <v>30</v>
      </c>
      <c r="I1197" t="s">
        <v>13</v>
      </c>
      <c r="J1197" t="s">
        <v>13</v>
      </c>
    </row>
    <row r="1198" spans="1:10" x14ac:dyDescent="0.35">
      <c r="A1198" t="s">
        <v>5</v>
      </c>
      <c r="B1198" t="str">
        <f t="shared" si="26"/>
        <v>40251</v>
      </c>
      <c r="C1198" t="str">
        <f>"090"</f>
        <v>090</v>
      </c>
      <c r="D1198">
        <v>2017</v>
      </c>
      <c r="E1198" s="3">
        <v>2233800</v>
      </c>
      <c r="F1198" s="3">
        <v>1957200</v>
      </c>
      <c r="G1198" t="s">
        <v>11</v>
      </c>
      <c r="H1198" s="5" t="s">
        <v>30</v>
      </c>
      <c r="I1198" t="s">
        <v>13</v>
      </c>
      <c r="J1198" t="s">
        <v>13</v>
      </c>
    </row>
    <row r="1199" spans="1:10" x14ac:dyDescent="0.35">
      <c r="A1199" t="s">
        <v>5</v>
      </c>
      <c r="B1199" t="str">
        <f t="shared" si="26"/>
        <v>40251</v>
      </c>
      <c r="C1199" t="str">
        <f>"091"</f>
        <v>091</v>
      </c>
      <c r="D1199">
        <v>2017</v>
      </c>
      <c r="E1199" s="3">
        <v>39628800</v>
      </c>
      <c r="F1199" s="3">
        <v>-23041600</v>
      </c>
      <c r="G1199" t="s">
        <v>52</v>
      </c>
      <c r="H1199" s="5" t="s">
        <v>30</v>
      </c>
      <c r="I1199" t="s">
        <v>13</v>
      </c>
      <c r="J1199" t="s">
        <v>13</v>
      </c>
    </row>
    <row r="1200" spans="1:10" x14ac:dyDescent="0.35">
      <c r="A1200" t="s">
        <v>5</v>
      </c>
      <c r="B1200" t="str">
        <f t="shared" si="26"/>
        <v>40251</v>
      </c>
      <c r="C1200" t="str">
        <f>"092"</f>
        <v>092</v>
      </c>
      <c r="D1200">
        <v>2017</v>
      </c>
      <c r="E1200" s="3">
        <v>12378100</v>
      </c>
      <c r="F1200" s="3">
        <v>11256100</v>
      </c>
      <c r="G1200" t="s">
        <v>11</v>
      </c>
      <c r="H1200" s="5" t="s">
        <v>30</v>
      </c>
      <c r="I1200" t="s">
        <v>13</v>
      </c>
      <c r="J1200" t="s">
        <v>13</v>
      </c>
    </row>
    <row r="1201" spans="1:11" x14ac:dyDescent="0.35">
      <c r="A1201" t="s">
        <v>5</v>
      </c>
      <c r="B1201" t="str">
        <f t="shared" si="26"/>
        <v>40251</v>
      </c>
      <c r="C1201" t="str">
        <f>"093"</f>
        <v>093</v>
      </c>
      <c r="D1201">
        <v>2018</v>
      </c>
      <c r="E1201" s="3">
        <v>2619500</v>
      </c>
      <c r="F1201" s="3">
        <v>1862600</v>
      </c>
      <c r="G1201" t="s">
        <v>11</v>
      </c>
      <c r="H1201" s="5" t="s">
        <v>30</v>
      </c>
      <c r="I1201" t="s">
        <v>13</v>
      </c>
      <c r="J1201" t="s">
        <v>13</v>
      </c>
    </row>
    <row r="1202" spans="1:11" x14ac:dyDescent="0.35">
      <c r="A1202" t="s">
        <v>5</v>
      </c>
      <c r="B1202" t="str">
        <f t="shared" si="26"/>
        <v>40251</v>
      </c>
      <c r="C1202" t="str">
        <f>"094"</f>
        <v>094</v>
      </c>
      <c r="D1202">
        <v>2019</v>
      </c>
      <c r="E1202" s="3">
        <v>152917300</v>
      </c>
      <c r="F1202" s="3">
        <v>147448900</v>
      </c>
      <c r="G1202" t="s">
        <v>11</v>
      </c>
      <c r="H1202" s="5" t="s">
        <v>30</v>
      </c>
      <c r="I1202" t="s">
        <v>13</v>
      </c>
      <c r="J1202" t="s">
        <v>13</v>
      </c>
    </row>
    <row r="1203" spans="1:11" x14ac:dyDescent="0.35">
      <c r="A1203" t="s">
        <v>5</v>
      </c>
      <c r="B1203" t="str">
        <f t="shared" si="26"/>
        <v>40251</v>
      </c>
      <c r="C1203" t="str">
        <f>"095"</f>
        <v>095</v>
      </c>
      <c r="D1203">
        <v>2019</v>
      </c>
      <c r="E1203" s="3">
        <v>1687800</v>
      </c>
      <c r="F1203" s="3">
        <v>1599200</v>
      </c>
      <c r="G1203" t="s">
        <v>11</v>
      </c>
      <c r="H1203" s="5" t="s">
        <v>30</v>
      </c>
      <c r="I1203" t="s">
        <v>13</v>
      </c>
      <c r="J1203" t="s">
        <v>13</v>
      </c>
    </row>
    <row r="1204" spans="1:11" x14ac:dyDescent="0.35">
      <c r="A1204" t="s">
        <v>5</v>
      </c>
      <c r="B1204" t="str">
        <f t="shared" si="26"/>
        <v>40251</v>
      </c>
      <c r="C1204" t="str">
        <f>"096"</f>
        <v>096</v>
      </c>
      <c r="D1204">
        <v>2019</v>
      </c>
      <c r="E1204" s="3">
        <v>197331100</v>
      </c>
      <c r="F1204" s="3">
        <v>193516500</v>
      </c>
      <c r="G1204" t="s">
        <v>11</v>
      </c>
      <c r="H1204" s="5" t="s">
        <v>30</v>
      </c>
      <c r="I1204" t="s">
        <v>13</v>
      </c>
      <c r="J1204" t="s">
        <v>13</v>
      </c>
    </row>
    <row r="1205" spans="1:11" x14ac:dyDescent="0.35">
      <c r="A1205" t="s">
        <v>5</v>
      </c>
      <c r="B1205" t="str">
        <f t="shared" si="26"/>
        <v>40251</v>
      </c>
      <c r="C1205" t="str">
        <f>"097"</f>
        <v>097</v>
      </c>
      <c r="D1205">
        <v>2019</v>
      </c>
      <c r="E1205" s="3">
        <v>68735200</v>
      </c>
      <c r="F1205" s="3">
        <v>31192500</v>
      </c>
      <c r="G1205" t="s">
        <v>11</v>
      </c>
      <c r="H1205" s="5" t="s">
        <v>30</v>
      </c>
      <c r="I1205" t="s">
        <v>13</v>
      </c>
      <c r="J1205" t="s">
        <v>13</v>
      </c>
    </row>
    <row r="1206" spans="1:11" x14ac:dyDescent="0.35">
      <c r="A1206" t="s">
        <v>5</v>
      </c>
      <c r="B1206" t="str">
        <f t="shared" si="26"/>
        <v>40251</v>
      </c>
      <c r="C1206" t="str">
        <f>"098"</f>
        <v>098</v>
      </c>
      <c r="D1206">
        <v>2019</v>
      </c>
      <c r="E1206" s="3">
        <v>1525400</v>
      </c>
      <c r="F1206" s="3">
        <v>41700</v>
      </c>
      <c r="G1206" t="s">
        <v>11</v>
      </c>
      <c r="H1206" s="5" t="s">
        <v>30</v>
      </c>
      <c r="I1206" t="s">
        <v>13</v>
      </c>
      <c r="J1206" t="s">
        <v>13</v>
      </c>
    </row>
    <row r="1207" spans="1:11" x14ac:dyDescent="0.35">
      <c r="A1207" t="s">
        <v>5</v>
      </c>
      <c r="B1207" t="str">
        <f t="shared" si="26"/>
        <v>40251</v>
      </c>
      <c r="C1207" t="str">
        <f>"099"</f>
        <v>099</v>
      </c>
      <c r="D1207">
        <v>2019</v>
      </c>
      <c r="E1207" s="3">
        <v>14285000</v>
      </c>
      <c r="F1207" s="3">
        <v>13891600</v>
      </c>
      <c r="G1207" t="s">
        <v>11</v>
      </c>
      <c r="H1207" s="5" t="s">
        <v>30</v>
      </c>
      <c r="I1207" t="s">
        <v>13</v>
      </c>
      <c r="J1207" t="s">
        <v>13</v>
      </c>
    </row>
    <row r="1208" spans="1:11" x14ac:dyDescent="0.35">
      <c r="A1208" t="s">
        <v>5</v>
      </c>
      <c r="B1208" t="str">
        <f t="shared" si="26"/>
        <v>40251</v>
      </c>
      <c r="C1208" t="str">
        <f>"100"</f>
        <v>100</v>
      </c>
      <c r="D1208">
        <v>2019</v>
      </c>
      <c r="E1208" s="3">
        <v>23404500</v>
      </c>
      <c r="F1208" s="3">
        <v>21336500</v>
      </c>
      <c r="G1208" t="s">
        <v>11</v>
      </c>
      <c r="H1208" s="5" t="s">
        <v>30</v>
      </c>
      <c r="I1208" t="s">
        <v>13</v>
      </c>
      <c r="J1208" t="s">
        <v>13</v>
      </c>
    </row>
    <row r="1209" spans="1:11" x14ac:dyDescent="0.35">
      <c r="A1209" t="s">
        <v>5</v>
      </c>
      <c r="B1209" t="str">
        <f t="shared" si="26"/>
        <v>40251</v>
      </c>
      <c r="C1209" t="str">
        <f>"102"</f>
        <v>102</v>
      </c>
      <c r="D1209">
        <v>2020</v>
      </c>
      <c r="E1209" s="3">
        <v>4241500</v>
      </c>
      <c r="F1209" s="3">
        <v>518100</v>
      </c>
      <c r="G1209" t="s">
        <v>11</v>
      </c>
      <c r="H1209" s="5" t="s">
        <v>30</v>
      </c>
      <c r="I1209" t="s">
        <v>13</v>
      </c>
      <c r="J1209" t="s">
        <v>13</v>
      </c>
    </row>
    <row r="1210" spans="1:11" x14ac:dyDescent="0.35">
      <c r="A1210" t="s">
        <v>5</v>
      </c>
      <c r="B1210" t="str">
        <f t="shared" si="26"/>
        <v>40251</v>
      </c>
      <c r="C1210" t="str">
        <f>"103"</f>
        <v>103</v>
      </c>
      <c r="D1210">
        <v>2020</v>
      </c>
      <c r="E1210" s="3">
        <v>1125000</v>
      </c>
      <c r="F1210" s="3">
        <v>1125000</v>
      </c>
      <c r="G1210" t="s">
        <v>11</v>
      </c>
      <c r="H1210" s="5" t="s">
        <v>30</v>
      </c>
      <c r="I1210" t="s">
        <v>13</v>
      </c>
      <c r="J1210" t="s">
        <v>13</v>
      </c>
    </row>
    <row r="1211" spans="1:11" x14ac:dyDescent="0.35">
      <c r="A1211" t="s">
        <v>5</v>
      </c>
      <c r="B1211" t="str">
        <f t="shared" si="26"/>
        <v>40251</v>
      </c>
      <c r="C1211" t="str">
        <f>"104"</f>
        <v>104</v>
      </c>
      <c r="D1211">
        <v>2020</v>
      </c>
      <c r="E1211" s="3">
        <v>1329500</v>
      </c>
      <c r="F1211" s="3">
        <v>1329500</v>
      </c>
      <c r="G1211" t="s">
        <v>11</v>
      </c>
      <c r="H1211" s="5" t="s">
        <v>30</v>
      </c>
      <c r="I1211" t="s">
        <v>13</v>
      </c>
      <c r="J1211" t="s">
        <v>13</v>
      </c>
    </row>
    <row r="1212" spans="1:11" x14ac:dyDescent="0.35">
      <c r="A1212" t="s">
        <v>5</v>
      </c>
      <c r="B1212" t="str">
        <f t="shared" si="26"/>
        <v>40251</v>
      </c>
      <c r="C1212" t="str">
        <f>"105"</f>
        <v>105</v>
      </c>
      <c r="D1212">
        <v>2020</v>
      </c>
      <c r="E1212" s="3">
        <v>1324900</v>
      </c>
      <c r="F1212" s="3">
        <v>38400</v>
      </c>
      <c r="G1212" t="s">
        <v>11</v>
      </c>
      <c r="H1212" s="5" t="s">
        <v>30</v>
      </c>
      <c r="I1212" t="s">
        <v>13</v>
      </c>
      <c r="J1212" t="s">
        <v>13</v>
      </c>
    </row>
    <row r="1213" spans="1:11" x14ac:dyDescent="0.35">
      <c r="A1213" t="s">
        <v>5</v>
      </c>
      <c r="B1213" t="str">
        <f t="shared" si="26"/>
        <v>40251</v>
      </c>
      <c r="C1213" t="str">
        <f>"106"</f>
        <v>106</v>
      </c>
      <c r="D1213">
        <v>2020</v>
      </c>
      <c r="E1213" s="3">
        <v>62800</v>
      </c>
      <c r="F1213" s="3">
        <v>62800</v>
      </c>
      <c r="G1213" t="s">
        <v>11</v>
      </c>
      <c r="H1213" s="5" t="s">
        <v>30</v>
      </c>
      <c r="I1213" t="s">
        <v>13</v>
      </c>
      <c r="J1213" t="s">
        <v>13</v>
      </c>
    </row>
    <row r="1214" spans="1:11" x14ac:dyDescent="0.35">
      <c r="A1214" t="s">
        <v>5</v>
      </c>
      <c r="B1214" t="str">
        <f t="shared" si="26"/>
        <v>40251</v>
      </c>
      <c r="C1214" t="str">
        <f>"107"</f>
        <v>107</v>
      </c>
      <c r="D1214">
        <v>2021</v>
      </c>
      <c r="E1214" s="3">
        <v>4010600</v>
      </c>
      <c r="F1214" s="3">
        <v>4010600</v>
      </c>
      <c r="G1214" t="s">
        <v>11</v>
      </c>
      <c r="H1214" s="5" t="s">
        <v>30</v>
      </c>
      <c r="I1214" t="s">
        <v>13</v>
      </c>
      <c r="J1214" t="s">
        <v>13</v>
      </c>
    </row>
    <row r="1215" spans="1:11" x14ac:dyDescent="0.35">
      <c r="A1215" t="s">
        <v>5</v>
      </c>
      <c r="B1215" t="str">
        <f t="shared" si="26"/>
        <v>40251</v>
      </c>
      <c r="C1215" t="str">
        <f>"108"</f>
        <v>108</v>
      </c>
      <c r="D1215">
        <v>2021</v>
      </c>
      <c r="E1215" s="3">
        <v>28358600</v>
      </c>
      <c r="F1215" s="3">
        <v>23942100</v>
      </c>
      <c r="G1215" t="s">
        <v>11</v>
      </c>
      <c r="H1215" s="5" t="s">
        <v>30</v>
      </c>
      <c r="I1215" t="s">
        <v>13</v>
      </c>
      <c r="J1215" t="s">
        <v>13</v>
      </c>
    </row>
    <row r="1216" spans="1:11" x14ac:dyDescent="0.35">
      <c r="A1216" t="s">
        <v>31</v>
      </c>
      <c r="B1216" t="s">
        <v>13</v>
      </c>
      <c r="C1216" t="s">
        <v>7</v>
      </c>
      <c r="D1216" t="s">
        <v>8</v>
      </c>
      <c r="E1216" s="3">
        <v>3323235700</v>
      </c>
      <c r="F1216" s="3">
        <v>2513060800</v>
      </c>
      <c r="G1216" t="s">
        <v>11</v>
      </c>
      <c r="H1216" s="5">
        <v>39448239000</v>
      </c>
      <c r="I1216" t="s">
        <v>13</v>
      </c>
      <c r="J1216" t="s">
        <v>13</v>
      </c>
      <c r="K1216">
        <v>6.37</v>
      </c>
    </row>
    <row r="1218" spans="1:11" x14ac:dyDescent="0.35">
      <c r="A1218" t="s">
        <v>260</v>
      </c>
      <c r="B1218" t="str">
        <f>"65151"</f>
        <v>65151</v>
      </c>
      <c r="C1218" t="str">
        <f>"003"</f>
        <v>003</v>
      </c>
      <c r="D1218">
        <v>2010</v>
      </c>
      <c r="E1218" s="3">
        <v>768400</v>
      </c>
      <c r="F1218" s="3">
        <v>683500</v>
      </c>
      <c r="G1218" t="s">
        <v>11</v>
      </c>
      <c r="H1218" s="5" t="s">
        <v>30</v>
      </c>
      <c r="I1218" t="s">
        <v>13</v>
      </c>
      <c r="J1218" t="s">
        <v>13</v>
      </c>
    </row>
    <row r="1219" spans="1:11" x14ac:dyDescent="0.35">
      <c r="A1219" t="s">
        <v>5</v>
      </c>
      <c r="B1219" t="str">
        <f>"65151"</f>
        <v>65151</v>
      </c>
      <c r="C1219" t="str">
        <f>"004"</f>
        <v>004</v>
      </c>
      <c r="D1219">
        <v>2019</v>
      </c>
      <c r="E1219" s="3">
        <v>1892300</v>
      </c>
      <c r="F1219" s="3">
        <v>947900</v>
      </c>
      <c r="G1219" t="s">
        <v>11</v>
      </c>
      <c r="H1219" s="5" t="s">
        <v>30</v>
      </c>
      <c r="I1219" t="s">
        <v>13</v>
      </c>
      <c r="J1219" t="s">
        <v>13</v>
      </c>
    </row>
    <row r="1220" spans="1:11" x14ac:dyDescent="0.35">
      <c r="A1220" t="s">
        <v>31</v>
      </c>
      <c r="B1220" t="s">
        <v>13</v>
      </c>
      <c r="C1220" t="s">
        <v>7</v>
      </c>
      <c r="D1220" t="s">
        <v>8</v>
      </c>
      <c r="E1220" s="3">
        <v>2660700</v>
      </c>
      <c r="F1220" s="3">
        <v>1631400</v>
      </c>
      <c r="G1220" t="s">
        <v>11</v>
      </c>
      <c r="H1220" s="5">
        <v>49923600</v>
      </c>
      <c r="I1220" t="s">
        <v>13</v>
      </c>
      <c r="J1220" t="s">
        <v>13</v>
      </c>
      <c r="K1220">
        <v>3.27</v>
      </c>
    </row>
    <row r="1222" spans="1:11" x14ac:dyDescent="0.35">
      <c r="A1222" t="s">
        <v>261</v>
      </c>
      <c r="B1222" t="str">
        <f>"06251"</f>
        <v>06251</v>
      </c>
      <c r="C1222" t="str">
        <f>"001"</f>
        <v>001</v>
      </c>
      <c r="D1222">
        <v>1989</v>
      </c>
      <c r="E1222" s="3">
        <v>16305100</v>
      </c>
      <c r="F1222" s="3">
        <v>16188800</v>
      </c>
      <c r="G1222" t="s">
        <v>11</v>
      </c>
      <c r="H1222" s="5" t="s">
        <v>30</v>
      </c>
      <c r="I1222" t="s">
        <v>13</v>
      </c>
      <c r="J1222" t="s">
        <v>13</v>
      </c>
    </row>
    <row r="1223" spans="1:11" x14ac:dyDescent="0.35">
      <c r="A1223" t="s">
        <v>5</v>
      </c>
      <c r="B1223" t="str">
        <f>"06251"</f>
        <v>06251</v>
      </c>
      <c r="C1223" t="str">
        <f>"002"</f>
        <v>002</v>
      </c>
      <c r="D1223">
        <v>2005</v>
      </c>
      <c r="E1223" s="3">
        <v>13162600</v>
      </c>
      <c r="F1223" s="3">
        <v>13142700</v>
      </c>
      <c r="G1223" t="s">
        <v>11</v>
      </c>
      <c r="H1223" s="5" t="s">
        <v>30</v>
      </c>
      <c r="I1223" t="s">
        <v>13</v>
      </c>
      <c r="J1223" t="s">
        <v>13</v>
      </c>
    </row>
    <row r="1224" spans="1:11" x14ac:dyDescent="0.35">
      <c r="A1224" t="s">
        <v>31</v>
      </c>
      <c r="B1224" t="s">
        <v>13</v>
      </c>
      <c r="C1224" t="s">
        <v>7</v>
      </c>
      <c r="D1224" t="s">
        <v>8</v>
      </c>
      <c r="E1224" s="3">
        <v>29467700</v>
      </c>
      <c r="F1224" s="3">
        <v>29331500</v>
      </c>
      <c r="G1224" t="s">
        <v>11</v>
      </c>
      <c r="H1224" s="5">
        <v>204790000</v>
      </c>
      <c r="I1224" t="s">
        <v>13</v>
      </c>
      <c r="J1224" t="s">
        <v>13</v>
      </c>
      <c r="K1224">
        <v>14.32</v>
      </c>
    </row>
    <row r="1226" spans="1:11" x14ac:dyDescent="0.35">
      <c r="A1226" t="s">
        <v>262</v>
      </c>
      <c r="B1226" t="str">
        <f t="shared" ref="B1226:B1231" si="27">"13258"</f>
        <v>13258</v>
      </c>
      <c r="C1226" t="str">
        <f>"004"</f>
        <v>004</v>
      </c>
      <c r="D1226">
        <v>2000</v>
      </c>
      <c r="E1226" s="3">
        <v>66070400</v>
      </c>
      <c r="F1226" s="3">
        <v>36127900</v>
      </c>
      <c r="G1226" t="s">
        <v>11</v>
      </c>
      <c r="H1226" s="5" t="s">
        <v>30</v>
      </c>
      <c r="I1226" t="s">
        <v>13</v>
      </c>
      <c r="J1226" t="s">
        <v>13</v>
      </c>
    </row>
    <row r="1227" spans="1:11" x14ac:dyDescent="0.35">
      <c r="A1227" t="s">
        <v>5</v>
      </c>
      <c r="B1227" t="str">
        <f t="shared" si="27"/>
        <v>13258</v>
      </c>
      <c r="C1227" t="str">
        <f>"005"</f>
        <v>005</v>
      </c>
      <c r="D1227">
        <v>2008</v>
      </c>
      <c r="E1227" s="3">
        <v>26416300</v>
      </c>
      <c r="F1227" s="3">
        <v>22016400</v>
      </c>
      <c r="G1227" t="s">
        <v>11</v>
      </c>
      <c r="H1227" s="5" t="s">
        <v>30</v>
      </c>
      <c r="I1227" t="s">
        <v>13</v>
      </c>
      <c r="J1227" t="s">
        <v>13</v>
      </c>
    </row>
    <row r="1228" spans="1:11" x14ac:dyDescent="0.35">
      <c r="A1228" t="s">
        <v>5</v>
      </c>
      <c r="B1228" t="str">
        <f t="shared" si="27"/>
        <v>13258</v>
      </c>
      <c r="C1228" t="str">
        <f>"006"</f>
        <v>006</v>
      </c>
      <c r="D1228">
        <v>2010</v>
      </c>
      <c r="E1228" s="3">
        <v>46328800</v>
      </c>
      <c r="F1228" s="3">
        <v>28635800</v>
      </c>
      <c r="G1228" t="s">
        <v>11</v>
      </c>
      <c r="H1228" s="5" t="s">
        <v>30</v>
      </c>
      <c r="I1228" t="s">
        <v>13</v>
      </c>
      <c r="J1228" t="s">
        <v>13</v>
      </c>
    </row>
    <row r="1229" spans="1:11" x14ac:dyDescent="0.35">
      <c r="A1229" t="s">
        <v>5</v>
      </c>
      <c r="B1229" t="str">
        <f t="shared" si="27"/>
        <v>13258</v>
      </c>
      <c r="C1229" t="str">
        <f>"007"</f>
        <v>007</v>
      </c>
      <c r="D1229">
        <v>2012</v>
      </c>
      <c r="E1229" s="3">
        <v>19256900</v>
      </c>
      <c r="F1229" s="3">
        <v>11009400</v>
      </c>
      <c r="G1229" t="s">
        <v>11</v>
      </c>
      <c r="H1229" s="5" t="s">
        <v>30</v>
      </c>
      <c r="I1229" t="s">
        <v>13</v>
      </c>
      <c r="J1229" t="s">
        <v>13</v>
      </c>
    </row>
    <row r="1230" spans="1:11" x14ac:dyDescent="0.35">
      <c r="A1230" t="s">
        <v>5</v>
      </c>
      <c r="B1230" t="str">
        <f t="shared" si="27"/>
        <v>13258</v>
      </c>
      <c r="C1230" t="str">
        <f>"008"</f>
        <v>008</v>
      </c>
      <c r="D1230">
        <v>2012</v>
      </c>
      <c r="E1230" s="3">
        <v>28586000</v>
      </c>
      <c r="F1230" s="3">
        <v>28170000</v>
      </c>
      <c r="G1230" t="s">
        <v>11</v>
      </c>
      <c r="H1230" s="5" t="s">
        <v>30</v>
      </c>
      <c r="I1230" t="s">
        <v>13</v>
      </c>
      <c r="J1230" t="s">
        <v>13</v>
      </c>
    </row>
    <row r="1231" spans="1:11" x14ac:dyDescent="0.35">
      <c r="A1231" t="s">
        <v>5</v>
      </c>
      <c r="B1231" t="str">
        <f t="shared" si="27"/>
        <v>13258</v>
      </c>
      <c r="C1231" t="str">
        <f>"009"</f>
        <v>009</v>
      </c>
      <c r="D1231">
        <v>2015</v>
      </c>
      <c r="E1231" s="3">
        <v>66308100</v>
      </c>
      <c r="F1231" s="3">
        <v>59062000</v>
      </c>
      <c r="G1231" t="s">
        <v>11</v>
      </c>
      <c r="H1231" s="5" t="s">
        <v>30</v>
      </c>
      <c r="I1231" t="s">
        <v>13</v>
      </c>
      <c r="J1231" t="s">
        <v>13</v>
      </c>
    </row>
    <row r="1232" spans="1:11" x14ac:dyDescent="0.35">
      <c r="A1232" t="s">
        <v>31</v>
      </c>
      <c r="B1232" t="s">
        <v>13</v>
      </c>
      <c r="C1232" t="s">
        <v>7</v>
      </c>
      <c r="D1232" t="s">
        <v>8</v>
      </c>
      <c r="E1232" s="3">
        <v>252966500</v>
      </c>
      <c r="F1232" s="3">
        <v>185021500</v>
      </c>
      <c r="G1232" t="s">
        <v>11</v>
      </c>
      <c r="H1232" s="5">
        <v>1735426500</v>
      </c>
      <c r="I1232" t="s">
        <v>13</v>
      </c>
      <c r="J1232" t="s">
        <v>13</v>
      </c>
      <c r="K1232">
        <v>10.66</v>
      </c>
    </row>
    <row r="1234" spans="1:11" x14ac:dyDescent="0.35">
      <c r="A1234" t="s">
        <v>263</v>
      </c>
      <c r="B1234" t="str">
        <f>"23251"</f>
        <v>23251</v>
      </c>
      <c r="C1234" t="str">
        <f>"007"</f>
        <v>007</v>
      </c>
      <c r="D1234">
        <v>2005</v>
      </c>
      <c r="E1234" s="3">
        <v>55081600</v>
      </c>
      <c r="F1234" s="3">
        <v>22731800</v>
      </c>
      <c r="G1234" t="s">
        <v>11</v>
      </c>
      <c r="H1234" s="5" t="s">
        <v>30</v>
      </c>
      <c r="I1234" t="s">
        <v>13</v>
      </c>
      <c r="J1234" t="s">
        <v>13</v>
      </c>
    </row>
    <row r="1235" spans="1:11" x14ac:dyDescent="0.35">
      <c r="A1235" t="s">
        <v>5</v>
      </c>
      <c r="B1235" t="str">
        <f>"23251"</f>
        <v>23251</v>
      </c>
      <c r="C1235" t="str">
        <f>"008"</f>
        <v>008</v>
      </c>
      <c r="D1235">
        <v>2007</v>
      </c>
      <c r="E1235" s="3">
        <v>5810500</v>
      </c>
      <c r="F1235" s="3">
        <v>3477800</v>
      </c>
      <c r="G1235" t="s">
        <v>11</v>
      </c>
      <c r="H1235" s="5" t="s">
        <v>30</v>
      </c>
      <c r="I1235" t="s">
        <v>13</v>
      </c>
      <c r="J1235" t="s">
        <v>13</v>
      </c>
    </row>
    <row r="1236" spans="1:11" x14ac:dyDescent="0.35">
      <c r="A1236" t="s">
        <v>5</v>
      </c>
      <c r="B1236" t="str">
        <f>"23251"</f>
        <v>23251</v>
      </c>
      <c r="C1236" t="str">
        <f>"009"</f>
        <v>009</v>
      </c>
      <c r="D1236">
        <v>2018</v>
      </c>
      <c r="E1236" s="3">
        <v>24880900</v>
      </c>
      <c r="F1236" s="3">
        <v>3866400</v>
      </c>
      <c r="G1236" t="s">
        <v>11</v>
      </c>
      <c r="H1236" s="5" t="s">
        <v>30</v>
      </c>
      <c r="I1236" t="s">
        <v>13</v>
      </c>
      <c r="J1236" t="s">
        <v>13</v>
      </c>
    </row>
    <row r="1237" spans="1:11" x14ac:dyDescent="0.35">
      <c r="A1237" t="s">
        <v>5</v>
      </c>
      <c r="B1237" t="str">
        <f>"23251"</f>
        <v>23251</v>
      </c>
      <c r="C1237" t="str">
        <f>"010"</f>
        <v>010</v>
      </c>
      <c r="D1237">
        <v>2017</v>
      </c>
      <c r="E1237" s="3">
        <v>21513800</v>
      </c>
      <c r="F1237" s="3">
        <v>4064600</v>
      </c>
      <c r="G1237" t="s">
        <v>11</v>
      </c>
      <c r="H1237" s="5" t="s">
        <v>30</v>
      </c>
      <c r="I1237" t="s">
        <v>13</v>
      </c>
      <c r="J1237" t="s">
        <v>13</v>
      </c>
    </row>
    <row r="1238" spans="1:11" x14ac:dyDescent="0.35">
      <c r="A1238" t="s">
        <v>5</v>
      </c>
      <c r="B1238" t="str">
        <f>"23251"</f>
        <v>23251</v>
      </c>
      <c r="C1238" t="str">
        <f>"011"</f>
        <v>011</v>
      </c>
      <c r="D1238">
        <v>2021</v>
      </c>
      <c r="E1238" s="3">
        <v>26376200</v>
      </c>
      <c r="F1238" s="3">
        <v>1841800</v>
      </c>
      <c r="G1238" t="s">
        <v>11</v>
      </c>
      <c r="H1238" s="5" t="s">
        <v>30</v>
      </c>
      <c r="I1238" t="s">
        <v>13</v>
      </c>
      <c r="J1238" t="s">
        <v>13</v>
      </c>
    </row>
    <row r="1239" spans="1:11" x14ac:dyDescent="0.35">
      <c r="A1239" t="s">
        <v>31</v>
      </c>
      <c r="B1239" t="s">
        <v>13</v>
      </c>
      <c r="C1239" t="s">
        <v>7</v>
      </c>
      <c r="D1239" t="s">
        <v>8</v>
      </c>
      <c r="E1239" s="3">
        <v>133663000</v>
      </c>
      <c r="F1239" s="3">
        <v>35982400</v>
      </c>
      <c r="G1239" t="s">
        <v>11</v>
      </c>
      <c r="H1239" s="5">
        <v>1022070500</v>
      </c>
      <c r="I1239" t="s">
        <v>13</v>
      </c>
      <c r="J1239" t="s">
        <v>13</v>
      </c>
      <c r="K1239">
        <v>3.52</v>
      </c>
    </row>
    <row r="1241" spans="1:11" x14ac:dyDescent="0.35">
      <c r="A1241" t="s">
        <v>264</v>
      </c>
      <c r="B1241" t="str">
        <f>"22151"</f>
        <v>22151</v>
      </c>
      <c r="C1241" t="str">
        <f>"001"</f>
        <v>001</v>
      </c>
      <c r="D1241">
        <v>2014</v>
      </c>
      <c r="E1241" s="3">
        <v>3856900</v>
      </c>
      <c r="F1241" s="3">
        <v>1888200</v>
      </c>
      <c r="G1241" t="s">
        <v>11</v>
      </c>
      <c r="H1241" s="5" t="s">
        <v>30</v>
      </c>
      <c r="I1241" t="s">
        <v>13</v>
      </c>
      <c r="J1241" t="s">
        <v>13</v>
      </c>
    </row>
    <row r="1242" spans="1:11" x14ac:dyDescent="0.35">
      <c r="A1242" t="s">
        <v>31</v>
      </c>
      <c r="B1242" t="s">
        <v>13</v>
      </c>
      <c r="C1242" t="s">
        <v>7</v>
      </c>
      <c r="D1242" t="s">
        <v>8</v>
      </c>
      <c r="E1242" s="3">
        <v>3856900</v>
      </c>
      <c r="F1242" s="3">
        <v>1888200</v>
      </c>
      <c r="G1242" t="s">
        <v>11</v>
      </c>
      <c r="H1242" s="5">
        <v>49653700</v>
      </c>
      <c r="I1242" t="s">
        <v>13</v>
      </c>
      <c r="J1242" t="s">
        <v>13</v>
      </c>
      <c r="K1242">
        <v>3.8</v>
      </c>
    </row>
    <row r="1244" spans="1:11" x14ac:dyDescent="0.35">
      <c r="A1244" t="s">
        <v>265</v>
      </c>
      <c r="B1244" t="str">
        <f>"37251"</f>
        <v>37251</v>
      </c>
      <c r="C1244" t="str">
        <f>"002"</f>
        <v>002</v>
      </c>
      <c r="D1244">
        <v>2006</v>
      </c>
      <c r="E1244" s="3">
        <v>34074800</v>
      </c>
      <c r="F1244" s="3">
        <v>21144100</v>
      </c>
      <c r="G1244" t="s">
        <v>11</v>
      </c>
      <c r="H1244" s="5" t="s">
        <v>30</v>
      </c>
      <c r="I1244" t="s">
        <v>13</v>
      </c>
      <c r="J1244" t="s">
        <v>13</v>
      </c>
    </row>
    <row r="1245" spans="1:11" x14ac:dyDescent="0.35">
      <c r="A1245" t="s">
        <v>5</v>
      </c>
      <c r="B1245" t="str">
        <f>"37251"</f>
        <v>37251</v>
      </c>
      <c r="C1245" t="str">
        <f>"003"</f>
        <v>003</v>
      </c>
      <c r="D1245">
        <v>2013</v>
      </c>
      <c r="E1245" s="3">
        <v>13760300</v>
      </c>
      <c r="F1245" s="3">
        <v>5531400</v>
      </c>
      <c r="G1245" t="s">
        <v>11</v>
      </c>
      <c r="H1245" s="5" t="s">
        <v>30</v>
      </c>
      <c r="I1245" t="s">
        <v>13</v>
      </c>
      <c r="J1245" t="s">
        <v>13</v>
      </c>
    </row>
    <row r="1246" spans="1:11" x14ac:dyDescent="0.35">
      <c r="A1246" t="s">
        <v>31</v>
      </c>
      <c r="B1246" t="s">
        <v>13</v>
      </c>
      <c r="C1246" t="s">
        <v>7</v>
      </c>
      <c r="D1246" t="s">
        <v>8</v>
      </c>
      <c r="E1246" s="3">
        <v>47835100</v>
      </c>
      <c r="F1246" s="3">
        <v>26675500</v>
      </c>
      <c r="G1246" t="s">
        <v>11</v>
      </c>
      <c r="H1246" s="5">
        <v>414010800</v>
      </c>
      <c r="I1246" t="s">
        <v>13</v>
      </c>
      <c r="J1246" t="s">
        <v>13</v>
      </c>
      <c r="K1246">
        <v>6.44</v>
      </c>
    </row>
    <row r="1248" spans="1:11" x14ac:dyDescent="0.35">
      <c r="A1248" t="s">
        <v>266</v>
      </c>
      <c r="B1248" t="str">
        <f>"13157"</f>
        <v>13157</v>
      </c>
      <c r="C1248" t="str">
        <f>"003"</f>
        <v>003</v>
      </c>
      <c r="D1248">
        <v>2004</v>
      </c>
      <c r="E1248" s="3">
        <v>50104200</v>
      </c>
      <c r="F1248" s="3">
        <v>47515900</v>
      </c>
      <c r="G1248" t="s">
        <v>11</v>
      </c>
      <c r="H1248" s="5" t="s">
        <v>30</v>
      </c>
      <c r="I1248" t="s">
        <v>13</v>
      </c>
      <c r="J1248" t="s">
        <v>13</v>
      </c>
    </row>
    <row r="1249" spans="1:11" x14ac:dyDescent="0.35">
      <c r="A1249" t="s">
        <v>5</v>
      </c>
      <c r="B1249" t="str">
        <f>"13157"</f>
        <v>13157</v>
      </c>
      <c r="C1249" t="str">
        <f>"005"</f>
        <v>005</v>
      </c>
      <c r="D1249">
        <v>2016</v>
      </c>
      <c r="E1249" s="3">
        <v>69608000</v>
      </c>
      <c r="F1249" s="3">
        <v>44258000</v>
      </c>
      <c r="G1249" t="s">
        <v>11</v>
      </c>
      <c r="H1249" s="5" t="s">
        <v>30</v>
      </c>
      <c r="I1249" t="s">
        <v>13</v>
      </c>
      <c r="J1249" t="s">
        <v>13</v>
      </c>
    </row>
    <row r="1250" spans="1:11" x14ac:dyDescent="0.35">
      <c r="A1250" t="s">
        <v>31</v>
      </c>
      <c r="B1250" t="s">
        <v>13</v>
      </c>
      <c r="C1250" t="s">
        <v>7</v>
      </c>
      <c r="D1250" t="s">
        <v>8</v>
      </c>
      <c r="E1250" s="3">
        <v>119712200</v>
      </c>
      <c r="F1250" s="3">
        <v>91773900</v>
      </c>
      <c r="G1250" t="s">
        <v>11</v>
      </c>
      <c r="H1250" s="5">
        <v>1021582400</v>
      </c>
      <c r="I1250" t="s">
        <v>13</v>
      </c>
      <c r="J1250" t="s">
        <v>13</v>
      </c>
      <c r="K1250">
        <v>8.98</v>
      </c>
    </row>
    <row r="1252" spans="1:11" x14ac:dyDescent="0.35">
      <c r="A1252" t="s">
        <v>267</v>
      </c>
      <c r="B1252" t="str">
        <f t="shared" ref="B1252:B1257" si="28">"51151"</f>
        <v>51151</v>
      </c>
      <c r="C1252" t="str">
        <f>"001"</f>
        <v>001</v>
      </c>
      <c r="D1252">
        <v>2006</v>
      </c>
      <c r="E1252" s="3">
        <v>120343300</v>
      </c>
      <c r="F1252" s="3">
        <v>116041400</v>
      </c>
      <c r="G1252" t="s">
        <v>11</v>
      </c>
      <c r="H1252" s="5" t="s">
        <v>30</v>
      </c>
      <c r="I1252" t="s">
        <v>13</v>
      </c>
      <c r="J1252" t="s">
        <v>13</v>
      </c>
    </row>
    <row r="1253" spans="1:11" x14ac:dyDescent="0.35">
      <c r="A1253" t="s">
        <v>5</v>
      </c>
      <c r="B1253" t="str">
        <f t="shared" si="28"/>
        <v>51151</v>
      </c>
      <c r="C1253" t="str">
        <f>"002"</f>
        <v>002</v>
      </c>
      <c r="D1253">
        <v>2007</v>
      </c>
      <c r="E1253" s="3">
        <v>248818200</v>
      </c>
      <c r="F1253" s="3">
        <v>145415500</v>
      </c>
      <c r="G1253" t="s">
        <v>11</v>
      </c>
      <c r="H1253" s="5" t="s">
        <v>30</v>
      </c>
      <c r="I1253" t="s">
        <v>13</v>
      </c>
      <c r="J1253" t="s">
        <v>13</v>
      </c>
    </row>
    <row r="1254" spans="1:11" x14ac:dyDescent="0.35">
      <c r="A1254" t="s">
        <v>5</v>
      </c>
      <c r="B1254" t="str">
        <f t="shared" si="28"/>
        <v>51151</v>
      </c>
      <c r="C1254" t="str">
        <f>"003"</f>
        <v>003</v>
      </c>
      <c r="D1254">
        <v>2014</v>
      </c>
      <c r="E1254" s="3">
        <v>38297400</v>
      </c>
      <c r="F1254" s="3">
        <v>34161200</v>
      </c>
      <c r="G1254" t="s">
        <v>11</v>
      </c>
      <c r="H1254" s="5" t="s">
        <v>30</v>
      </c>
      <c r="I1254" t="s">
        <v>13</v>
      </c>
      <c r="J1254" t="s">
        <v>13</v>
      </c>
    </row>
    <row r="1255" spans="1:11" x14ac:dyDescent="0.35">
      <c r="A1255" t="s">
        <v>5</v>
      </c>
      <c r="B1255" t="str">
        <f t="shared" si="28"/>
        <v>51151</v>
      </c>
      <c r="C1255" t="str">
        <f>"004"</f>
        <v>004</v>
      </c>
      <c r="D1255">
        <v>2015</v>
      </c>
      <c r="E1255" s="3">
        <v>62872300</v>
      </c>
      <c r="F1255" s="3">
        <v>59284600</v>
      </c>
      <c r="G1255" t="s">
        <v>11</v>
      </c>
      <c r="H1255" s="5" t="s">
        <v>30</v>
      </c>
      <c r="I1255" t="s">
        <v>13</v>
      </c>
      <c r="J1255" t="s">
        <v>13</v>
      </c>
    </row>
    <row r="1256" spans="1:11" x14ac:dyDescent="0.35">
      <c r="A1256" t="s">
        <v>5</v>
      </c>
      <c r="B1256" t="str">
        <f t="shared" si="28"/>
        <v>51151</v>
      </c>
      <c r="C1256" t="str">
        <f>"005"</f>
        <v>005</v>
      </c>
      <c r="D1256">
        <v>2018</v>
      </c>
      <c r="E1256" s="3">
        <v>558684300</v>
      </c>
      <c r="F1256" s="3">
        <v>528452800</v>
      </c>
      <c r="G1256" t="s">
        <v>11</v>
      </c>
      <c r="H1256" s="5" t="s">
        <v>30</v>
      </c>
      <c r="I1256" t="s">
        <v>13</v>
      </c>
      <c r="J1256" t="s">
        <v>13</v>
      </c>
    </row>
    <row r="1257" spans="1:11" x14ac:dyDescent="0.35">
      <c r="A1257" t="s">
        <v>5</v>
      </c>
      <c r="B1257" t="str">
        <f t="shared" si="28"/>
        <v>51151</v>
      </c>
      <c r="C1257" t="str">
        <f>"006"</f>
        <v>006</v>
      </c>
      <c r="D1257">
        <v>2021</v>
      </c>
      <c r="E1257" s="3">
        <v>4352400</v>
      </c>
      <c r="F1257" s="3">
        <v>4238900</v>
      </c>
      <c r="G1257" t="s">
        <v>11</v>
      </c>
      <c r="H1257" s="5" t="s">
        <v>30</v>
      </c>
      <c r="I1257" t="s">
        <v>13</v>
      </c>
      <c r="J1257" t="s">
        <v>13</v>
      </c>
    </row>
    <row r="1258" spans="1:11" x14ac:dyDescent="0.35">
      <c r="A1258" t="s">
        <v>31</v>
      </c>
      <c r="B1258" t="s">
        <v>13</v>
      </c>
      <c r="C1258" t="s">
        <v>7</v>
      </c>
      <c r="D1258" t="s">
        <v>8</v>
      </c>
      <c r="E1258" s="3">
        <v>1033367900</v>
      </c>
      <c r="F1258" s="3">
        <v>887594400</v>
      </c>
      <c r="G1258" t="s">
        <v>11</v>
      </c>
      <c r="H1258" s="5">
        <v>4772311900</v>
      </c>
      <c r="I1258" t="s">
        <v>13</v>
      </c>
      <c r="J1258" t="s">
        <v>13</v>
      </c>
      <c r="K1258">
        <v>18.600000000000001</v>
      </c>
    </row>
    <row r="1260" spans="1:11" x14ac:dyDescent="0.35">
      <c r="A1260" t="s">
        <v>268</v>
      </c>
      <c r="B1260" t="str">
        <f>"67153"</f>
        <v>67153</v>
      </c>
      <c r="C1260" t="str">
        <f>"003"</f>
        <v>003</v>
      </c>
      <c r="D1260">
        <v>2003</v>
      </c>
      <c r="E1260" s="3">
        <v>62671900</v>
      </c>
      <c r="F1260" s="3">
        <v>60282400</v>
      </c>
      <c r="G1260" t="s">
        <v>11</v>
      </c>
      <c r="H1260" s="5" t="s">
        <v>30</v>
      </c>
      <c r="I1260" t="s">
        <v>13</v>
      </c>
      <c r="J1260" t="s">
        <v>13</v>
      </c>
    </row>
    <row r="1261" spans="1:11" x14ac:dyDescent="0.35">
      <c r="A1261" t="s">
        <v>5</v>
      </c>
      <c r="B1261" t="str">
        <f>"67153"</f>
        <v>67153</v>
      </c>
      <c r="C1261" t="str">
        <f>"004"</f>
        <v>004</v>
      </c>
      <c r="D1261">
        <v>2017</v>
      </c>
      <c r="E1261" s="3">
        <v>30780500</v>
      </c>
      <c r="F1261" s="3">
        <v>24412500</v>
      </c>
      <c r="G1261" t="s">
        <v>11</v>
      </c>
      <c r="H1261" s="5" t="s">
        <v>30</v>
      </c>
      <c r="I1261" t="s">
        <v>13</v>
      </c>
      <c r="J1261" t="s">
        <v>13</v>
      </c>
    </row>
    <row r="1262" spans="1:11" x14ac:dyDescent="0.35">
      <c r="A1262" t="s">
        <v>5</v>
      </c>
      <c r="B1262" t="str">
        <f>"64153"</f>
        <v>64153</v>
      </c>
      <c r="C1262" t="str">
        <f>"005"</f>
        <v>005</v>
      </c>
      <c r="D1262">
        <v>2018</v>
      </c>
      <c r="E1262" s="3">
        <v>54411200</v>
      </c>
      <c r="F1262" s="3">
        <v>54096000</v>
      </c>
      <c r="G1262" t="s">
        <v>11</v>
      </c>
      <c r="H1262" s="5" t="s">
        <v>30</v>
      </c>
      <c r="I1262" t="s">
        <v>13</v>
      </c>
      <c r="J1262" t="s">
        <v>13</v>
      </c>
    </row>
    <row r="1263" spans="1:11" x14ac:dyDescent="0.35">
      <c r="A1263" t="s">
        <v>31</v>
      </c>
      <c r="B1263" t="s">
        <v>13</v>
      </c>
      <c r="C1263" t="s">
        <v>7</v>
      </c>
      <c r="D1263" t="s">
        <v>8</v>
      </c>
      <c r="E1263" s="3">
        <v>147863600</v>
      </c>
      <c r="F1263" s="3">
        <v>138790900</v>
      </c>
      <c r="G1263" t="s">
        <v>11</v>
      </c>
      <c r="H1263" s="5">
        <v>1243347200</v>
      </c>
      <c r="I1263" t="s">
        <v>13</v>
      </c>
      <c r="J1263" t="s">
        <v>13</v>
      </c>
      <c r="K1263">
        <v>11.16</v>
      </c>
    </row>
    <row r="1265" spans="1:11" x14ac:dyDescent="0.35">
      <c r="A1265" t="s">
        <v>269</v>
      </c>
      <c r="B1265" t="str">
        <f>"22153"</f>
        <v>22153</v>
      </c>
      <c r="C1265" t="str">
        <f>"003"</f>
        <v>003</v>
      </c>
      <c r="D1265">
        <v>1997</v>
      </c>
      <c r="E1265" s="3">
        <v>4301500</v>
      </c>
      <c r="F1265" s="3">
        <v>2262100</v>
      </c>
      <c r="G1265" t="s">
        <v>11</v>
      </c>
      <c r="H1265" s="5" t="s">
        <v>30</v>
      </c>
      <c r="I1265" t="s">
        <v>13</v>
      </c>
      <c r="J1265" t="s">
        <v>13</v>
      </c>
    </row>
    <row r="1266" spans="1:11" x14ac:dyDescent="0.35">
      <c r="A1266" t="s">
        <v>31</v>
      </c>
      <c r="B1266" t="s">
        <v>13</v>
      </c>
      <c r="C1266" t="s">
        <v>7</v>
      </c>
      <c r="D1266" t="s">
        <v>8</v>
      </c>
      <c r="E1266" s="3">
        <v>4301500</v>
      </c>
      <c r="F1266" s="3">
        <v>2262100</v>
      </c>
      <c r="G1266" t="s">
        <v>11</v>
      </c>
      <c r="H1266" s="5">
        <v>101174200</v>
      </c>
      <c r="I1266" t="s">
        <v>13</v>
      </c>
      <c r="J1266" t="s">
        <v>13</v>
      </c>
      <c r="K1266">
        <v>2.2400000000000002</v>
      </c>
    </row>
    <row r="1268" spans="1:11" x14ac:dyDescent="0.35">
      <c r="A1268" t="s">
        <v>270</v>
      </c>
      <c r="B1268" t="str">
        <f>"67251"</f>
        <v>67251</v>
      </c>
      <c r="C1268" t="str">
        <f>"010"</f>
        <v>010</v>
      </c>
      <c r="D1268">
        <v>2008</v>
      </c>
      <c r="E1268" s="3">
        <v>81094700</v>
      </c>
      <c r="F1268" s="3">
        <v>79944100</v>
      </c>
      <c r="G1268" t="s">
        <v>11</v>
      </c>
      <c r="H1268" s="5" t="s">
        <v>30</v>
      </c>
      <c r="I1268" t="s">
        <v>13</v>
      </c>
      <c r="J1268" t="s">
        <v>13</v>
      </c>
    </row>
    <row r="1269" spans="1:11" x14ac:dyDescent="0.35">
      <c r="A1269" t="s">
        <v>5</v>
      </c>
      <c r="B1269" t="str">
        <f>"67251"</f>
        <v>67251</v>
      </c>
      <c r="C1269" t="str">
        <f>"011"</f>
        <v>011</v>
      </c>
      <c r="D1269">
        <v>2016</v>
      </c>
      <c r="E1269" s="3">
        <v>24524500</v>
      </c>
      <c r="F1269" s="3">
        <v>24522100</v>
      </c>
      <c r="G1269" t="s">
        <v>11</v>
      </c>
      <c r="H1269" s="5" t="s">
        <v>30</v>
      </c>
      <c r="I1269" t="s">
        <v>13</v>
      </c>
      <c r="J1269" t="s">
        <v>13</v>
      </c>
    </row>
    <row r="1270" spans="1:11" x14ac:dyDescent="0.35">
      <c r="A1270" t="s">
        <v>31</v>
      </c>
      <c r="B1270" t="s">
        <v>13</v>
      </c>
      <c r="C1270" t="s">
        <v>7</v>
      </c>
      <c r="D1270" t="s">
        <v>8</v>
      </c>
      <c r="E1270" s="3">
        <v>105619200</v>
      </c>
      <c r="F1270" s="3">
        <v>104466200</v>
      </c>
      <c r="G1270" t="s">
        <v>11</v>
      </c>
      <c r="H1270" s="5">
        <v>4193373200</v>
      </c>
      <c r="I1270" t="s">
        <v>13</v>
      </c>
      <c r="J1270" t="s">
        <v>13</v>
      </c>
      <c r="K1270">
        <v>2.4900000000000002</v>
      </c>
    </row>
    <row r="1272" spans="1:11" x14ac:dyDescent="0.35">
      <c r="A1272" t="s">
        <v>271</v>
      </c>
      <c r="B1272" t="str">
        <f>"29161"</f>
        <v>29161</v>
      </c>
      <c r="C1272" t="str">
        <f>"002"</f>
        <v>002</v>
      </c>
      <c r="D1272">
        <v>1995</v>
      </c>
      <c r="E1272" s="3">
        <v>8152000</v>
      </c>
      <c r="F1272" s="3">
        <v>6918500</v>
      </c>
      <c r="G1272" t="s">
        <v>11</v>
      </c>
      <c r="H1272" s="5" t="s">
        <v>30</v>
      </c>
      <c r="I1272" t="s">
        <v>13</v>
      </c>
      <c r="J1272" t="s">
        <v>13</v>
      </c>
    </row>
    <row r="1273" spans="1:11" x14ac:dyDescent="0.35">
      <c r="A1273" t="s">
        <v>5</v>
      </c>
      <c r="B1273" t="str">
        <f>"29161"</f>
        <v>29161</v>
      </c>
      <c r="C1273" t="str">
        <f>"003"</f>
        <v>003</v>
      </c>
      <c r="D1273">
        <v>1995</v>
      </c>
      <c r="E1273" s="3">
        <v>16784200</v>
      </c>
      <c r="F1273" s="3">
        <v>9487900</v>
      </c>
      <c r="G1273" t="s">
        <v>11</v>
      </c>
      <c r="H1273" s="5" t="s">
        <v>30</v>
      </c>
      <c r="I1273" t="s">
        <v>13</v>
      </c>
      <c r="J1273" t="s">
        <v>13</v>
      </c>
    </row>
    <row r="1274" spans="1:11" x14ac:dyDescent="0.35">
      <c r="A1274" t="s">
        <v>31</v>
      </c>
      <c r="B1274" t="s">
        <v>13</v>
      </c>
      <c r="C1274" t="s">
        <v>7</v>
      </c>
      <c r="D1274" t="s">
        <v>8</v>
      </c>
      <c r="E1274" s="3">
        <v>24936200</v>
      </c>
      <c r="F1274" s="3">
        <v>16406400</v>
      </c>
      <c r="G1274" t="s">
        <v>11</v>
      </c>
      <c r="H1274" s="5">
        <v>56000300</v>
      </c>
      <c r="I1274" t="s">
        <v>13</v>
      </c>
      <c r="J1274" t="s">
        <v>13</v>
      </c>
      <c r="K1274">
        <v>29.3</v>
      </c>
    </row>
    <row r="1276" spans="1:11" x14ac:dyDescent="0.35">
      <c r="A1276" t="s">
        <v>272</v>
      </c>
      <c r="B1276" t="str">
        <f t="shared" ref="B1276:B1282" si="29">"70261"</f>
        <v>70261</v>
      </c>
      <c r="C1276" t="str">
        <f>"005"</f>
        <v>005</v>
      </c>
      <c r="D1276">
        <v>1993</v>
      </c>
      <c r="E1276" s="3">
        <v>29306200</v>
      </c>
      <c r="F1276" s="3">
        <v>15848000</v>
      </c>
      <c r="G1276" t="s">
        <v>11</v>
      </c>
      <c r="H1276" s="5" t="s">
        <v>30</v>
      </c>
      <c r="I1276" t="s">
        <v>13</v>
      </c>
      <c r="J1276" t="s">
        <v>13</v>
      </c>
    </row>
    <row r="1277" spans="1:11" x14ac:dyDescent="0.35">
      <c r="A1277" t="s">
        <v>5</v>
      </c>
      <c r="B1277" t="str">
        <f t="shared" si="29"/>
        <v>70261</v>
      </c>
      <c r="C1277" t="str">
        <f>"006"</f>
        <v>006</v>
      </c>
      <c r="D1277">
        <v>1997</v>
      </c>
      <c r="E1277" s="3">
        <v>31569200</v>
      </c>
      <c r="F1277" s="3">
        <v>28699600</v>
      </c>
      <c r="G1277" t="s">
        <v>11</v>
      </c>
      <c r="H1277" s="5" t="s">
        <v>30</v>
      </c>
      <c r="I1277" t="s">
        <v>13</v>
      </c>
      <c r="J1277" t="s">
        <v>13</v>
      </c>
    </row>
    <row r="1278" spans="1:11" x14ac:dyDescent="0.35">
      <c r="A1278" t="s">
        <v>5</v>
      </c>
      <c r="B1278" t="str">
        <f t="shared" si="29"/>
        <v>70261</v>
      </c>
      <c r="C1278" t="str">
        <f>"007"</f>
        <v>007</v>
      </c>
      <c r="D1278">
        <v>2000</v>
      </c>
      <c r="E1278" s="3">
        <v>152097500</v>
      </c>
      <c r="F1278" s="3">
        <v>112870600</v>
      </c>
      <c r="G1278" t="s">
        <v>11</v>
      </c>
      <c r="H1278" s="5" t="s">
        <v>30</v>
      </c>
      <c r="I1278" t="s">
        <v>13</v>
      </c>
      <c r="J1278" t="s">
        <v>13</v>
      </c>
    </row>
    <row r="1279" spans="1:11" x14ac:dyDescent="0.35">
      <c r="A1279" t="s">
        <v>5</v>
      </c>
      <c r="B1279" t="str">
        <f t="shared" si="29"/>
        <v>70261</v>
      </c>
      <c r="C1279" t="str">
        <f>"008"</f>
        <v>008</v>
      </c>
      <c r="D1279">
        <v>2001</v>
      </c>
      <c r="E1279" s="3">
        <v>87569800</v>
      </c>
      <c r="F1279" s="3">
        <v>72826200</v>
      </c>
      <c r="G1279" t="s">
        <v>11</v>
      </c>
      <c r="H1279" s="5" t="s">
        <v>30</v>
      </c>
      <c r="I1279" t="s">
        <v>13</v>
      </c>
      <c r="J1279" t="s">
        <v>13</v>
      </c>
    </row>
    <row r="1280" spans="1:11" x14ac:dyDescent="0.35">
      <c r="A1280" t="s">
        <v>5</v>
      </c>
      <c r="B1280" t="str">
        <f t="shared" si="29"/>
        <v>70261</v>
      </c>
      <c r="C1280" t="str">
        <f>"009"</f>
        <v>009</v>
      </c>
      <c r="D1280">
        <v>2015</v>
      </c>
      <c r="E1280" s="3">
        <v>25882400</v>
      </c>
      <c r="F1280" s="3">
        <v>9923300</v>
      </c>
      <c r="G1280" t="s">
        <v>11</v>
      </c>
      <c r="H1280" s="5" t="s">
        <v>30</v>
      </c>
      <c r="I1280" t="s">
        <v>13</v>
      </c>
      <c r="J1280" t="s">
        <v>13</v>
      </c>
    </row>
    <row r="1281" spans="1:11" x14ac:dyDescent="0.35">
      <c r="A1281" t="s">
        <v>5</v>
      </c>
      <c r="B1281" t="str">
        <f t="shared" si="29"/>
        <v>70261</v>
      </c>
      <c r="C1281" t="str">
        <f>"010"</f>
        <v>010</v>
      </c>
      <c r="D1281">
        <v>2015</v>
      </c>
      <c r="E1281" s="3">
        <v>20226000</v>
      </c>
      <c r="F1281" s="3">
        <v>16544400</v>
      </c>
      <c r="G1281" t="s">
        <v>11</v>
      </c>
      <c r="H1281" s="5" t="s">
        <v>30</v>
      </c>
      <c r="I1281" t="s">
        <v>13</v>
      </c>
      <c r="J1281" t="s">
        <v>13</v>
      </c>
    </row>
    <row r="1282" spans="1:11" x14ac:dyDescent="0.35">
      <c r="A1282" t="s">
        <v>5</v>
      </c>
      <c r="B1282" t="str">
        <f t="shared" si="29"/>
        <v>70261</v>
      </c>
      <c r="C1282" t="str">
        <f>"011"</f>
        <v>011</v>
      </c>
      <c r="D1282">
        <v>2017</v>
      </c>
      <c r="E1282" s="3">
        <v>17721800</v>
      </c>
      <c r="F1282" s="3">
        <v>17604100</v>
      </c>
      <c r="G1282" t="s">
        <v>11</v>
      </c>
      <c r="H1282" s="5" t="s">
        <v>30</v>
      </c>
      <c r="I1282" t="s">
        <v>13</v>
      </c>
      <c r="J1282" t="s">
        <v>13</v>
      </c>
    </row>
    <row r="1283" spans="1:11" x14ac:dyDescent="0.35">
      <c r="A1283" t="s">
        <v>31</v>
      </c>
      <c r="B1283" t="s">
        <v>13</v>
      </c>
      <c r="C1283" t="s">
        <v>7</v>
      </c>
      <c r="D1283" t="s">
        <v>8</v>
      </c>
      <c r="E1283" s="3">
        <v>364372900</v>
      </c>
      <c r="F1283" s="3">
        <v>274316200</v>
      </c>
      <c r="G1283" t="s">
        <v>11</v>
      </c>
      <c r="H1283" s="5">
        <v>2731410000</v>
      </c>
      <c r="I1283" t="s">
        <v>13</v>
      </c>
      <c r="J1283" t="s">
        <v>13</v>
      </c>
      <c r="K1283">
        <v>10.039999999999999</v>
      </c>
    </row>
    <row r="1285" spans="1:11" x14ac:dyDescent="0.35">
      <c r="A1285" t="s">
        <v>273</v>
      </c>
      <c r="B1285" t="str">
        <f>"10261"</f>
        <v>10261</v>
      </c>
      <c r="C1285" t="str">
        <f>"002"</f>
        <v>002</v>
      </c>
      <c r="D1285">
        <v>1999</v>
      </c>
      <c r="E1285" s="3">
        <v>3968400</v>
      </c>
      <c r="F1285" s="3">
        <v>3861200</v>
      </c>
      <c r="G1285" t="s">
        <v>11</v>
      </c>
      <c r="H1285" s="5" t="s">
        <v>30</v>
      </c>
      <c r="I1285" t="s">
        <v>13</v>
      </c>
      <c r="J1285" t="s">
        <v>13</v>
      </c>
    </row>
    <row r="1286" spans="1:11" x14ac:dyDescent="0.35">
      <c r="A1286" t="s">
        <v>5</v>
      </c>
      <c r="B1286" t="str">
        <f>"10261"</f>
        <v>10261</v>
      </c>
      <c r="C1286" t="str">
        <f>"003"</f>
        <v>003</v>
      </c>
      <c r="D1286">
        <v>2006</v>
      </c>
      <c r="E1286" s="3">
        <v>3186200</v>
      </c>
      <c r="F1286" s="3">
        <v>2881400</v>
      </c>
      <c r="G1286" t="s">
        <v>11</v>
      </c>
      <c r="H1286" s="5" t="s">
        <v>30</v>
      </c>
      <c r="I1286" t="s">
        <v>13</v>
      </c>
      <c r="J1286" t="s">
        <v>13</v>
      </c>
    </row>
    <row r="1287" spans="1:11" x14ac:dyDescent="0.35">
      <c r="A1287" t="s">
        <v>5</v>
      </c>
      <c r="B1287" t="str">
        <f>"10261"</f>
        <v>10261</v>
      </c>
      <c r="C1287" t="str">
        <f>"004"</f>
        <v>004</v>
      </c>
      <c r="D1287">
        <v>2021</v>
      </c>
      <c r="E1287" s="3">
        <v>7850500</v>
      </c>
      <c r="F1287" s="3">
        <v>1420100</v>
      </c>
      <c r="G1287" t="s">
        <v>11</v>
      </c>
      <c r="H1287" s="5" t="s">
        <v>30</v>
      </c>
      <c r="I1287" t="s">
        <v>13</v>
      </c>
      <c r="J1287" t="s">
        <v>13</v>
      </c>
    </row>
    <row r="1288" spans="1:11" x14ac:dyDescent="0.35">
      <c r="A1288" t="s">
        <v>31</v>
      </c>
      <c r="B1288" t="s">
        <v>13</v>
      </c>
      <c r="C1288" t="s">
        <v>7</v>
      </c>
      <c r="D1288" t="s">
        <v>8</v>
      </c>
      <c r="E1288" s="3">
        <v>15005100</v>
      </c>
      <c r="F1288" s="3">
        <v>8162700</v>
      </c>
      <c r="G1288" t="s">
        <v>11</v>
      </c>
      <c r="H1288" s="5">
        <v>150603800</v>
      </c>
      <c r="I1288" t="s">
        <v>13</v>
      </c>
      <c r="J1288" t="s">
        <v>13</v>
      </c>
      <c r="K1288">
        <v>5.42</v>
      </c>
    </row>
    <row r="1290" spans="1:11" x14ac:dyDescent="0.35">
      <c r="A1290" t="s">
        <v>274</v>
      </c>
      <c r="B1290" t="str">
        <f>"71261"</f>
        <v>71261</v>
      </c>
      <c r="C1290" t="str">
        <f>"001"</f>
        <v>001</v>
      </c>
      <c r="D1290">
        <v>1997</v>
      </c>
      <c r="E1290" s="3">
        <v>17646200</v>
      </c>
      <c r="F1290" s="3">
        <v>7122600</v>
      </c>
      <c r="G1290" t="s">
        <v>11</v>
      </c>
      <c r="H1290" s="5" t="s">
        <v>30</v>
      </c>
      <c r="I1290" t="s">
        <v>13</v>
      </c>
      <c r="J1290" t="s">
        <v>13</v>
      </c>
    </row>
    <row r="1291" spans="1:11" x14ac:dyDescent="0.35">
      <c r="A1291" t="s">
        <v>5</v>
      </c>
      <c r="B1291" t="str">
        <f>"71261"</f>
        <v>71261</v>
      </c>
      <c r="C1291" t="str">
        <f>"002"</f>
        <v>002</v>
      </c>
      <c r="D1291">
        <v>2002</v>
      </c>
      <c r="E1291" s="3">
        <v>6776400</v>
      </c>
      <c r="F1291" s="3">
        <v>6167100</v>
      </c>
      <c r="G1291" t="s">
        <v>11</v>
      </c>
      <c r="H1291" s="5" t="s">
        <v>30</v>
      </c>
      <c r="I1291" t="s">
        <v>13</v>
      </c>
      <c r="J1291" t="s">
        <v>13</v>
      </c>
    </row>
    <row r="1292" spans="1:11" x14ac:dyDescent="0.35">
      <c r="A1292" t="s">
        <v>5</v>
      </c>
      <c r="B1292" t="str">
        <f>"71261"</f>
        <v>71261</v>
      </c>
      <c r="C1292" t="str">
        <f>"003"</f>
        <v>003</v>
      </c>
      <c r="D1292">
        <v>2012</v>
      </c>
      <c r="E1292" s="3">
        <v>27272400</v>
      </c>
      <c r="F1292" s="3">
        <v>9456100</v>
      </c>
      <c r="G1292" t="s">
        <v>11</v>
      </c>
      <c r="H1292" s="5" t="s">
        <v>30</v>
      </c>
      <c r="I1292" t="s">
        <v>13</v>
      </c>
      <c r="J1292" t="s">
        <v>13</v>
      </c>
    </row>
    <row r="1293" spans="1:11" x14ac:dyDescent="0.35">
      <c r="A1293" t="s">
        <v>5</v>
      </c>
      <c r="B1293" t="str">
        <f>"71261"</f>
        <v>71261</v>
      </c>
      <c r="C1293" t="str">
        <f>"004"</f>
        <v>004</v>
      </c>
      <c r="D1293">
        <v>2018</v>
      </c>
      <c r="E1293" s="3">
        <v>5071700</v>
      </c>
      <c r="F1293" s="3">
        <v>1985700</v>
      </c>
      <c r="G1293" t="s">
        <v>11</v>
      </c>
      <c r="H1293" s="5" t="s">
        <v>30</v>
      </c>
      <c r="I1293" t="s">
        <v>13</v>
      </c>
      <c r="J1293" t="s">
        <v>13</v>
      </c>
    </row>
    <row r="1294" spans="1:11" x14ac:dyDescent="0.35">
      <c r="A1294" t="s">
        <v>31</v>
      </c>
      <c r="B1294" t="s">
        <v>13</v>
      </c>
      <c r="C1294" t="s">
        <v>7</v>
      </c>
      <c r="D1294" t="s">
        <v>8</v>
      </c>
      <c r="E1294" s="3">
        <v>56766700</v>
      </c>
      <c r="F1294" s="3">
        <v>24731500</v>
      </c>
      <c r="G1294" t="s">
        <v>11</v>
      </c>
      <c r="H1294" s="5">
        <v>145986700</v>
      </c>
      <c r="I1294" t="s">
        <v>13</v>
      </c>
      <c r="J1294" t="s">
        <v>13</v>
      </c>
      <c r="K1294">
        <v>16.940000000000001</v>
      </c>
    </row>
    <row r="1296" spans="1:11" x14ac:dyDescent="0.35">
      <c r="A1296" t="s">
        <v>275</v>
      </c>
      <c r="B1296" t="str">
        <f>"09161"</f>
        <v>09161</v>
      </c>
      <c r="C1296" t="str">
        <f>"001"</f>
        <v>001</v>
      </c>
      <c r="D1296">
        <v>2008</v>
      </c>
      <c r="E1296" s="3">
        <v>10752000</v>
      </c>
      <c r="F1296" s="3">
        <v>10468300</v>
      </c>
      <c r="G1296" t="s">
        <v>11</v>
      </c>
      <c r="H1296" s="5" t="s">
        <v>30</v>
      </c>
      <c r="I1296" t="s">
        <v>13</v>
      </c>
      <c r="J1296" t="s">
        <v>13</v>
      </c>
    </row>
    <row r="1297" spans="1:11" x14ac:dyDescent="0.35">
      <c r="A1297" t="s">
        <v>31</v>
      </c>
      <c r="B1297" t="s">
        <v>13</v>
      </c>
      <c r="C1297" t="s">
        <v>7</v>
      </c>
      <c r="D1297" t="s">
        <v>8</v>
      </c>
      <c r="E1297" s="3">
        <v>10752000</v>
      </c>
      <c r="F1297" s="3">
        <v>10468300</v>
      </c>
      <c r="G1297" t="s">
        <v>11</v>
      </c>
      <c r="H1297" s="5">
        <v>41596500</v>
      </c>
      <c r="I1297" t="s">
        <v>13</v>
      </c>
      <c r="J1297" t="s">
        <v>13</v>
      </c>
      <c r="K1297">
        <v>25.17</v>
      </c>
    </row>
    <row r="1299" spans="1:11" x14ac:dyDescent="0.35">
      <c r="A1299" t="s">
        <v>276</v>
      </c>
      <c r="B1299" t="str">
        <f>"67261"</f>
        <v>67261</v>
      </c>
      <c r="C1299" t="str">
        <f>"003"</f>
        <v>003</v>
      </c>
      <c r="D1299">
        <v>2018</v>
      </c>
      <c r="E1299" s="3">
        <v>50603800</v>
      </c>
      <c r="F1299" s="3">
        <v>49874800</v>
      </c>
      <c r="G1299" t="s">
        <v>11</v>
      </c>
      <c r="H1299" s="5" t="s">
        <v>30</v>
      </c>
      <c r="I1299" t="s">
        <v>13</v>
      </c>
      <c r="J1299" t="s">
        <v>13</v>
      </c>
    </row>
    <row r="1300" spans="1:11" x14ac:dyDescent="0.35">
      <c r="A1300" t="s">
        <v>5</v>
      </c>
      <c r="B1300" t="str">
        <f>"67261"</f>
        <v>67261</v>
      </c>
      <c r="C1300" t="str">
        <f>"004"</f>
        <v>004</v>
      </c>
      <c r="D1300">
        <v>2020</v>
      </c>
      <c r="E1300" s="3">
        <v>15245300</v>
      </c>
      <c r="F1300" s="3">
        <v>2010800</v>
      </c>
      <c r="G1300" t="s">
        <v>11</v>
      </c>
      <c r="H1300" s="5" t="s">
        <v>30</v>
      </c>
      <c r="I1300" t="s">
        <v>13</v>
      </c>
      <c r="J1300" t="s">
        <v>13</v>
      </c>
    </row>
    <row r="1301" spans="1:11" x14ac:dyDescent="0.35">
      <c r="A1301" t="s">
        <v>31</v>
      </c>
      <c r="B1301" t="s">
        <v>13</v>
      </c>
      <c r="C1301" t="s">
        <v>7</v>
      </c>
      <c r="D1301" t="s">
        <v>8</v>
      </c>
      <c r="E1301" s="3">
        <v>65849100</v>
      </c>
      <c r="F1301" s="3">
        <v>51885600</v>
      </c>
      <c r="G1301" t="s">
        <v>11</v>
      </c>
      <c r="H1301" s="5">
        <v>7105119400</v>
      </c>
      <c r="I1301" t="s">
        <v>13</v>
      </c>
      <c r="J1301" t="s">
        <v>13</v>
      </c>
      <c r="K1301">
        <v>0.73</v>
      </c>
    </row>
    <row r="1303" spans="1:11" x14ac:dyDescent="0.35">
      <c r="A1303" t="s">
        <v>277</v>
      </c>
      <c r="B1303" t="str">
        <f>"23161"</f>
        <v>23161</v>
      </c>
      <c r="C1303" t="str">
        <f>"003"</f>
        <v>003</v>
      </c>
      <c r="D1303">
        <v>2006</v>
      </c>
      <c r="E1303" s="3">
        <v>13628500</v>
      </c>
      <c r="F1303" s="3">
        <v>13609200</v>
      </c>
      <c r="G1303" t="s">
        <v>11</v>
      </c>
      <c r="H1303" s="5" t="s">
        <v>30</v>
      </c>
      <c r="I1303" t="s">
        <v>13</v>
      </c>
      <c r="J1303" t="s">
        <v>13</v>
      </c>
    </row>
    <row r="1304" spans="1:11" x14ac:dyDescent="0.35">
      <c r="A1304" t="s">
        <v>5</v>
      </c>
      <c r="B1304" t="str">
        <f>"23161"</f>
        <v>23161</v>
      </c>
      <c r="C1304" t="str">
        <f>"004"</f>
        <v>004</v>
      </c>
      <c r="D1304">
        <v>2015</v>
      </c>
      <c r="E1304" s="3">
        <v>23349200</v>
      </c>
      <c r="F1304" s="3">
        <v>8706600</v>
      </c>
      <c r="G1304" t="s">
        <v>11</v>
      </c>
      <c r="H1304" s="5" t="s">
        <v>30</v>
      </c>
      <c r="I1304" t="s">
        <v>13</v>
      </c>
      <c r="J1304" t="s">
        <v>13</v>
      </c>
    </row>
    <row r="1305" spans="1:11" x14ac:dyDescent="0.35">
      <c r="A1305" t="s">
        <v>31</v>
      </c>
      <c r="B1305" t="s">
        <v>13</v>
      </c>
      <c r="C1305" t="s">
        <v>7</v>
      </c>
      <c r="D1305" t="s">
        <v>8</v>
      </c>
      <c r="E1305" s="3">
        <v>36977700</v>
      </c>
      <c r="F1305" s="3">
        <v>22315800</v>
      </c>
      <c r="G1305" t="s">
        <v>11</v>
      </c>
      <c r="H1305" s="5">
        <v>256689200</v>
      </c>
      <c r="I1305" t="s">
        <v>13</v>
      </c>
      <c r="J1305" t="s">
        <v>13</v>
      </c>
      <c r="K1305">
        <v>8.69</v>
      </c>
    </row>
    <row r="1307" spans="1:11" x14ac:dyDescent="0.35">
      <c r="A1307" t="s">
        <v>278</v>
      </c>
      <c r="B1307" t="str">
        <f>"08261"</f>
        <v>08261</v>
      </c>
      <c r="C1307" t="str">
        <f>"004"</f>
        <v>004</v>
      </c>
      <c r="D1307">
        <v>2018</v>
      </c>
      <c r="E1307" s="3">
        <v>17715700</v>
      </c>
      <c r="F1307" s="3">
        <v>8150500</v>
      </c>
      <c r="G1307" t="s">
        <v>11</v>
      </c>
      <c r="H1307" s="5" t="s">
        <v>30</v>
      </c>
      <c r="I1307" t="s">
        <v>13</v>
      </c>
      <c r="J1307" t="s">
        <v>13</v>
      </c>
    </row>
    <row r="1308" spans="1:11" x14ac:dyDescent="0.35">
      <c r="A1308" t="s">
        <v>5</v>
      </c>
      <c r="B1308" t="str">
        <f>"08261"</f>
        <v>08261</v>
      </c>
      <c r="C1308" t="str">
        <f>"005"</f>
        <v>005</v>
      </c>
      <c r="D1308">
        <v>2018</v>
      </c>
      <c r="E1308" s="3">
        <v>2616000</v>
      </c>
      <c r="F1308" s="3">
        <v>1329100</v>
      </c>
      <c r="G1308" t="s">
        <v>11</v>
      </c>
      <c r="H1308" s="5" t="s">
        <v>30</v>
      </c>
      <c r="I1308" t="s">
        <v>13</v>
      </c>
      <c r="J1308" t="s">
        <v>13</v>
      </c>
    </row>
    <row r="1309" spans="1:11" x14ac:dyDescent="0.35">
      <c r="A1309" t="s">
        <v>31</v>
      </c>
      <c r="B1309" t="s">
        <v>13</v>
      </c>
      <c r="C1309" t="s">
        <v>7</v>
      </c>
      <c r="D1309" t="s">
        <v>8</v>
      </c>
      <c r="E1309" s="3">
        <v>20331700</v>
      </c>
      <c r="F1309" s="3">
        <v>9479600</v>
      </c>
      <c r="G1309" t="s">
        <v>11</v>
      </c>
      <c r="H1309" s="5">
        <v>261056100</v>
      </c>
      <c r="I1309" t="s">
        <v>13</v>
      </c>
      <c r="J1309" t="s">
        <v>13</v>
      </c>
      <c r="K1309">
        <v>3.63</v>
      </c>
    </row>
    <row r="1311" spans="1:11" x14ac:dyDescent="0.35">
      <c r="A1311" t="s">
        <v>279</v>
      </c>
      <c r="B1311" t="str">
        <f>"29261"</f>
        <v>29261</v>
      </c>
      <c r="C1311" t="str">
        <f>"009"</f>
        <v>009</v>
      </c>
      <c r="D1311">
        <v>1991</v>
      </c>
      <c r="E1311" s="3">
        <v>386300</v>
      </c>
      <c r="F1311" s="3">
        <v>378000</v>
      </c>
      <c r="G1311" t="s">
        <v>11</v>
      </c>
      <c r="H1311" s="5" t="s">
        <v>30</v>
      </c>
      <c r="I1311" t="s">
        <v>13</v>
      </c>
      <c r="J1311" t="s">
        <v>13</v>
      </c>
    </row>
    <row r="1312" spans="1:11" x14ac:dyDescent="0.35">
      <c r="A1312" t="s">
        <v>5</v>
      </c>
      <c r="B1312" t="str">
        <f>"29261"</f>
        <v>29261</v>
      </c>
      <c r="C1312" t="str">
        <f>"010"</f>
        <v>010</v>
      </c>
      <c r="D1312">
        <v>1991</v>
      </c>
      <c r="E1312" s="3">
        <v>285700</v>
      </c>
      <c r="F1312" s="3">
        <v>275800</v>
      </c>
      <c r="G1312" t="s">
        <v>11</v>
      </c>
      <c r="H1312" s="5" t="s">
        <v>30</v>
      </c>
      <c r="I1312" t="s">
        <v>13</v>
      </c>
      <c r="J1312" t="s">
        <v>13</v>
      </c>
    </row>
    <row r="1313" spans="1:11" x14ac:dyDescent="0.35">
      <c r="A1313" t="s">
        <v>5</v>
      </c>
      <c r="B1313" t="str">
        <f>"29261"</f>
        <v>29261</v>
      </c>
      <c r="C1313" t="str">
        <f>"012"</f>
        <v>012</v>
      </c>
      <c r="D1313">
        <v>2010</v>
      </c>
      <c r="E1313" s="3">
        <v>3644600</v>
      </c>
      <c r="F1313" s="3">
        <v>2503800</v>
      </c>
      <c r="G1313" t="s">
        <v>11</v>
      </c>
      <c r="H1313" s="5" t="s">
        <v>30</v>
      </c>
      <c r="I1313" t="s">
        <v>13</v>
      </c>
      <c r="J1313" t="s">
        <v>13</v>
      </c>
    </row>
    <row r="1314" spans="1:11" x14ac:dyDescent="0.35">
      <c r="A1314" t="s">
        <v>5</v>
      </c>
      <c r="B1314" t="str">
        <f>"29261"</f>
        <v>29261</v>
      </c>
      <c r="C1314" t="str">
        <f>"013"</f>
        <v>013</v>
      </c>
      <c r="D1314">
        <v>2010</v>
      </c>
      <c r="E1314" s="3">
        <v>215400</v>
      </c>
      <c r="F1314" s="3">
        <v>58200</v>
      </c>
      <c r="G1314" t="s">
        <v>11</v>
      </c>
      <c r="H1314" s="5" t="s">
        <v>30</v>
      </c>
      <c r="I1314" t="s">
        <v>13</v>
      </c>
      <c r="J1314" t="s">
        <v>13</v>
      </c>
    </row>
    <row r="1315" spans="1:11" x14ac:dyDescent="0.35">
      <c r="A1315" t="s">
        <v>31</v>
      </c>
      <c r="B1315" t="s">
        <v>13</v>
      </c>
      <c r="C1315" t="s">
        <v>7</v>
      </c>
      <c r="D1315" t="s">
        <v>8</v>
      </c>
      <c r="E1315" s="3">
        <v>4532000</v>
      </c>
      <c r="F1315" s="3">
        <v>3215800</v>
      </c>
      <c r="G1315" t="s">
        <v>11</v>
      </c>
      <c r="H1315" s="5">
        <v>109237700</v>
      </c>
      <c r="I1315" t="s">
        <v>13</v>
      </c>
      <c r="J1315" t="s">
        <v>13</v>
      </c>
      <c r="K1315">
        <v>2.94</v>
      </c>
    </row>
    <row r="1317" spans="1:11" x14ac:dyDescent="0.35">
      <c r="A1317" t="s">
        <v>280</v>
      </c>
      <c r="B1317" t="str">
        <f>"68261"</f>
        <v>68261</v>
      </c>
      <c r="C1317" t="str">
        <f>"004"</f>
        <v>004</v>
      </c>
      <c r="D1317">
        <v>2021</v>
      </c>
      <c r="E1317" s="3">
        <v>2296600</v>
      </c>
      <c r="F1317" s="3">
        <v>339700</v>
      </c>
      <c r="G1317" t="s">
        <v>11</v>
      </c>
      <c r="H1317" s="5" t="s">
        <v>30</v>
      </c>
      <c r="I1317" t="s">
        <v>13</v>
      </c>
      <c r="J1317" t="s">
        <v>13</v>
      </c>
    </row>
    <row r="1318" spans="1:11" x14ac:dyDescent="0.35">
      <c r="A1318" t="s">
        <v>5</v>
      </c>
      <c r="B1318" t="str">
        <f>"68261"</f>
        <v>68261</v>
      </c>
      <c r="C1318" t="str">
        <f>"005"</f>
        <v>005</v>
      </c>
      <c r="D1318">
        <v>2021</v>
      </c>
      <c r="E1318" s="3">
        <v>3275100</v>
      </c>
      <c r="F1318" s="3">
        <v>322100</v>
      </c>
      <c r="G1318" t="s">
        <v>11</v>
      </c>
      <c r="H1318" s="5" t="s">
        <v>30</v>
      </c>
      <c r="I1318" t="s">
        <v>13</v>
      </c>
      <c r="J1318" t="s">
        <v>13</v>
      </c>
    </row>
    <row r="1319" spans="1:11" x14ac:dyDescent="0.35">
      <c r="A1319" t="s">
        <v>31</v>
      </c>
      <c r="B1319" t="s">
        <v>13</v>
      </c>
      <c r="C1319" t="s">
        <v>7</v>
      </c>
      <c r="D1319" t="s">
        <v>8</v>
      </c>
      <c r="E1319" s="3">
        <v>5571700</v>
      </c>
      <c r="F1319" s="3">
        <v>661800</v>
      </c>
      <c r="G1319" t="s">
        <v>11</v>
      </c>
      <c r="H1319" s="5">
        <v>493646800</v>
      </c>
      <c r="I1319" t="s">
        <v>13</v>
      </c>
      <c r="J1319" t="s">
        <v>13</v>
      </c>
      <c r="K1319">
        <v>0.13</v>
      </c>
    </row>
    <row r="1321" spans="1:11" x14ac:dyDescent="0.35">
      <c r="A1321" t="s">
        <v>281</v>
      </c>
      <c r="B1321" t="str">
        <f>"55261"</f>
        <v>55261</v>
      </c>
      <c r="C1321" t="str">
        <f>"006"</f>
        <v>006</v>
      </c>
      <c r="D1321">
        <v>1995</v>
      </c>
      <c r="E1321" s="3">
        <v>30693800</v>
      </c>
      <c r="F1321" s="3">
        <v>30465300</v>
      </c>
      <c r="G1321" t="s">
        <v>11</v>
      </c>
      <c r="H1321" s="5" t="s">
        <v>30</v>
      </c>
      <c r="I1321" t="s">
        <v>13</v>
      </c>
      <c r="J1321" t="s">
        <v>13</v>
      </c>
    </row>
    <row r="1322" spans="1:11" x14ac:dyDescent="0.35">
      <c r="A1322" t="s">
        <v>5</v>
      </c>
      <c r="B1322" t="str">
        <f>"55261"</f>
        <v>55261</v>
      </c>
      <c r="C1322" t="str">
        <f>"007"</f>
        <v>007</v>
      </c>
      <c r="D1322">
        <v>2003</v>
      </c>
      <c r="E1322" s="3">
        <v>8750500</v>
      </c>
      <c r="F1322" s="3">
        <v>6192700</v>
      </c>
      <c r="G1322" t="s">
        <v>11</v>
      </c>
      <c r="H1322" s="5" t="s">
        <v>30</v>
      </c>
      <c r="I1322" t="s">
        <v>13</v>
      </c>
      <c r="J1322" t="s">
        <v>13</v>
      </c>
    </row>
    <row r="1323" spans="1:11" x14ac:dyDescent="0.35">
      <c r="A1323" t="s">
        <v>5</v>
      </c>
      <c r="B1323" t="str">
        <f>"55261"</f>
        <v>55261</v>
      </c>
      <c r="C1323" t="str">
        <f>"008"</f>
        <v>008</v>
      </c>
      <c r="D1323">
        <v>2005</v>
      </c>
      <c r="E1323" s="3">
        <v>42451300</v>
      </c>
      <c r="F1323" s="3">
        <v>26720000</v>
      </c>
      <c r="G1323" t="s">
        <v>11</v>
      </c>
      <c r="H1323" s="5" t="s">
        <v>30</v>
      </c>
      <c r="I1323" t="s">
        <v>13</v>
      </c>
      <c r="J1323" t="s">
        <v>13</v>
      </c>
    </row>
    <row r="1324" spans="1:11" x14ac:dyDescent="0.35">
      <c r="A1324" t="s">
        <v>5</v>
      </c>
      <c r="B1324" t="str">
        <f>"55261"</f>
        <v>55261</v>
      </c>
      <c r="C1324" t="str">
        <f>"009"</f>
        <v>009</v>
      </c>
      <c r="D1324">
        <v>2008</v>
      </c>
      <c r="E1324" s="3">
        <v>11432100</v>
      </c>
      <c r="F1324" s="3">
        <v>3683000</v>
      </c>
      <c r="G1324" t="s">
        <v>11</v>
      </c>
      <c r="H1324" s="5" t="s">
        <v>30</v>
      </c>
      <c r="I1324" t="s">
        <v>13</v>
      </c>
      <c r="J1324" t="s">
        <v>13</v>
      </c>
    </row>
    <row r="1325" spans="1:11" x14ac:dyDescent="0.35">
      <c r="A1325" t="s">
        <v>5</v>
      </c>
      <c r="B1325" t="str">
        <f>"55261"</f>
        <v>55261</v>
      </c>
      <c r="C1325" t="str">
        <f>"010"</f>
        <v>010</v>
      </c>
      <c r="D1325">
        <v>2014</v>
      </c>
      <c r="E1325" s="3">
        <v>11207800</v>
      </c>
      <c r="F1325" s="3">
        <v>7354000</v>
      </c>
      <c r="G1325" t="s">
        <v>11</v>
      </c>
      <c r="H1325" s="5" t="s">
        <v>30</v>
      </c>
      <c r="I1325" t="s">
        <v>13</v>
      </c>
      <c r="J1325" t="s">
        <v>13</v>
      </c>
    </row>
    <row r="1326" spans="1:11" x14ac:dyDescent="0.35">
      <c r="A1326" t="s">
        <v>31</v>
      </c>
      <c r="B1326" t="s">
        <v>13</v>
      </c>
      <c r="C1326" t="s">
        <v>7</v>
      </c>
      <c r="D1326" t="s">
        <v>8</v>
      </c>
      <c r="E1326" s="3">
        <v>104535500</v>
      </c>
      <c r="F1326" s="3">
        <v>74415000</v>
      </c>
      <c r="G1326" t="s">
        <v>11</v>
      </c>
      <c r="H1326" s="5">
        <v>1258290300</v>
      </c>
      <c r="I1326" t="s">
        <v>13</v>
      </c>
      <c r="J1326" t="s">
        <v>13</v>
      </c>
      <c r="K1326">
        <v>5.91</v>
      </c>
    </row>
    <row r="1328" spans="1:11" x14ac:dyDescent="0.35">
      <c r="A1328" t="s">
        <v>282</v>
      </c>
      <c r="B1328" t="str">
        <f>"38261"</f>
        <v>38261</v>
      </c>
      <c r="C1328" t="str">
        <f>"001"</f>
        <v>001</v>
      </c>
      <c r="D1328">
        <v>1995</v>
      </c>
      <c r="E1328" s="3">
        <v>903000</v>
      </c>
      <c r="F1328" s="3">
        <v>903000</v>
      </c>
      <c r="G1328" t="s">
        <v>11</v>
      </c>
      <c r="H1328" s="5" t="s">
        <v>30</v>
      </c>
      <c r="I1328" t="s">
        <v>13</v>
      </c>
      <c r="J1328" t="s">
        <v>13</v>
      </c>
    </row>
    <row r="1329" spans="1:11" x14ac:dyDescent="0.35">
      <c r="A1329" t="s">
        <v>5</v>
      </c>
      <c r="B1329" t="str">
        <f>"38261"</f>
        <v>38261</v>
      </c>
      <c r="C1329" t="str">
        <f>"002"</f>
        <v>002</v>
      </c>
      <c r="D1329">
        <v>1998</v>
      </c>
      <c r="E1329" s="3">
        <v>1238100</v>
      </c>
      <c r="F1329" s="3">
        <v>1209600</v>
      </c>
      <c r="G1329" t="s">
        <v>11</v>
      </c>
      <c r="H1329" s="5" t="s">
        <v>30</v>
      </c>
      <c r="I1329" t="s">
        <v>13</v>
      </c>
      <c r="J1329" t="s">
        <v>13</v>
      </c>
    </row>
    <row r="1330" spans="1:11" x14ac:dyDescent="0.35">
      <c r="A1330" t="s">
        <v>31</v>
      </c>
      <c r="B1330" t="s">
        <v>13</v>
      </c>
      <c r="C1330" t="s">
        <v>7</v>
      </c>
      <c r="D1330" t="s">
        <v>8</v>
      </c>
      <c r="E1330" s="3">
        <v>2141100</v>
      </c>
      <c r="F1330" s="3">
        <v>2112600</v>
      </c>
      <c r="G1330" t="s">
        <v>11</v>
      </c>
      <c r="H1330" s="5">
        <v>91830400</v>
      </c>
      <c r="I1330" t="s">
        <v>13</v>
      </c>
      <c r="J1330" t="s">
        <v>13</v>
      </c>
      <c r="K1330">
        <v>2.2999999999999998</v>
      </c>
    </row>
    <row r="1332" spans="1:11" x14ac:dyDescent="0.35">
      <c r="A1332" t="s">
        <v>283</v>
      </c>
      <c r="B1332" t="str">
        <f>"20161"</f>
        <v>20161</v>
      </c>
      <c r="C1332" t="str">
        <f>"002"</f>
        <v>002</v>
      </c>
      <c r="D1332">
        <v>2008</v>
      </c>
      <c r="E1332" s="3">
        <v>4859600</v>
      </c>
      <c r="F1332" s="3">
        <v>684500</v>
      </c>
      <c r="G1332" t="s">
        <v>11</v>
      </c>
      <c r="H1332" s="5" t="s">
        <v>30</v>
      </c>
      <c r="I1332" t="s">
        <v>13</v>
      </c>
      <c r="J1332" t="s">
        <v>13</v>
      </c>
    </row>
    <row r="1333" spans="1:11" x14ac:dyDescent="0.35">
      <c r="A1333" t="s">
        <v>31</v>
      </c>
      <c r="B1333" t="s">
        <v>13</v>
      </c>
      <c r="C1333" t="s">
        <v>7</v>
      </c>
      <c r="D1333" t="s">
        <v>8</v>
      </c>
      <c r="E1333" s="3">
        <v>4859600</v>
      </c>
      <c r="F1333" s="3">
        <v>684500</v>
      </c>
      <c r="G1333" t="s">
        <v>11</v>
      </c>
      <c r="H1333" s="5">
        <v>264591700</v>
      </c>
      <c r="I1333" t="s">
        <v>13</v>
      </c>
      <c r="J1333" t="s">
        <v>13</v>
      </c>
      <c r="K1333">
        <v>0.26</v>
      </c>
    </row>
    <row r="1335" spans="1:11" x14ac:dyDescent="0.35">
      <c r="A1335" t="s">
        <v>284</v>
      </c>
      <c r="B1335" t="str">
        <f>"56161"</f>
        <v>56161</v>
      </c>
      <c r="C1335" t="str">
        <f>"001"</f>
        <v>001</v>
      </c>
      <c r="D1335">
        <v>1997</v>
      </c>
      <c r="E1335" s="3">
        <v>7000900</v>
      </c>
      <c r="F1335" s="3">
        <v>3973100</v>
      </c>
      <c r="G1335" t="s">
        <v>11</v>
      </c>
      <c r="H1335" s="5" t="s">
        <v>30</v>
      </c>
      <c r="I1335" t="s">
        <v>13</v>
      </c>
      <c r="J1335" t="s">
        <v>13</v>
      </c>
    </row>
    <row r="1336" spans="1:11" x14ac:dyDescent="0.35">
      <c r="A1336" t="s">
        <v>31</v>
      </c>
      <c r="B1336" t="s">
        <v>13</v>
      </c>
      <c r="C1336" t="s">
        <v>7</v>
      </c>
      <c r="D1336" t="s">
        <v>8</v>
      </c>
      <c r="E1336" s="3">
        <v>7000900</v>
      </c>
      <c r="F1336" s="3">
        <v>3973100</v>
      </c>
      <c r="G1336" t="s">
        <v>11</v>
      </c>
      <c r="H1336" s="5">
        <v>33573400</v>
      </c>
      <c r="I1336" t="s">
        <v>13</v>
      </c>
      <c r="J1336" t="s">
        <v>13</v>
      </c>
      <c r="K1336">
        <v>11.83</v>
      </c>
    </row>
    <row r="1338" spans="1:11" x14ac:dyDescent="0.35">
      <c r="A1338" t="s">
        <v>285</v>
      </c>
      <c r="B1338" t="str">
        <f t="shared" ref="B1338:B1347" si="30">"40265"</f>
        <v>40265</v>
      </c>
      <c r="C1338" t="str">
        <f>"006"</f>
        <v>006</v>
      </c>
      <c r="D1338">
        <v>2001</v>
      </c>
      <c r="E1338" s="3">
        <v>17844600</v>
      </c>
      <c r="F1338" s="3">
        <v>16467400</v>
      </c>
      <c r="G1338" t="s">
        <v>11</v>
      </c>
      <c r="H1338" s="5" t="s">
        <v>30</v>
      </c>
      <c r="I1338" t="s">
        <v>13</v>
      </c>
      <c r="J1338" t="s">
        <v>13</v>
      </c>
    </row>
    <row r="1339" spans="1:11" x14ac:dyDescent="0.35">
      <c r="A1339" t="s">
        <v>5</v>
      </c>
      <c r="B1339" t="str">
        <f t="shared" si="30"/>
        <v>40265</v>
      </c>
      <c r="C1339" t="str">
        <f>"007"</f>
        <v>007</v>
      </c>
      <c r="D1339">
        <v>2007</v>
      </c>
      <c r="E1339" s="3">
        <v>281850700</v>
      </c>
      <c r="F1339" s="3">
        <v>116797600</v>
      </c>
      <c r="G1339" t="s">
        <v>11</v>
      </c>
      <c r="H1339" s="5" t="s">
        <v>30</v>
      </c>
      <c r="I1339" t="s">
        <v>13</v>
      </c>
      <c r="J1339" t="s">
        <v>13</v>
      </c>
    </row>
    <row r="1340" spans="1:11" x14ac:dyDescent="0.35">
      <c r="A1340" t="s">
        <v>5</v>
      </c>
      <c r="B1340" t="str">
        <f t="shared" si="30"/>
        <v>40265</v>
      </c>
      <c r="C1340" t="str">
        <f>"008"</f>
        <v>008</v>
      </c>
      <c r="D1340">
        <v>2009</v>
      </c>
      <c r="E1340" s="3">
        <v>152023400</v>
      </c>
      <c r="F1340" s="3">
        <v>128966800</v>
      </c>
      <c r="G1340" t="s">
        <v>11</v>
      </c>
      <c r="H1340" s="5" t="s">
        <v>30</v>
      </c>
      <c r="I1340" t="s">
        <v>13</v>
      </c>
      <c r="J1340" t="s">
        <v>13</v>
      </c>
    </row>
    <row r="1341" spans="1:11" x14ac:dyDescent="0.35">
      <c r="A1341" t="s">
        <v>5</v>
      </c>
      <c r="B1341" t="str">
        <f t="shared" si="30"/>
        <v>40265</v>
      </c>
      <c r="C1341" t="str">
        <f>"010"</f>
        <v>010</v>
      </c>
      <c r="D1341">
        <v>2010</v>
      </c>
      <c r="E1341" s="3">
        <v>40974200</v>
      </c>
      <c r="F1341" s="3">
        <v>21750500</v>
      </c>
      <c r="G1341" t="s">
        <v>11</v>
      </c>
      <c r="H1341" s="5" t="s">
        <v>30</v>
      </c>
      <c r="I1341" t="s">
        <v>13</v>
      </c>
      <c r="J1341" t="s">
        <v>13</v>
      </c>
    </row>
    <row r="1342" spans="1:11" x14ac:dyDescent="0.35">
      <c r="A1342" t="s">
        <v>5</v>
      </c>
      <c r="B1342" t="str">
        <f t="shared" si="30"/>
        <v>40265</v>
      </c>
      <c r="C1342" t="str">
        <f>"011"</f>
        <v>011</v>
      </c>
      <c r="D1342">
        <v>2012</v>
      </c>
      <c r="E1342" s="3">
        <v>233189100</v>
      </c>
      <c r="F1342" s="3">
        <v>220327200</v>
      </c>
      <c r="G1342" t="s">
        <v>11</v>
      </c>
      <c r="H1342" s="5" t="s">
        <v>30</v>
      </c>
      <c r="I1342" t="s">
        <v>13</v>
      </c>
      <c r="J1342" t="s">
        <v>13</v>
      </c>
    </row>
    <row r="1343" spans="1:11" x14ac:dyDescent="0.35">
      <c r="A1343" t="s">
        <v>5</v>
      </c>
      <c r="B1343" t="str">
        <f t="shared" si="30"/>
        <v>40265</v>
      </c>
      <c r="C1343" t="str">
        <f>"012"</f>
        <v>012</v>
      </c>
      <c r="D1343">
        <v>2016</v>
      </c>
      <c r="E1343" s="3">
        <v>88025100</v>
      </c>
      <c r="F1343" s="3">
        <v>84286900</v>
      </c>
      <c r="G1343" t="s">
        <v>11</v>
      </c>
      <c r="H1343" s="5" t="s">
        <v>30</v>
      </c>
      <c r="I1343" t="s">
        <v>13</v>
      </c>
      <c r="J1343" t="s">
        <v>13</v>
      </c>
    </row>
    <row r="1344" spans="1:11" x14ac:dyDescent="0.35">
      <c r="A1344" t="s">
        <v>5</v>
      </c>
      <c r="B1344" t="str">
        <f t="shared" si="30"/>
        <v>40265</v>
      </c>
      <c r="C1344" t="str">
        <f>"013"</f>
        <v>013</v>
      </c>
      <c r="D1344">
        <v>2017</v>
      </c>
      <c r="E1344" s="3">
        <v>9683000</v>
      </c>
      <c r="F1344" s="3">
        <v>4979500</v>
      </c>
      <c r="G1344" t="s">
        <v>11</v>
      </c>
      <c r="H1344" s="5" t="s">
        <v>30</v>
      </c>
      <c r="I1344" t="s">
        <v>13</v>
      </c>
      <c r="J1344" t="s">
        <v>13</v>
      </c>
    </row>
    <row r="1345" spans="1:11" x14ac:dyDescent="0.35">
      <c r="A1345" t="s">
        <v>5</v>
      </c>
      <c r="B1345" t="str">
        <f t="shared" si="30"/>
        <v>40265</v>
      </c>
      <c r="C1345" t="str">
        <f>"014"</f>
        <v>014</v>
      </c>
      <c r="D1345">
        <v>2018</v>
      </c>
      <c r="E1345" s="3">
        <v>8743800</v>
      </c>
      <c r="F1345" s="3">
        <v>8102500</v>
      </c>
      <c r="G1345" t="s">
        <v>11</v>
      </c>
      <c r="H1345" s="5" t="s">
        <v>30</v>
      </c>
      <c r="I1345" t="s">
        <v>13</v>
      </c>
      <c r="J1345" t="s">
        <v>13</v>
      </c>
    </row>
    <row r="1346" spans="1:11" x14ac:dyDescent="0.35">
      <c r="A1346" t="s">
        <v>5</v>
      </c>
      <c r="B1346" t="str">
        <f t="shared" si="30"/>
        <v>40265</v>
      </c>
      <c r="C1346" t="str">
        <f>"015"</f>
        <v>015</v>
      </c>
      <c r="D1346">
        <v>2018</v>
      </c>
      <c r="E1346" s="3">
        <v>7433700</v>
      </c>
      <c r="F1346" s="3">
        <v>5533800</v>
      </c>
      <c r="G1346" t="s">
        <v>11</v>
      </c>
      <c r="H1346" s="5" t="s">
        <v>30</v>
      </c>
      <c r="I1346" t="s">
        <v>13</v>
      </c>
      <c r="J1346" t="s">
        <v>13</v>
      </c>
    </row>
    <row r="1347" spans="1:11" x14ac:dyDescent="0.35">
      <c r="A1347" t="s">
        <v>5</v>
      </c>
      <c r="B1347" t="str">
        <f t="shared" si="30"/>
        <v>40265</v>
      </c>
      <c r="C1347" t="str">
        <f>"016"</f>
        <v>016</v>
      </c>
      <c r="D1347">
        <v>2018</v>
      </c>
      <c r="E1347" s="3">
        <v>184231500</v>
      </c>
      <c r="F1347" s="3">
        <v>182682300</v>
      </c>
      <c r="G1347" t="s">
        <v>11</v>
      </c>
      <c r="H1347" s="5" t="s">
        <v>30</v>
      </c>
      <c r="I1347" t="s">
        <v>13</v>
      </c>
      <c r="J1347" t="s">
        <v>13</v>
      </c>
    </row>
    <row r="1348" spans="1:11" x14ac:dyDescent="0.35">
      <c r="A1348" t="s">
        <v>31</v>
      </c>
      <c r="B1348" t="s">
        <v>13</v>
      </c>
      <c r="C1348" t="s">
        <v>7</v>
      </c>
      <c r="D1348" t="s">
        <v>8</v>
      </c>
      <c r="E1348" s="3">
        <v>1023999100</v>
      </c>
      <c r="F1348" s="3">
        <v>789894500</v>
      </c>
      <c r="G1348" t="s">
        <v>11</v>
      </c>
      <c r="H1348" s="5">
        <v>5226696500</v>
      </c>
      <c r="I1348" t="s">
        <v>13</v>
      </c>
      <c r="J1348" t="s">
        <v>13</v>
      </c>
      <c r="K1348">
        <v>15.11</v>
      </c>
    </row>
    <row r="1350" spans="1:11" x14ac:dyDescent="0.35">
      <c r="A1350" t="s">
        <v>286</v>
      </c>
      <c r="B1350" t="str">
        <f>"20165"</f>
        <v>20165</v>
      </c>
      <c r="C1350" t="str">
        <f>"001"</f>
        <v>001</v>
      </c>
      <c r="D1350">
        <v>1995</v>
      </c>
      <c r="E1350" s="3">
        <v>12368300</v>
      </c>
      <c r="F1350" s="3">
        <v>10660800</v>
      </c>
      <c r="G1350" t="s">
        <v>11</v>
      </c>
      <c r="H1350" s="5" t="s">
        <v>30</v>
      </c>
      <c r="I1350" t="s">
        <v>13</v>
      </c>
      <c r="J1350" t="s">
        <v>13</v>
      </c>
    </row>
    <row r="1351" spans="1:11" x14ac:dyDescent="0.35">
      <c r="A1351" t="s">
        <v>5</v>
      </c>
      <c r="B1351" t="str">
        <f>"20165"</f>
        <v>20165</v>
      </c>
      <c r="C1351" t="str">
        <f>"002"</f>
        <v>002</v>
      </c>
      <c r="D1351">
        <v>1997</v>
      </c>
      <c r="E1351" s="3">
        <v>4094900</v>
      </c>
      <c r="F1351" s="3">
        <v>3206700</v>
      </c>
      <c r="G1351" t="s">
        <v>11</v>
      </c>
      <c r="H1351" s="5" t="s">
        <v>30</v>
      </c>
      <c r="I1351" t="s">
        <v>13</v>
      </c>
      <c r="J1351" t="s">
        <v>13</v>
      </c>
    </row>
    <row r="1352" spans="1:11" x14ac:dyDescent="0.35">
      <c r="A1352" t="s">
        <v>31</v>
      </c>
      <c r="B1352" t="s">
        <v>13</v>
      </c>
      <c r="C1352" t="s">
        <v>7</v>
      </c>
      <c r="D1352" t="s">
        <v>8</v>
      </c>
      <c r="E1352" s="3">
        <v>16463200</v>
      </c>
      <c r="F1352" s="3">
        <v>13867500</v>
      </c>
      <c r="G1352" t="s">
        <v>11</v>
      </c>
      <c r="H1352" s="5">
        <v>83972700</v>
      </c>
      <c r="I1352" t="s">
        <v>13</v>
      </c>
      <c r="J1352" t="s">
        <v>13</v>
      </c>
      <c r="K1352">
        <v>16.510000000000002</v>
      </c>
    </row>
    <row r="1354" spans="1:11" x14ac:dyDescent="0.35">
      <c r="A1354" t="s">
        <v>287</v>
      </c>
      <c r="B1354" t="str">
        <f>"67022"</f>
        <v>67022</v>
      </c>
      <c r="C1354" t="str">
        <f>"001A"</f>
        <v>001A</v>
      </c>
      <c r="D1354">
        <v>2021</v>
      </c>
      <c r="E1354" s="3">
        <v>28653700</v>
      </c>
      <c r="F1354" s="3">
        <v>4236400</v>
      </c>
      <c r="G1354" t="s">
        <v>11</v>
      </c>
      <c r="H1354" s="5" t="s">
        <v>30</v>
      </c>
      <c r="I1354" t="s">
        <v>13</v>
      </c>
      <c r="J1354" t="s">
        <v>13</v>
      </c>
    </row>
    <row r="1355" spans="1:11" x14ac:dyDescent="0.35">
      <c r="A1355" t="s">
        <v>31</v>
      </c>
      <c r="B1355" t="s">
        <v>13</v>
      </c>
      <c r="C1355" t="s">
        <v>7</v>
      </c>
      <c r="D1355" t="s">
        <v>8</v>
      </c>
      <c r="E1355" s="3">
        <v>28653700</v>
      </c>
      <c r="F1355" s="3">
        <v>4236400</v>
      </c>
      <c r="G1355" t="s">
        <v>11</v>
      </c>
      <c r="H1355" s="5">
        <v>2268621400</v>
      </c>
      <c r="I1355" t="s">
        <v>13</v>
      </c>
      <c r="J1355" t="s">
        <v>13</v>
      </c>
      <c r="K1355">
        <v>0.19</v>
      </c>
    </row>
    <row r="1356" spans="1:11" x14ac:dyDescent="0.35">
      <c r="A1356" t="s">
        <v>287</v>
      </c>
      <c r="B1356" t="str">
        <f>"67265"</f>
        <v>67265</v>
      </c>
      <c r="C1356" t="str">
        <f>"004"</f>
        <v>004</v>
      </c>
      <c r="D1356">
        <v>2003</v>
      </c>
      <c r="E1356" s="3">
        <v>78159600</v>
      </c>
      <c r="F1356" s="3">
        <v>28230500</v>
      </c>
      <c r="G1356" t="s">
        <v>11</v>
      </c>
      <c r="H1356" s="5" t="s">
        <v>30</v>
      </c>
      <c r="I1356" t="s">
        <v>13</v>
      </c>
      <c r="J1356" t="s">
        <v>13</v>
      </c>
    </row>
    <row r="1357" spans="1:11" x14ac:dyDescent="0.35">
      <c r="A1357" t="s">
        <v>5</v>
      </c>
      <c r="B1357" t="str">
        <f>"67265"</f>
        <v>67265</v>
      </c>
      <c r="C1357" t="str">
        <f>"005"</f>
        <v>005</v>
      </c>
      <c r="D1357">
        <v>2017</v>
      </c>
      <c r="E1357" s="3">
        <v>52699300</v>
      </c>
      <c r="F1357" s="3">
        <v>46679600</v>
      </c>
      <c r="G1357" t="s">
        <v>11</v>
      </c>
      <c r="H1357" s="5" t="s">
        <v>30</v>
      </c>
      <c r="I1357" t="s">
        <v>13</v>
      </c>
      <c r="J1357" t="s">
        <v>13</v>
      </c>
    </row>
    <row r="1358" spans="1:11" x14ac:dyDescent="0.35">
      <c r="A1358" t="s">
        <v>5</v>
      </c>
      <c r="B1358" t="str">
        <f>"67265"</f>
        <v>67265</v>
      </c>
      <c r="C1358" t="str">
        <f>"006"</f>
        <v>006</v>
      </c>
      <c r="D1358">
        <v>2017</v>
      </c>
      <c r="E1358" s="3">
        <v>45144800</v>
      </c>
      <c r="F1358" s="3">
        <v>43343000</v>
      </c>
      <c r="G1358" t="s">
        <v>11</v>
      </c>
      <c r="H1358" s="5" t="s">
        <v>30</v>
      </c>
      <c r="I1358" t="s">
        <v>13</v>
      </c>
      <c r="J1358" t="s">
        <v>13</v>
      </c>
    </row>
    <row r="1359" spans="1:11" x14ac:dyDescent="0.35">
      <c r="A1359" t="s">
        <v>5</v>
      </c>
      <c r="B1359" t="str">
        <f>"67265"</f>
        <v>67265</v>
      </c>
      <c r="C1359" t="str">
        <f>"007"</f>
        <v>007</v>
      </c>
      <c r="D1359">
        <v>2021</v>
      </c>
      <c r="E1359" s="3">
        <v>13195400</v>
      </c>
      <c r="F1359" s="3">
        <v>-755000</v>
      </c>
      <c r="G1359" t="s">
        <v>52</v>
      </c>
      <c r="H1359" s="5" t="s">
        <v>30</v>
      </c>
      <c r="I1359" t="s">
        <v>13</v>
      </c>
      <c r="J1359" t="s">
        <v>13</v>
      </c>
    </row>
    <row r="1360" spans="1:11" x14ac:dyDescent="0.35">
      <c r="A1360" t="s">
        <v>31</v>
      </c>
      <c r="B1360" t="s">
        <v>13</v>
      </c>
      <c r="C1360" t="s">
        <v>7</v>
      </c>
      <c r="D1360" t="s">
        <v>8</v>
      </c>
      <c r="E1360" s="3">
        <v>189199100</v>
      </c>
      <c r="F1360" s="3">
        <v>118253100</v>
      </c>
      <c r="G1360" t="s">
        <v>11</v>
      </c>
      <c r="H1360" s="5">
        <v>3160762900</v>
      </c>
      <c r="I1360" t="s">
        <v>13</v>
      </c>
      <c r="J1360" t="s">
        <v>13</v>
      </c>
      <c r="K1360">
        <v>3.74</v>
      </c>
    </row>
    <row r="1362" spans="1:11" x14ac:dyDescent="0.35">
      <c r="A1362" t="s">
        <v>288</v>
      </c>
      <c r="B1362" t="str">
        <f>"42265"</f>
        <v>42265</v>
      </c>
      <c r="C1362" t="str">
        <f>"004"</f>
        <v>004</v>
      </c>
      <c r="D1362">
        <v>2010</v>
      </c>
      <c r="E1362" s="3">
        <v>9558600</v>
      </c>
      <c r="F1362" s="3">
        <v>8130000</v>
      </c>
      <c r="G1362" t="s">
        <v>11</v>
      </c>
      <c r="H1362" s="5" t="s">
        <v>30</v>
      </c>
      <c r="I1362" t="s">
        <v>13</v>
      </c>
      <c r="J1362" t="s">
        <v>13</v>
      </c>
    </row>
    <row r="1363" spans="1:11" x14ac:dyDescent="0.35">
      <c r="A1363" t="s">
        <v>31</v>
      </c>
      <c r="B1363" t="s">
        <v>13</v>
      </c>
      <c r="C1363" t="s">
        <v>7</v>
      </c>
      <c r="D1363" t="s">
        <v>8</v>
      </c>
      <c r="E1363" s="3">
        <v>9558600</v>
      </c>
      <c r="F1363" s="3">
        <v>8130000</v>
      </c>
      <c r="G1363" t="s">
        <v>11</v>
      </c>
      <c r="H1363" s="5">
        <v>295244200</v>
      </c>
      <c r="I1363" t="s">
        <v>13</v>
      </c>
      <c r="J1363" t="s">
        <v>13</v>
      </c>
      <c r="K1363">
        <v>2.75</v>
      </c>
    </row>
    <row r="1365" spans="1:11" x14ac:dyDescent="0.35">
      <c r="A1365" t="s">
        <v>289</v>
      </c>
      <c r="B1365" t="str">
        <f>"70265"</f>
        <v>70265</v>
      </c>
      <c r="C1365" t="str">
        <f>"007"</f>
        <v>007</v>
      </c>
      <c r="D1365">
        <v>2017</v>
      </c>
      <c r="E1365" s="3">
        <v>13385700</v>
      </c>
      <c r="F1365" s="3">
        <v>9034000</v>
      </c>
      <c r="G1365" t="s">
        <v>11</v>
      </c>
      <c r="H1365" s="5" t="s">
        <v>30</v>
      </c>
      <c r="I1365" t="s">
        <v>13</v>
      </c>
      <c r="J1365" t="s">
        <v>13</v>
      </c>
    </row>
    <row r="1366" spans="1:11" x14ac:dyDescent="0.35">
      <c r="A1366" t="s">
        <v>31</v>
      </c>
      <c r="B1366" t="s">
        <v>13</v>
      </c>
      <c r="C1366" t="s">
        <v>7</v>
      </c>
      <c r="D1366" t="s">
        <v>8</v>
      </c>
      <c r="E1366" s="3">
        <v>13385700</v>
      </c>
      <c r="F1366" s="3">
        <v>9034000</v>
      </c>
      <c r="G1366" t="s">
        <v>11</v>
      </c>
      <c r="H1366" s="5">
        <v>263277000</v>
      </c>
      <c r="I1366" t="s">
        <v>13</v>
      </c>
      <c r="J1366" t="s">
        <v>13</v>
      </c>
      <c r="K1366">
        <v>3.43</v>
      </c>
    </row>
    <row r="1368" spans="1:11" x14ac:dyDescent="0.35">
      <c r="A1368" t="s">
        <v>290</v>
      </c>
      <c r="B1368" t="str">
        <f>"32265"</f>
        <v>32265</v>
      </c>
      <c r="C1368" t="str">
        <f>"005"</f>
        <v>005</v>
      </c>
      <c r="D1368">
        <v>2019</v>
      </c>
      <c r="E1368" s="3">
        <v>13983700</v>
      </c>
      <c r="F1368" s="3">
        <v>13983700</v>
      </c>
      <c r="G1368" t="s">
        <v>11</v>
      </c>
      <c r="H1368" s="5" t="s">
        <v>30</v>
      </c>
      <c r="I1368" t="s">
        <v>13</v>
      </c>
      <c r="J1368" t="s">
        <v>13</v>
      </c>
    </row>
    <row r="1369" spans="1:11" x14ac:dyDescent="0.35">
      <c r="A1369" t="s">
        <v>5</v>
      </c>
      <c r="B1369" t="str">
        <f>"32265"</f>
        <v>32265</v>
      </c>
      <c r="C1369" t="str">
        <f>"006"</f>
        <v>006</v>
      </c>
      <c r="D1369">
        <v>2020</v>
      </c>
      <c r="E1369" s="3">
        <v>18084100</v>
      </c>
      <c r="F1369" s="3">
        <v>2549000</v>
      </c>
      <c r="G1369" t="s">
        <v>11</v>
      </c>
      <c r="H1369" s="5" t="s">
        <v>30</v>
      </c>
      <c r="I1369" t="s">
        <v>13</v>
      </c>
      <c r="J1369" t="s">
        <v>13</v>
      </c>
    </row>
    <row r="1370" spans="1:11" x14ac:dyDescent="0.35">
      <c r="A1370" t="s">
        <v>31</v>
      </c>
      <c r="B1370" t="s">
        <v>13</v>
      </c>
      <c r="C1370" t="s">
        <v>7</v>
      </c>
      <c r="D1370" t="s">
        <v>8</v>
      </c>
      <c r="E1370" s="3">
        <v>32067800</v>
      </c>
      <c r="F1370" s="3">
        <v>16532700</v>
      </c>
      <c r="G1370" t="s">
        <v>11</v>
      </c>
      <c r="H1370" s="5">
        <v>2616780700</v>
      </c>
      <c r="I1370" t="s">
        <v>13</v>
      </c>
      <c r="J1370" t="s">
        <v>13</v>
      </c>
      <c r="K1370">
        <v>0.63</v>
      </c>
    </row>
    <row r="1372" spans="1:11" x14ac:dyDescent="0.35">
      <c r="A1372" t="s">
        <v>291</v>
      </c>
      <c r="B1372" t="str">
        <f>"62165"</f>
        <v>62165</v>
      </c>
      <c r="C1372" t="str">
        <f>"001"</f>
        <v>001</v>
      </c>
      <c r="D1372">
        <v>1998</v>
      </c>
      <c r="E1372" s="3">
        <v>3852700</v>
      </c>
      <c r="F1372" s="3">
        <v>3366200</v>
      </c>
      <c r="G1372" t="s">
        <v>11</v>
      </c>
      <c r="H1372" s="5" t="s">
        <v>30</v>
      </c>
      <c r="I1372" t="s">
        <v>13</v>
      </c>
      <c r="J1372" t="s">
        <v>13</v>
      </c>
    </row>
    <row r="1373" spans="1:11" x14ac:dyDescent="0.35">
      <c r="A1373" t="s">
        <v>5</v>
      </c>
      <c r="B1373" t="str">
        <f>"62165"</f>
        <v>62165</v>
      </c>
      <c r="C1373" t="str">
        <f>"002"</f>
        <v>002</v>
      </c>
      <c r="D1373">
        <v>2020</v>
      </c>
      <c r="E1373" s="3">
        <v>934000</v>
      </c>
      <c r="F1373" s="3">
        <v>266000</v>
      </c>
      <c r="G1373" t="s">
        <v>11</v>
      </c>
      <c r="H1373" s="5" t="s">
        <v>30</v>
      </c>
      <c r="I1373" t="s">
        <v>13</v>
      </c>
      <c r="J1373" t="s">
        <v>13</v>
      </c>
    </row>
    <row r="1374" spans="1:11" x14ac:dyDescent="0.35">
      <c r="A1374" t="s">
        <v>31</v>
      </c>
      <c r="B1374" t="s">
        <v>13</v>
      </c>
      <c r="C1374" t="s">
        <v>7</v>
      </c>
      <c r="D1374" t="s">
        <v>8</v>
      </c>
      <c r="E1374" s="3">
        <v>4786700</v>
      </c>
      <c r="F1374" s="3">
        <v>3632200</v>
      </c>
      <c r="G1374" t="s">
        <v>11</v>
      </c>
      <c r="H1374" s="5">
        <v>22288700</v>
      </c>
      <c r="I1374" t="s">
        <v>13</v>
      </c>
      <c r="J1374" t="s">
        <v>13</v>
      </c>
      <c r="K1374">
        <v>16.3</v>
      </c>
    </row>
    <row r="1376" spans="1:11" x14ac:dyDescent="0.35">
      <c r="A1376" t="s">
        <v>292</v>
      </c>
      <c r="B1376" t="str">
        <f>"59165"</f>
        <v>59165</v>
      </c>
      <c r="C1376" t="str">
        <f>"001"</f>
        <v>001</v>
      </c>
      <c r="D1376">
        <v>1999</v>
      </c>
      <c r="E1376" s="3">
        <v>27866400</v>
      </c>
      <c r="F1376" s="3">
        <v>27462800</v>
      </c>
      <c r="G1376" t="s">
        <v>11</v>
      </c>
      <c r="H1376" s="5" t="s">
        <v>30</v>
      </c>
      <c r="I1376" t="s">
        <v>13</v>
      </c>
      <c r="J1376" t="s">
        <v>13</v>
      </c>
    </row>
    <row r="1377" spans="1:11" x14ac:dyDescent="0.35">
      <c r="A1377" t="s">
        <v>5</v>
      </c>
      <c r="B1377" t="str">
        <f>"59165"</f>
        <v>59165</v>
      </c>
      <c r="C1377" t="str">
        <f>"002"</f>
        <v>002</v>
      </c>
      <c r="D1377">
        <v>2001</v>
      </c>
      <c r="E1377" s="3">
        <v>20162900</v>
      </c>
      <c r="F1377" s="3">
        <v>14685100</v>
      </c>
      <c r="G1377" t="s">
        <v>11</v>
      </c>
      <c r="H1377" s="5" t="s">
        <v>30</v>
      </c>
      <c r="I1377" t="s">
        <v>13</v>
      </c>
      <c r="J1377" t="s">
        <v>13</v>
      </c>
    </row>
    <row r="1378" spans="1:11" x14ac:dyDescent="0.35">
      <c r="A1378" t="s">
        <v>5</v>
      </c>
      <c r="B1378" t="str">
        <f>"59165"</f>
        <v>59165</v>
      </c>
      <c r="C1378" t="str">
        <f>"003"</f>
        <v>003</v>
      </c>
      <c r="D1378">
        <v>2017</v>
      </c>
      <c r="E1378" s="3">
        <v>24288300</v>
      </c>
      <c r="F1378" s="3">
        <v>23580200</v>
      </c>
      <c r="G1378" t="s">
        <v>11</v>
      </c>
      <c r="H1378" s="5" t="s">
        <v>30</v>
      </c>
      <c r="I1378" t="s">
        <v>13</v>
      </c>
      <c r="J1378" t="s">
        <v>13</v>
      </c>
    </row>
    <row r="1379" spans="1:11" x14ac:dyDescent="0.35">
      <c r="A1379" t="s">
        <v>31</v>
      </c>
      <c r="B1379" t="s">
        <v>13</v>
      </c>
      <c r="C1379" t="s">
        <v>7</v>
      </c>
      <c r="D1379" t="s">
        <v>8</v>
      </c>
      <c r="E1379" s="3">
        <v>72317600</v>
      </c>
      <c r="F1379" s="3">
        <v>65728100</v>
      </c>
      <c r="G1379" t="s">
        <v>11</v>
      </c>
      <c r="H1379" s="5">
        <v>309801500</v>
      </c>
      <c r="I1379" t="s">
        <v>13</v>
      </c>
      <c r="J1379" t="s">
        <v>13</v>
      </c>
      <c r="K1379">
        <v>21.22</v>
      </c>
    </row>
    <row r="1381" spans="1:11" x14ac:dyDescent="0.35">
      <c r="A1381" t="s">
        <v>293</v>
      </c>
      <c r="B1381" t="str">
        <f>"13165"</f>
        <v>13165</v>
      </c>
      <c r="C1381" t="str">
        <f>"003"</f>
        <v>003</v>
      </c>
      <c r="D1381">
        <v>2005</v>
      </c>
      <c r="E1381" s="3">
        <v>26228600</v>
      </c>
      <c r="F1381" s="3">
        <v>10347800</v>
      </c>
      <c r="G1381" t="s">
        <v>11</v>
      </c>
      <c r="H1381" s="5" t="s">
        <v>30</v>
      </c>
      <c r="I1381" t="s">
        <v>13</v>
      </c>
      <c r="J1381" t="s">
        <v>13</v>
      </c>
    </row>
    <row r="1382" spans="1:11" x14ac:dyDescent="0.35">
      <c r="A1382" t="s">
        <v>5</v>
      </c>
      <c r="B1382" t="str">
        <f>"13165"</f>
        <v>13165</v>
      </c>
      <c r="C1382" t="str">
        <f>"004"</f>
        <v>004</v>
      </c>
      <c r="D1382">
        <v>2008</v>
      </c>
      <c r="E1382" s="3">
        <v>28509400</v>
      </c>
      <c r="F1382" s="3">
        <v>15691300</v>
      </c>
      <c r="G1382" t="s">
        <v>11</v>
      </c>
      <c r="H1382" s="5" t="s">
        <v>30</v>
      </c>
      <c r="I1382" t="s">
        <v>13</v>
      </c>
      <c r="J1382" t="s">
        <v>13</v>
      </c>
    </row>
    <row r="1383" spans="1:11" x14ac:dyDescent="0.35">
      <c r="A1383" t="s">
        <v>5</v>
      </c>
      <c r="B1383" t="str">
        <f>"13165"</f>
        <v>13165</v>
      </c>
      <c r="C1383" t="str">
        <f>"005"</f>
        <v>005</v>
      </c>
      <c r="D1383">
        <v>2017</v>
      </c>
      <c r="E1383" s="3">
        <v>79974900</v>
      </c>
      <c r="F1383" s="3">
        <v>26278200</v>
      </c>
      <c r="G1383" t="s">
        <v>11</v>
      </c>
      <c r="H1383" s="5" t="s">
        <v>30</v>
      </c>
      <c r="I1383" t="s">
        <v>13</v>
      </c>
      <c r="J1383" t="s">
        <v>13</v>
      </c>
    </row>
    <row r="1384" spans="1:11" x14ac:dyDescent="0.35">
      <c r="A1384" t="s">
        <v>31</v>
      </c>
      <c r="B1384" t="s">
        <v>13</v>
      </c>
      <c r="C1384" t="s">
        <v>7</v>
      </c>
      <c r="D1384" t="s">
        <v>8</v>
      </c>
      <c r="E1384" s="3">
        <v>134712900</v>
      </c>
      <c r="F1384" s="3">
        <v>52317300</v>
      </c>
      <c r="G1384" t="s">
        <v>11</v>
      </c>
      <c r="H1384" s="5">
        <v>1587674000</v>
      </c>
      <c r="I1384" t="s">
        <v>13</v>
      </c>
      <c r="J1384" t="s">
        <v>13</v>
      </c>
      <c r="K1384">
        <v>3.3</v>
      </c>
    </row>
    <row r="1386" spans="1:11" x14ac:dyDescent="0.35">
      <c r="A1386" t="s">
        <v>294</v>
      </c>
      <c r="B1386" t="str">
        <f>"53165"</f>
        <v>53165</v>
      </c>
      <c r="C1386" t="str">
        <f>"003"</f>
        <v>003</v>
      </c>
      <c r="D1386">
        <v>2000</v>
      </c>
      <c r="E1386" s="3">
        <v>11370700</v>
      </c>
      <c r="F1386" s="3">
        <v>10858000</v>
      </c>
      <c r="G1386" t="s">
        <v>11</v>
      </c>
      <c r="H1386" s="5" t="s">
        <v>30</v>
      </c>
      <c r="I1386" t="s">
        <v>13</v>
      </c>
      <c r="J1386" t="s">
        <v>13</v>
      </c>
    </row>
    <row r="1387" spans="1:11" x14ac:dyDescent="0.35">
      <c r="A1387" t="s">
        <v>31</v>
      </c>
      <c r="B1387" t="s">
        <v>13</v>
      </c>
      <c r="C1387" t="s">
        <v>7</v>
      </c>
      <c r="D1387" t="s">
        <v>8</v>
      </c>
      <c r="E1387" s="3">
        <v>11370700</v>
      </c>
      <c r="F1387" s="3">
        <v>10858000</v>
      </c>
      <c r="G1387" t="s">
        <v>11</v>
      </c>
      <c r="H1387" s="5">
        <v>117090200</v>
      </c>
      <c r="I1387" t="s">
        <v>13</v>
      </c>
      <c r="J1387" t="s">
        <v>13</v>
      </c>
      <c r="K1387">
        <v>9.27</v>
      </c>
    </row>
    <row r="1389" spans="1:11" x14ac:dyDescent="0.35">
      <c r="A1389" t="s">
        <v>295</v>
      </c>
      <c r="B1389" t="str">
        <f>"48165"</f>
        <v>48165</v>
      </c>
      <c r="C1389" t="str">
        <f>"002"</f>
        <v>002</v>
      </c>
      <c r="D1389">
        <v>1992</v>
      </c>
      <c r="E1389" s="3">
        <v>28967700</v>
      </c>
      <c r="F1389" s="3">
        <v>25215900</v>
      </c>
      <c r="G1389" t="s">
        <v>11</v>
      </c>
      <c r="H1389" s="5" t="s">
        <v>30</v>
      </c>
      <c r="I1389" t="s">
        <v>13</v>
      </c>
      <c r="J1389" t="s">
        <v>13</v>
      </c>
    </row>
    <row r="1390" spans="1:11" x14ac:dyDescent="0.35">
      <c r="A1390" t="s">
        <v>5</v>
      </c>
      <c r="B1390" t="str">
        <f>"48165"</f>
        <v>48165</v>
      </c>
      <c r="C1390" t="str">
        <f>"003"</f>
        <v>003</v>
      </c>
      <c r="D1390">
        <v>2020</v>
      </c>
      <c r="E1390" s="3">
        <v>6894400</v>
      </c>
      <c r="F1390" s="3">
        <v>3617600</v>
      </c>
      <c r="G1390" t="s">
        <v>11</v>
      </c>
      <c r="H1390" s="5" t="s">
        <v>30</v>
      </c>
      <c r="I1390" t="s">
        <v>13</v>
      </c>
      <c r="J1390" t="s">
        <v>13</v>
      </c>
    </row>
    <row r="1391" spans="1:11" x14ac:dyDescent="0.35">
      <c r="A1391" t="s">
        <v>31</v>
      </c>
      <c r="B1391" t="s">
        <v>13</v>
      </c>
      <c r="C1391" t="s">
        <v>7</v>
      </c>
      <c r="D1391" t="s">
        <v>8</v>
      </c>
      <c r="E1391" s="3">
        <v>35862100</v>
      </c>
      <c r="F1391" s="3">
        <v>28833500</v>
      </c>
      <c r="G1391" t="s">
        <v>11</v>
      </c>
      <c r="H1391" s="5">
        <v>308437800</v>
      </c>
      <c r="I1391" t="s">
        <v>13</v>
      </c>
      <c r="J1391" t="s">
        <v>13</v>
      </c>
      <c r="K1391">
        <v>9.35</v>
      </c>
    </row>
    <row r="1393" spans="1:10" x14ac:dyDescent="0.35">
      <c r="A1393" t="s">
        <v>296</v>
      </c>
      <c r="B1393" t="str">
        <f t="shared" ref="B1393:B1420" si="31">"70266"</f>
        <v>70266</v>
      </c>
      <c r="C1393" t="str">
        <f>"012"</f>
        <v>012</v>
      </c>
      <c r="D1393">
        <v>1997</v>
      </c>
      <c r="E1393" s="3">
        <v>7959300</v>
      </c>
      <c r="F1393" s="3">
        <v>6243900</v>
      </c>
      <c r="G1393" t="s">
        <v>11</v>
      </c>
      <c r="H1393" s="5" t="s">
        <v>30</v>
      </c>
      <c r="I1393" t="s">
        <v>13</v>
      </c>
      <c r="J1393" t="s">
        <v>13</v>
      </c>
    </row>
    <row r="1394" spans="1:10" x14ac:dyDescent="0.35">
      <c r="A1394" t="s">
        <v>5</v>
      </c>
      <c r="B1394" t="str">
        <f t="shared" si="31"/>
        <v>70266</v>
      </c>
      <c r="C1394" t="str">
        <f>"013"</f>
        <v>013</v>
      </c>
      <c r="D1394">
        <v>1998</v>
      </c>
      <c r="E1394" s="3">
        <v>19731500</v>
      </c>
      <c r="F1394" s="3">
        <v>13862400</v>
      </c>
      <c r="G1394" t="s">
        <v>11</v>
      </c>
      <c r="H1394" s="5" t="s">
        <v>30</v>
      </c>
      <c r="I1394" t="s">
        <v>13</v>
      </c>
      <c r="J1394" t="s">
        <v>13</v>
      </c>
    </row>
    <row r="1395" spans="1:10" x14ac:dyDescent="0.35">
      <c r="A1395" t="s">
        <v>5</v>
      </c>
      <c r="B1395" t="str">
        <f t="shared" si="31"/>
        <v>70266</v>
      </c>
      <c r="C1395" t="str">
        <f>"014"</f>
        <v>014</v>
      </c>
      <c r="D1395">
        <v>2000</v>
      </c>
      <c r="E1395" s="3">
        <v>25412200</v>
      </c>
      <c r="F1395" s="3">
        <v>24853800</v>
      </c>
      <c r="G1395" t="s">
        <v>11</v>
      </c>
      <c r="H1395" s="5" t="s">
        <v>30</v>
      </c>
      <c r="I1395" t="s">
        <v>13</v>
      </c>
      <c r="J1395" t="s">
        <v>13</v>
      </c>
    </row>
    <row r="1396" spans="1:10" x14ac:dyDescent="0.35">
      <c r="A1396" t="s">
        <v>5</v>
      </c>
      <c r="B1396" t="str">
        <f t="shared" si="31"/>
        <v>70266</v>
      </c>
      <c r="C1396" t="str">
        <f>"015"</f>
        <v>015</v>
      </c>
      <c r="D1396">
        <v>2001</v>
      </c>
      <c r="E1396" s="3">
        <v>9790000</v>
      </c>
      <c r="F1396" s="3">
        <v>9225100</v>
      </c>
      <c r="G1396" t="s">
        <v>11</v>
      </c>
      <c r="H1396" s="5" t="s">
        <v>30</v>
      </c>
      <c r="I1396" t="s">
        <v>13</v>
      </c>
      <c r="J1396" t="s">
        <v>13</v>
      </c>
    </row>
    <row r="1397" spans="1:10" x14ac:dyDescent="0.35">
      <c r="A1397" t="s">
        <v>5</v>
      </c>
      <c r="B1397" t="str">
        <f t="shared" si="31"/>
        <v>70266</v>
      </c>
      <c r="C1397" t="str">
        <f>"016"</f>
        <v>016</v>
      </c>
      <c r="D1397">
        <v>2001</v>
      </c>
      <c r="E1397" s="3">
        <v>6282700</v>
      </c>
      <c r="F1397" s="3">
        <v>6282700</v>
      </c>
      <c r="G1397" t="s">
        <v>11</v>
      </c>
      <c r="H1397" s="5" t="s">
        <v>30</v>
      </c>
      <c r="I1397" t="s">
        <v>13</v>
      </c>
      <c r="J1397" t="s">
        <v>13</v>
      </c>
    </row>
    <row r="1398" spans="1:10" x14ac:dyDescent="0.35">
      <c r="A1398" t="s">
        <v>5</v>
      </c>
      <c r="B1398" t="str">
        <f t="shared" si="31"/>
        <v>70266</v>
      </c>
      <c r="C1398" t="str">
        <f>"017"</f>
        <v>017</v>
      </c>
      <c r="D1398">
        <v>2001</v>
      </c>
      <c r="E1398" s="3">
        <v>15536100</v>
      </c>
      <c r="F1398" s="3">
        <v>13325500</v>
      </c>
      <c r="G1398" t="s">
        <v>11</v>
      </c>
      <c r="H1398" s="5" t="s">
        <v>30</v>
      </c>
      <c r="I1398" t="s">
        <v>13</v>
      </c>
      <c r="J1398" t="s">
        <v>13</v>
      </c>
    </row>
    <row r="1399" spans="1:10" x14ac:dyDescent="0.35">
      <c r="A1399" t="s">
        <v>5</v>
      </c>
      <c r="B1399" t="str">
        <f t="shared" si="31"/>
        <v>70266</v>
      </c>
      <c r="C1399" t="str">
        <f>"018"</f>
        <v>018</v>
      </c>
      <c r="D1399">
        <v>2002</v>
      </c>
      <c r="E1399" s="3">
        <v>22349400</v>
      </c>
      <c r="F1399" s="3">
        <v>22298100</v>
      </c>
      <c r="G1399" t="s">
        <v>11</v>
      </c>
      <c r="H1399" s="5" t="s">
        <v>30</v>
      </c>
      <c r="I1399" t="s">
        <v>13</v>
      </c>
      <c r="J1399" t="s">
        <v>13</v>
      </c>
    </row>
    <row r="1400" spans="1:10" x14ac:dyDescent="0.35">
      <c r="A1400" t="s">
        <v>5</v>
      </c>
      <c r="B1400" t="str">
        <f t="shared" si="31"/>
        <v>70266</v>
      </c>
      <c r="C1400" t="str">
        <f>"019"</f>
        <v>019</v>
      </c>
      <c r="D1400">
        <v>2003</v>
      </c>
      <c r="E1400" s="3">
        <v>11281300</v>
      </c>
      <c r="F1400" s="3">
        <v>11177100</v>
      </c>
      <c r="G1400" t="s">
        <v>11</v>
      </c>
      <c r="H1400" s="5" t="s">
        <v>30</v>
      </c>
      <c r="I1400" t="s">
        <v>13</v>
      </c>
      <c r="J1400" t="s">
        <v>13</v>
      </c>
    </row>
    <row r="1401" spans="1:10" x14ac:dyDescent="0.35">
      <c r="A1401" t="s">
        <v>5</v>
      </c>
      <c r="B1401" t="str">
        <f t="shared" si="31"/>
        <v>70266</v>
      </c>
      <c r="C1401" t="str">
        <f>"020"</f>
        <v>020</v>
      </c>
      <c r="D1401">
        <v>2005</v>
      </c>
      <c r="E1401" s="3">
        <v>17290900</v>
      </c>
      <c r="F1401" s="3">
        <v>-3524600</v>
      </c>
      <c r="G1401" t="s">
        <v>52</v>
      </c>
      <c r="H1401" s="5" t="s">
        <v>30</v>
      </c>
      <c r="I1401" t="s">
        <v>13</v>
      </c>
      <c r="J1401" t="s">
        <v>13</v>
      </c>
    </row>
    <row r="1402" spans="1:10" x14ac:dyDescent="0.35">
      <c r="A1402" t="s">
        <v>5</v>
      </c>
      <c r="B1402" t="str">
        <f t="shared" si="31"/>
        <v>70266</v>
      </c>
      <c r="C1402" t="str">
        <f>"021"</f>
        <v>021</v>
      </c>
      <c r="D1402">
        <v>2006</v>
      </c>
      <c r="E1402" s="3">
        <v>23543700</v>
      </c>
      <c r="F1402" s="3">
        <v>21588800</v>
      </c>
      <c r="G1402" t="s">
        <v>11</v>
      </c>
      <c r="H1402" s="5" t="s">
        <v>30</v>
      </c>
      <c r="I1402" t="s">
        <v>13</v>
      </c>
      <c r="J1402" t="s">
        <v>13</v>
      </c>
    </row>
    <row r="1403" spans="1:10" x14ac:dyDescent="0.35">
      <c r="A1403" t="s">
        <v>5</v>
      </c>
      <c r="B1403" t="str">
        <f t="shared" si="31"/>
        <v>70266</v>
      </c>
      <c r="C1403" t="str">
        <f>"023"</f>
        <v>023</v>
      </c>
      <c r="D1403">
        <v>2009</v>
      </c>
      <c r="E1403" s="3">
        <v>1185000</v>
      </c>
      <c r="F1403" s="3">
        <v>951300</v>
      </c>
      <c r="G1403" t="s">
        <v>11</v>
      </c>
      <c r="H1403" s="5" t="s">
        <v>30</v>
      </c>
      <c r="I1403" t="s">
        <v>13</v>
      </c>
      <c r="J1403" t="s">
        <v>13</v>
      </c>
    </row>
    <row r="1404" spans="1:10" x14ac:dyDescent="0.35">
      <c r="A1404" t="s">
        <v>5</v>
      </c>
      <c r="B1404" t="str">
        <f t="shared" si="31"/>
        <v>70266</v>
      </c>
      <c r="C1404" t="str">
        <f>"024"</f>
        <v>024</v>
      </c>
      <c r="D1404">
        <v>2010</v>
      </c>
      <c r="E1404" s="3">
        <v>19092500</v>
      </c>
      <c r="F1404" s="3">
        <v>10627600</v>
      </c>
      <c r="G1404" t="s">
        <v>11</v>
      </c>
      <c r="H1404" s="5" t="s">
        <v>30</v>
      </c>
      <c r="I1404" t="s">
        <v>13</v>
      </c>
      <c r="J1404" t="s">
        <v>13</v>
      </c>
    </row>
    <row r="1405" spans="1:10" x14ac:dyDescent="0.35">
      <c r="A1405" t="s">
        <v>5</v>
      </c>
      <c r="B1405" t="str">
        <f t="shared" si="31"/>
        <v>70266</v>
      </c>
      <c r="C1405" t="str">
        <f>"025"</f>
        <v>025</v>
      </c>
      <c r="D1405">
        <v>2012</v>
      </c>
      <c r="E1405" s="3">
        <v>12883400</v>
      </c>
      <c r="F1405" s="3">
        <v>11832600</v>
      </c>
      <c r="G1405" t="s">
        <v>11</v>
      </c>
      <c r="H1405" s="5" t="s">
        <v>30</v>
      </c>
      <c r="I1405" t="s">
        <v>13</v>
      </c>
      <c r="J1405" t="s">
        <v>13</v>
      </c>
    </row>
    <row r="1406" spans="1:10" x14ac:dyDescent="0.35">
      <c r="A1406" t="s">
        <v>5</v>
      </c>
      <c r="B1406" t="str">
        <f t="shared" si="31"/>
        <v>70266</v>
      </c>
      <c r="C1406" t="str">
        <f>"026"</f>
        <v>026</v>
      </c>
      <c r="D1406">
        <v>2013</v>
      </c>
      <c r="E1406" s="3">
        <v>0</v>
      </c>
      <c r="F1406" s="3">
        <v>-29400</v>
      </c>
      <c r="G1406" t="s">
        <v>52</v>
      </c>
      <c r="H1406" s="5" t="s">
        <v>30</v>
      </c>
      <c r="I1406" t="s">
        <v>13</v>
      </c>
      <c r="J1406" t="s">
        <v>13</v>
      </c>
    </row>
    <row r="1407" spans="1:10" x14ac:dyDescent="0.35">
      <c r="A1407" t="s">
        <v>5</v>
      </c>
      <c r="B1407" t="str">
        <f t="shared" si="31"/>
        <v>70266</v>
      </c>
      <c r="C1407" t="str">
        <f>"027"</f>
        <v>027</v>
      </c>
      <c r="D1407">
        <v>2014</v>
      </c>
      <c r="E1407" s="3">
        <v>71229500</v>
      </c>
      <c r="F1407" s="3">
        <v>12999200</v>
      </c>
      <c r="G1407" t="s">
        <v>11</v>
      </c>
      <c r="H1407" s="5" t="s">
        <v>30</v>
      </c>
      <c r="I1407" t="s">
        <v>13</v>
      </c>
      <c r="J1407" t="s">
        <v>13</v>
      </c>
    </row>
    <row r="1408" spans="1:10" x14ac:dyDescent="0.35">
      <c r="A1408" t="s">
        <v>5</v>
      </c>
      <c r="B1408" t="str">
        <f t="shared" si="31"/>
        <v>70266</v>
      </c>
      <c r="C1408" t="str">
        <f>"028"</f>
        <v>028</v>
      </c>
      <c r="D1408">
        <v>2016</v>
      </c>
      <c r="E1408" s="3">
        <v>2963600</v>
      </c>
      <c r="F1408" s="3">
        <v>2387900</v>
      </c>
      <c r="G1408" t="s">
        <v>11</v>
      </c>
      <c r="H1408" s="5" t="s">
        <v>30</v>
      </c>
      <c r="I1408" t="s">
        <v>13</v>
      </c>
      <c r="J1408" t="s">
        <v>13</v>
      </c>
    </row>
    <row r="1409" spans="1:11" x14ac:dyDescent="0.35">
      <c r="A1409" t="s">
        <v>5</v>
      </c>
      <c r="B1409" t="str">
        <f t="shared" si="31"/>
        <v>70266</v>
      </c>
      <c r="C1409" t="str">
        <f>"029"</f>
        <v>029</v>
      </c>
      <c r="D1409">
        <v>2016</v>
      </c>
      <c r="E1409" s="3">
        <v>1894800</v>
      </c>
      <c r="F1409" s="3">
        <v>626700</v>
      </c>
      <c r="G1409" t="s">
        <v>11</v>
      </c>
      <c r="H1409" s="5" t="s">
        <v>30</v>
      </c>
      <c r="I1409" t="s">
        <v>13</v>
      </c>
      <c r="J1409" t="s">
        <v>13</v>
      </c>
    </row>
    <row r="1410" spans="1:11" x14ac:dyDescent="0.35">
      <c r="A1410" t="s">
        <v>5</v>
      </c>
      <c r="B1410" t="str">
        <f t="shared" si="31"/>
        <v>70266</v>
      </c>
      <c r="C1410" t="str">
        <f>"030"</f>
        <v>030</v>
      </c>
      <c r="D1410">
        <v>2016</v>
      </c>
      <c r="E1410" s="3">
        <v>2915700</v>
      </c>
      <c r="F1410" s="3">
        <v>2345200</v>
      </c>
      <c r="G1410" t="s">
        <v>11</v>
      </c>
      <c r="H1410" s="5" t="s">
        <v>30</v>
      </c>
      <c r="I1410" t="s">
        <v>13</v>
      </c>
      <c r="J1410" t="s">
        <v>13</v>
      </c>
    </row>
    <row r="1411" spans="1:11" x14ac:dyDescent="0.35">
      <c r="A1411" t="s">
        <v>5</v>
      </c>
      <c r="B1411" t="str">
        <f t="shared" si="31"/>
        <v>70266</v>
      </c>
      <c r="C1411" t="str">
        <f>"031"</f>
        <v>031</v>
      </c>
      <c r="D1411">
        <v>2017</v>
      </c>
      <c r="E1411" s="3">
        <v>23838100</v>
      </c>
      <c r="F1411" s="3">
        <v>23694500</v>
      </c>
      <c r="G1411" t="s">
        <v>11</v>
      </c>
      <c r="H1411" s="5" t="s">
        <v>30</v>
      </c>
      <c r="I1411" t="s">
        <v>13</v>
      </c>
      <c r="J1411" t="s">
        <v>13</v>
      </c>
    </row>
    <row r="1412" spans="1:11" x14ac:dyDescent="0.35">
      <c r="A1412" t="s">
        <v>5</v>
      </c>
      <c r="B1412" t="str">
        <f t="shared" si="31"/>
        <v>70266</v>
      </c>
      <c r="C1412" t="str">
        <f>"032"</f>
        <v>032</v>
      </c>
      <c r="D1412">
        <v>2017</v>
      </c>
      <c r="E1412" s="3">
        <v>746900</v>
      </c>
      <c r="F1412" s="3">
        <v>631000</v>
      </c>
      <c r="G1412" t="s">
        <v>11</v>
      </c>
      <c r="H1412" s="5" t="s">
        <v>30</v>
      </c>
      <c r="I1412" t="s">
        <v>13</v>
      </c>
      <c r="J1412" t="s">
        <v>13</v>
      </c>
    </row>
    <row r="1413" spans="1:11" x14ac:dyDescent="0.35">
      <c r="A1413" t="s">
        <v>5</v>
      </c>
      <c r="B1413" t="str">
        <f t="shared" si="31"/>
        <v>70266</v>
      </c>
      <c r="C1413" t="str">
        <f>"033"</f>
        <v>033</v>
      </c>
      <c r="D1413">
        <v>2017</v>
      </c>
      <c r="E1413" s="3">
        <v>14061000</v>
      </c>
      <c r="F1413" s="3">
        <v>13314900</v>
      </c>
      <c r="G1413" t="s">
        <v>11</v>
      </c>
      <c r="H1413" s="5" t="s">
        <v>30</v>
      </c>
      <c r="I1413" t="s">
        <v>13</v>
      </c>
      <c r="J1413" t="s">
        <v>13</v>
      </c>
    </row>
    <row r="1414" spans="1:11" x14ac:dyDescent="0.35">
      <c r="A1414" t="s">
        <v>5</v>
      </c>
      <c r="B1414" t="str">
        <f t="shared" si="31"/>
        <v>70266</v>
      </c>
      <c r="C1414" t="str">
        <f>"034"</f>
        <v>034</v>
      </c>
      <c r="D1414">
        <v>2018</v>
      </c>
      <c r="E1414" s="3">
        <v>48476900</v>
      </c>
      <c r="F1414" s="3">
        <v>48476900</v>
      </c>
      <c r="G1414" t="s">
        <v>11</v>
      </c>
      <c r="H1414" s="5" t="s">
        <v>30</v>
      </c>
      <c r="I1414" t="s">
        <v>13</v>
      </c>
      <c r="J1414" t="s">
        <v>13</v>
      </c>
    </row>
    <row r="1415" spans="1:11" x14ac:dyDescent="0.35">
      <c r="A1415" t="s">
        <v>5</v>
      </c>
      <c r="B1415" t="str">
        <f t="shared" si="31"/>
        <v>70266</v>
      </c>
      <c r="C1415" t="str">
        <f>"035"</f>
        <v>035</v>
      </c>
      <c r="D1415">
        <v>2018</v>
      </c>
      <c r="E1415" s="3">
        <v>42365000</v>
      </c>
      <c r="F1415" s="3">
        <v>26720000</v>
      </c>
      <c r="G1415" t="s">
        <v>11</v>
      </c>
      <c r="H1415" s="5" t="s">
        <v>30</v>
      </c>
      <c r="I1415" t="s">
        <v>13</v>
      </c>
      <c r="J1415" t="s">
        <v>13</v>
      </c>
    </row>
    <row r="1416" spans="1:11" x14ac:dyDescent="0.35">
      <c r="A1416" t="s">
        <v>5</v>
      </c>
      <c r="B1416" t="str">
        <f t="shared" si="31"/>
        <v>70266</v>
      </c>
      <c r="C1416" t="str">
        <f>"036"</f>
        <v>036</v>
      </c>
      <c r="D1416">
        <v>2019</v>
      </c>
      <c r="E1416" s="3">
        <v>8772800</v>
      </c>
      <c r="F1416" s="3">
        <v>8772800</v>
      </c>
      <c r="G1416" t="s">
        <v>11</v>
      </c>
      <c r="H1416" s="5" t="s">
        <v>30</v>
      </c>
      <c r="I1416" t="s">
        <v>13</v>
      </c>
      <c r="J1416" t="s">
        <v>13</v>
      </c>
    </row>
    <row r="1417" spans="1:11" x14ac:dyDescent="0.35">
      <c r="A1417" t="s">
        <v>5</v>
      </c>
      <c r="B1417" t="str">
        <f t="shared" si="31"/>
        <v>70266</v>
      </c>
      <c r="C1417" t="str">
        <f>"037"</f>
        <v>037</v>
      </c>
      <c r="D1417">
        <v>2019</v>
      </c>
      <c r="E1417" s="3">
        <v>16860500</v>
      </c>
      <c r="F1417" s="3">
        <v>10049800</v>
      </c>
      <c r="G1417" t="s">
        <v>11</v>
      </c>
      <c r="H1417" s="5" t="s">
        <v>30</v>
      </c>
      <c r="I1417" t="s">
        <v>13</v>
      </c>
      <c r="J1417" t="s">
        <v>13</v>
      </c>
    </row>
    <row r="1418" spans="1:11" x14ac:dyDescent="0.35">
      <c r="A1418" t="s">
        <v>5</v>
      </c>
      <c r="B1418" t="str">
        <f t="shared" si="31"/>
        <v>70266</v>
      </c>
      <c r="C1418" t="str">
        <f>"038"</f>
        <v>038</v>
      </c>
      <c r="D1418">
        <v>2019</v>
      </c>
      <c r="E1418" s="3">
        <v>2606200</v>
      </c>
      <c r="F1418" s="3">
        <v>429500</v>
      </c>
      <c r="G1418" t="s">
        <v>11</v>
      </c>
      <c r="H1418" s="5" t="s">
        <v>30</v>
      </c>
      <c r="I1418" t="s">
        <v>13</v>
      </c>
      <c r="J1418" t="s">
        <v>13</v>
      </c>
    </row>
    <row r="1419" spans="1:11" x14ac:dyDescent="0.35">
      <c r="A1419" t="s">
        <v>5</v>
      </c>
      <c r="B1419" t="str">
        <f t="shared" si="31"/>
        <v>70266</v>
      </c>
      <c r="C1419" t="str">
        <f>"039"</f>
        <v>039</v>
      </c>
      <c r="D1419">
        <v>2020</v>
      </c>
      <c r="E1419" s="3">
        <v>1034500</v>
      </c>
      <c r="F1419" s="3">
        <v>1034500</v>
      </c>
      <c r="G1419" t="s">
        <v>11</v>
      </c>
      <c r="H1419" s="5" t="s">
        <v>30</v>
      </c>
      <c r="I1419" t="s">
        <v>13</v>
      </c>
      <c r="J1419" t="s">
        <v>13</v>
      </c>
    </row>
    <row r="1420" spans="1:11" x14ac:dyDescent="0.35">
      <c r="A1420" t="s">
        <v>5</v>
      </c>
      <c r="B1420" t="str">
        <f t="shared" si="31"/>
        <v>70266</v>
      </c>
      <c r="C1420" t="str">
        <f>"040"</f>
        <v>040</v>
      </c>
      <c r="D1420">
        <v>2021</v>
      </c>
      <c r="E1420" s="3">
        <v>196900</v>
      </c>
      <c r="F1420" s="3">
        <v>17700</v>
      </c>
      <c r="G1420" t="s">
        <v>11</v>
      </c>
      <c r="H1420" s="5" t="s">
        <v>30</v>
      </c>
      <c r="I1420" t="s">
        <v>13</v>
      </c>
      <c r="J1420" t="s">
        <v>13</v>
      </c>
    </row>
    <row r="1421" spans="1:11" x14ac:dyDescent="0.35">
      <c r="A1421" t="s">
        <v>31</v>
      </c>
      <c r="B1421" t="s">
        <v>13</v>
      </c>
      <c r="C1421" t="s">
        <v>7</v>
      </c>
      <c r="D1421" t="s">
        <v>8</v>
      </c>
      <c r="E1421" s="3">
        <v>430300400</v>
      </c>
      <c r="F1421" s="3">
        <v>303769500</v>
      </c>
      <c r="G1421" t="s">
        <v>11</v>
      </c>
      <c r="H1421" s="5">
        <v>5336259600</v>
      </c>
      <c r="I1421" t="s">
        <v>13</v>
      </c>
      <c r="J1421" t="s">
        <v>13</v>
      </c>
      <c r="K1421">
        <v>5.69</v>
      </c>
    </row>
    <row r="1423" spans="1:11" x14ac:dyDescent="0.35">
      <c r="A1423" t="s">
        <v>297</v>
      </c>
      <c r="B1423" t="str">
        <f>"61265"</f>
        <v>61265</v>
      </c>
      <c r="C1423" t="str">
        <f>"002"</f>
        <v>002</v>
      </c>
      <c r="D1423">
        <v>1994</v>
      </c>
      <c r="E1423" s="3">
        <v>37379100</v>
      </c>
      <c r="F1423" s="3">
        <v>37021100</v>
      </c>
      <c r="G1423" t="s">
        <v>11</v>
      </c>
      <c r="H1423" s="5" t="s">
        <v>30</v>
      </c>
      <c r="I1423" t="s">
        <v>13</v>
      </c>
      <c r="J1423" t="s">
        <v>13</v>
      </c>
    </row>
    <row r="1424" spans="1:11" x14ac:dyDescent="0.35">
      <c r="A1424" t="s">
        <v>5</v>
      </c>
      <c r="B1424" t="str">
        <f>"61265"</f>
        <v>61265</v>
      </c>
      <c r="C1424" t="str">
        <f>"003"</f>
        <v>003</v>
      </c>
      <c r="D1424">
        <v>2009</v>
      </c>
      <c r="E1424" s="3">
        <v>3310500</v>
      </c>
      <c r="F1424" s="3">
        <v>840000</v>
      </c>
      <c r="G1424" t="s">
        <v>11</v>
      </c>
      <c r="H1424" s="5" t="s">
        <v>30</v>
      </c>
      <c r="I1424" t="s">
        <v>13</v>
      </c>
      <c r="J1424" t="s">
        <v>13</v>
      </c>
    </row>
    <row r="1425" spans="1:11" x14ac:dyDescent="0.35">
      <c r="A1425" t="s">
        <v>31</v>
      </c>
      <c r="B1425" t="s">
        <v>13</v>
      </c>
      <c r="C1425" t="s">
        <v>7</v>
      </c>
      <c r="D1425" t="s">
        <v>8</v>
      </c>
      <c r="E1425" s="3">
        <v>40689600</v>
      </c>
      <c r="F1425" s="3">
        <v>37861100</v>
      </c>
      <c r="G1425" t="s">
        <v>11</v>
      </c>
      <c r="H1425" s="5">
        <v>184669300</v>
      </c>
      <c r="I1425" t="s">
        <v>13</v>
      </c>
      <c r="J1425" t="s">
        <v>13</v>
      </c>
      <c r="K1425">
        <v>20.5</v>
      </c>
    </row>
    <row r="1427" spans="1:11" x14ac:dyDescent="0.35">
      <c r="A1427" t="s">
        <v>298</v>
      </c>
      <c r="B1427" t="str">
        <f>"10265"</f>
        <v>10265</v>
      </c>
      <c r="C1427" t="str">
        <f>"003"</f>
        <v>003</v>
      </c>
      <c r="D1427">
        <v>1996</v>
      </c>
      <c r="E1427" s="3">
        <v>1751200</v>
      </c>
      <c r="F1427" s="3">
        <v>1745100</v>
      </c>
      <c r="G1427" t="s">
        <v>11</v>
      </c>
      <c r="H1427" s="5" t="s">
        <v>30</v>
      </c>
      <c r="I1427" t="s">
        <v>13</v>
      </c>
      <c r="J1427" t="s">
        <v>13</v>
      </c>
    </row>
    <row r="1428" spans="1:11" x14ac:dyDescent="0.35">
      <c r="A1428" t="s">
        <v>5</v>
      </c>
      <c r="B1428" t="str">
        <f>"10265"</f>
        <v>10265</v>
      </c>
      <c r="C1428" t="str">
        <f>"004"</f>
        <v>004</v>
      </c>
      <c r="D1428">
        <v>2004</v>
      </c>
      <c r="E1428" s="3">
        <v>18378500</v>
      </c>
      <c r="F1428" s="3">
        <v>16110100</v>
      </c>
      <c r="G1428" t="s">
        <v>11</v>
      </c>
      <c r="H1428" s="5" t="s">
        <v>30</v>
      </c>
      <c r="I1428" t="s">
        <v>13</v>
      </c>
      <c r="J1428" t="s">
        <v>13</v>
      </c>
    </row>
    <row r="1429" spans="1:11" x14ac:dyDescent="0.35">
      <c r="A1429" t="s">
        <v>31</v>
      </c>
      <c r="B1429" t="s">
        <v>13</v>
      </c>
      <c r="C1429" t="s">
        <v>7</v>
      </c>
      <c r="D1429" t="s">
        <v>8</v>
      </c>
      <c r="E1429" s="3">
        <v>20129700</v>
      </c>
      <c r="F1429" s="3">
        <v>17855200</v>
      </c>
      <c r="G1429" t="s">
        <v>11</v>
      </c>
      <c r="H1429" s="5">
        <v>67840100</v>
      </c>
      <c r="I1429" t="s">
        <v>13</v>
      </c>
      <c r="J1429" t="s">
        <v>13</v>
      </c>
      <c r="K1429">
        <v>26.32</v>
      </c>
    </row>
    <row r="1431" spans="1:11" x14ac:dyDescent="0.35">
      <c r="A1431" t="s">
        <v>299</v>
      </c>
      <c r="B1431" t="str">
        <f>"30171"</f>
        <v>30171</v>
      </c>
      <c r="C1431" t="str">
        <f>"001"</f>
        <v>001</v>
      </c>
      <c r="D1431">
        <v>2012</v>
      </c>
      <c r="E1431" s="3">
        <v>16692300</v>
      </c>
      <c r="F1431" s="3">
        <v>2558600</v>
      </c>
      <c r="G1431" t="s">
        <v>11</v>
      </c>
      <c r="H1431" s="5" t="s">
        <v>30</v>
      </c>
      <c r="I1431" t="s">
        <v>13</v>
      </c>
      <c r="J1431" t="s">
        <v>13</v>
      </c>
    </row>
    <row r="1432" spans="1:11" x14ac:dyDescent="0.35">
      <c r="A1432" t="s">
        <v>5</v>
      </c>
      <c r="B1432" t="str">
        <f>"30171"</f>
        <v>30171</v>
      </c>
      <c r="C1432" t="str">
        <f>"002"</f>
        <v>002</v>
      </c>
      <c r="D1432">
        <v>2017</v>
      </c>
      <c r="E1432" s="3">
        <v>45169500</v>
      </c>
      <c r="F1432" s="3">
        <v>29951700</v>
      </c>
      <c r="G1432" t="s">
        <v>11</v>
      </c>
      <c r="H1432" s="5" t="s">
        <v>30</v>
      </c>
      <c r="I1432" t="s">
        <v>13</v>
      </c>
      <c r="J1432" t="s">
        <v>13</v>
      </c>
    </row>
    <row r="1433" spans="1:11" x14ac:dyDescent="0.35">
      <c r="A1433" t="s">
        <v>31</v>
      </c>
      <c r="B1433" t="s">
        <v>13</v>
      </c>
      <c r="C1433" t="s">
        <v>7</v>
      </c>
      <c r="D1433" t="s">
        <v>8</v>
      </c>
      <c r="E1433" s="3">
        <v>61861800</v>
      </c>
      <c r="F1433" s="3">
        <v>32510300</v>
      </c>
      <c r="G1433" t="s">
        <v>11</v>
      </c>
      <c r="H1433" s="5">
        <v>364438100</v>
      </c>
      <c r="I1433" t="s">
        <v>13</v>
      </c>
      <c r="J1433" t="s">
        <v>13</v>
      </c>
      <c r="K1433">
        <v>8.92</v>
      </c>
    </row>
    <row r="1435" spans="1:11" x14ac:dyDescent="0.35">
      <c r="A1435" t="s">
        <v>300</v>
      </c>
      <c r="B1435" t="str">
        <f>"28171"</f>
        <v>28171</v>
      </c>
      <c r="C1435" t="str">
        <f>"003"</f>
        <v>003</v>
      </c>
      <c r="D1435">
        <v>2006</v>
      </c>
      <c r="E1435" s="3">
        <v>8671100</v>
      </c>
      <c r="F1435" s="3">
        <v>8228900</v>
      </c>
      <c r="G1435" t="s">
        <v>11</v>
      </c>
      <c r="H1435" s="5" t="s">
        <v>30</v>
      </c>
      <c r="I1435" t="s">
        <v>13</v>
      </c>
      <c r="J1435" t="s">
        <v>13</v>
      </c>
    </row>
    <row r="1436" spans="1:11" x14ac:dyDescent="0.35">
      <c r="A1436" t="s">
        <v>31</v>
      </c>
      <c r="B1436" t="s">
        <v>13</v>
      </c>
      <c r="C1436" t="s">
        <v>7</v>
      </c>
      <c r="D1436" t="s">
        <v>8</v>
      </c>
      <c r="E1436" s="3">
        <v>8671100</v>
      </c>
      <c r="F1436" s="3">
        <v>8228900</v>
      </c>
      <c r="G1436" t="s">
        <v>11</v>
      </c>
      <c r="H1436" s="5">
        <v>156143900</v>
      </c>
      <c r="I1436" t="s">
        <v>13</v>
      </c>
      <c r="J1436" t="s">
        <v>13</v>
      </c>
      <c r="K1436">
        <v>5.27</v>
      </c>
    </row>
    <row r="1438" spans="1:11" x14ac:dyDescent="0.35">
      <c r="A1438" t="s">
        <v>301</v>
      </c>
      <c r="B1438" t="str">
        <f>"11171"</f>
        <v>11171</v>
      </c>
      <c r="C1438" t="str">
        <f>"002"</f>
        <v>002</v>
      </c>
      <c r="D1438">
        <v>2021</v>
      </c>
      <c r="E1438" s="3">
        <v>13374000</v>
      </c>
      <c r="F1438" s="3">
        <v>1343900</v>
      </c>
      <c r="G1438" t="s">
        <v>11</v>
      </c>
      <c r="H1438" s="5" t="s">
        <v>30</v>
      </c>
      <c r="I1438" t="s">
        <v>13</v>
      </c>
      <c r="J1438" t="s">
        <v>13</v>
      </c>
    </row>
    <row r="1439" spans="1:11" x14ac:dyDescent="0.35">
      <c r="A1439" t="s">
        <v>31</v>
      </c>
      <c r="B1439" t="s">
        <v>13</v>
      </c>
      <c r="C1439" t="s">
        <v>7</v>
      </c>
      <c r="D1439" t="s">
        <v>8</v>
      </c>
      <c r="E1439" s="3">
        <v>13374000</v>
      </c>
      <c r="F1439" s="3">
        <v>1343900</v>
      </c>
      <c r="G1439" t="s">
        <v>11</v>
      </c>
      <c r="H1439" s="5">
        <v>187039200</v>
      </c>
      <c r="I1439" t="s">
        <v>13</v>
      </c>
      <c r="J1439" t="s">
        <v>13</v>
      </c>
      <c r="K1439">
        <v>0.72</v>
      </c>
    </row>
    <row r="1441" spans="1:11" x14ac:dyDescent="0.35">
      <c r="A1441" t="s">
        <v>302</v>
      </c>
      <c r="B1441" t="str">
        <f>"50271"</f>
        <v>50271</v>
      </c>
      <c r="C1441" t="str">
        <f>"003"</f>
        <v>003</v>
      </c>
      <c r="D1441">
        <v>1994</v>
      </c>
      <c r="E1441" s="3">
        <v>7131800</v>
      </c>
      <c r="F1441" s="3">
        <v>5780000</v>
      </c>
      <c r="G1441" t="s">
        <v>11</v>
      </c>
      <c r="H1441" s="5" t="s">
        <v>30</v>
      </c>
      <c r="I1441" t="s">
        <v>13</v>
      </c>
      <c r="J1441" t="s">
        <v>13</v>
      </c>
    </row>
    <row r="1442" spans="1:11" x14ac:dyDescent="0.35">
      <c r="A1442" t="s">
        <v>5</v>
      </c>
      <c r="B1442" t="str">
        <f>"50271"</f>
        <v>50271</v>
      </c>
      <c r="C1442" t="str">
        <f>"005"</f>
        <v>005</v>
      </c>
      <c r="D1442">
        <v>2019</v>
      </c>
      <c r="E1442" s="3">
        <v>21548100</v>
      </c>
      <c r="F1442" s="3">
        <v>6774100</v>
      </c>
      <c r="G1442" t="s">
        <v>11</v>
      </c>
      <c r="H1442" s="5" t="s">
        <v>30</v>
      </c>
      <c r="I1442" t="s">
        <v>13</v>
      </c>
      <c r="J1442" t="s">
        <v>13</v>
      </c>
    </row>
    <row r="1443" spans="1:11" x14ac:dyDescent="0.35">
      <c r="A1443" t="s">
        <v>31</v>
      </c>
      <c r="B1443" t="s">
        <v>13</v>
      </c>
      <c r="C1443" t="s">
        <v>7</v>
      </c>
      <c r="D1443" t="s">
        <v>8</v>
      </c>
      <c r="E1443" s="3">
        <v>28679900</v>
      </c>
      <c r="F1443" s="3">
        <v>12554100</v>
      </c>
      <c r="G1443" t="s">
        <v>11</v>
      </c>
      <c r="H1443" s="5">
        <v>144009000</v>
      </c>
      <c r="I1443" t="s">
        <v>13</v>
      </c>
      <c r="J1443" t="s">
        <v>13</v>
      </c>
      <c r="K1443">
        <v>8.7200000000000006</v>
      </c>
    </row>
    <row r="1445" spans="1:11" x14ac:dyDescent="0.35">
      <c r="A1445" t="s">
        <v>303</v>
      </c>
      <c r="B1445" t="str">
        <f>"46171"</f>
        <v>46171</v>
      </c>
      <c r="C1445" t="str">
        <f>"003"</f>
        <v>003</v>
      </c>
      <c r="D1445">
        <v>2011</v>
      </c>
      <c r="E1445" s="3">
        <v>16168800</v>
      </c>
      <c r="F1445" s="3">
        <v>11348100</v>
      </c>
      <c r="G1445" t="s">
        <v>11</v>
      </c>
      <c r="H1445" s="5" t="s">
        <v>30</v>
      </c>
      <c r="I1445" t="s">
        <v>13</v>
      </c>
      <c r="J1445" t="s">
        <v>13</v>
      </c>
    </row>
    <row r="1446" spans="1:11" x14ac:dyDescent="0.35">
      <c r="A1446" t="s">
        <v>5</v>
      </c>
      <c r="B1446" t="str">
        <f>"46171"</f>
        <v>46171</v>
      </c>
      <c r="C1446" t="str">
        <f>"004"</f>
        <v>004</v>
      </c>
      <c r="D1446">
        <v>2021</v>
      </c>
      <c r="E1446" s="3">
        <v>1774800</v>
      </c>
      <c r="F1446" s="3">
        <v>299200</v>
      </c>
      <c r="G1446" t="s">
        <v>11</v>
      </c>
      <c r="H1446" s="5" t="s">
        <v>30</v>
      </c>
      <c r="I1446" t="s">
        <v>13</v>
      </c>
      <c r="J1446" t="s">
        <v>13</v>
      </c>
    </row>
    <row r="1447" spans="1:11" x14ac:dyDescent="0.35">
      <c r="A1447" t="s">
        <v>5</v>
      </c>
      <c r="B1447" t="str">
        <f>"46171"</f>
        <v>46171</v>
      </c>
      <c r="C1447" t="str">
        <f>"005"</f>
        <v>005</v>
      </c>
      <c r="D1447">
        <v>2021</v>
      </c>
      <c r="E1447" s="3">
        <v>2363100</v>
      </c>
      <c r="F1447" s="3">
        <v>425100</v>
      </c>
      <c r="G1447" t="s">
        <v>11</v>
      </c>
      <c r="H1447" s="5" t="s">
        <v>30</v>
      </c>
      <c r="I1447" t="s">
        <v>13</v>
      </c>
      <c r="J1447" t="s">
        <v>13</v>
      </c>
    </row>
    <row r="1448" spans="1:11" x14ac:dyDescent="0.35">
      <c r="A1448" t="s">
        <v>5</v>
      </c>
      <c r="B1448" t="str">
        <f>"46171"</f>
        <v>46171</v>
      </c>
      <c r="C1448" t="str">
        <f>"006"</f>
        <v>006</v>
      </c>
      <c r="D1448">
        <v>2021</v>
      </c>
      <c r="E1448" s="3">
        <v>1970800</v>
      </c>
      <c r="F1448" s="3">
        <v>328800</v>
      </c>
      <c r="G1448" t="s">
        <v>11</v>
      </c>
      <c r="H1448" s="5" t="s">
        <v>30</v>
      </c>
      <c r="I1448" t="s">
        <v>13</v>
      </c>
      <c r="J1448" t="s">
        <v>13</v>
      </c>
    </row>
    <row r="1449" spans="1:11" x14ac:dyDescent="0.35">
      <c r="A1449" t="s">
        <v>5</v>
      </c>
      <c r="B1449" t="str">
        <f>"46171"</f>
        <v>46171</v>
      </c>
      <c r="C1449" t="str">
        <f>"007"</f>
        <v>007</v>
      </c>
      <c r="D1449">
        <v>2021</v>
      </c>
      <c r="E1449" s="3">
        <v>2558400</v>
      </c>
      <c r="F1449" s="3">
        <v>611200</v>
      </c>
      <c r="G1449" t="s">
        <v>11</v>
      </c>
      <c r="H1449" s="5" t="s">
        <v>30</v>
      </c>
      <c r="I1449" t="s">
        <v>13</v>
      </c>
      <c r="J1449" t="s">
        <v>13</v>
      </c>
    </row>
    <row r="1450" spans="1:11" x14ac:dyDescent="0.35">
      <c r="A1450" t="s">
        <v>31</v>
      </c>
      <c r="B1450" t="s">
        <v>13</v>
      </c>
      <c r="C1450" t="s">
        <v>7</v>
      </c>
      <c r="D1450" t="s">
        <v>8</v>
      </c>
      <c r="E1450" s="3">
        <v>24835900</v>
      </c>
      <c r="F1450" s="3">
        <v>13012400</v>
      </c>
      <c r="G1450" t="s">
        <v>11</v>
      </c>
      <c r="H1450" s="5">
        <v>94748800</v>
      </c>
      <c r="I1450" t="s">
        <v>13</v>
      </c>
      <c r="J1450" t="s">
        <v>13</v>
      </c>
      <c r="K1450">
        <v>13.73</v>
      </c>
    </row>
    <row r="1452" spans="1:11" x14ac:dyDescent="0.35">
      <c r="A1452" t="s">
        <v>304</v>
      </c>
      <c r="B1452" t="str">
        <f>"67171"</f>
        <v>67171</v>
      </c>
      <c r="C1452" t="str">
        <f>"002"</f>
        <v>002</v>
      </c>
      <c r="D1452">
        <v>2014</v>
      </c>
      <c r="E1452" s="3">
        <v>20965300</v>
      </c>
      <c r="F1452" s="3">
        <v>12306000</v>
      </c>
      <c r="G1452" t="s">
        <v>11</v>
      </c>
      <c r="H1452" s="5" t="s">
        <v>30</v>
      </c>
      <c r="I1452" t="s">
        <v>13</v>
      </c>
      <c r="J1452" t="s">
        <v>13</v>
      </c>
    </row>
    <row r="1453" spans="1:11" x14ac:dyDescent="0.35">
      <c r="A1453" t="s">
        <v>5</v>
      </c>
      <c r="B1453" t="str">
        <f>"67171"</f>
        <v>67171</v>
      </c>
      <c r="C1453" t="str">
        <f>"003"</f>
        <v>003</v>
      </c>
      <c r="D1453">
        <v>2021</v>
      </c>
      <c r="E1453" s="3">
        <v>1000000</v>
      </c>
      <c r="F1453" s="3">
        <v>1000000</v>
      </c>
      <c r="G1453" t="s">
        <v>11</v>
      </c>
      <c r="H1453" s="5" t="s">
        <v>30</v>
      </c>
      <c r="I1453" t="s">
        <v>13</v>
      </c>
      <c r="J1453" t="s">
        <v>13</v>
      </c>
    </row>
    <row r="1454" spans="1:11" x14ac:dyDescent="0.35">
      <c r="A1454" t="s">
        <v>31</v>
      </c>
      <c r="B1454" t="s">
        <v>13</v>
      </c>
      <c r="C1454" t="s">
        <v>7</v>
      </c>
      <c r="D1454" t="s">
        <v>8</v>
      </c>
      <c r="E1454" s="3">
        <v>21965300</v>
      </c>
      <c r="F1454" s="3">
        <v>13306000</v>
      </c>
      <c r="G1454" t="s">
        <v>11</v>
      </c>
      <c r="H1454" s="5">
        <v>1177242600</v>
      </c>
      <c r="I1454" t="s">
        <v>13</v>
      </c>
      <c r="J1454" t="s">
        <v>13</v>
      </c>
      <c r="K1454">
        <v>1.1299999999999999</v>
      </c>
    </row>
    <row r="1456" spans="1:11" x14ac:dyDescent="0.35">
      <c r="A1456" t="s">
        <v>305</v>
      </c>
      <c r="B1456" t="str">
        <f>"50272"</f>
        <v>50272</v>
      </c>
      <c r="C1456" t="str">
        <f>"002"</f>
        <v>002</v>
      </c>
      <c r="D1456">
        <v>1995</v>
      </c>
      <c r="E1456" s="3">
        <v>178800</v>
      </c>
      <c r="F1456" s="3">
        <v>78800</v>
      </c>
      <c r="G1456" t="s">
        <v>11</v>
      </c>
      <c r="H1456" s="5" t="s">
        <v>30</v>
      </c>
      <c r="I1456" t="s">
        <v>13</v>
      </c>
      <c r="J1456" t="s">
        <v>13</v>
      </c>
    </row>
    <row r="1457" spans="1:11" x14ac:dyDescent="0.35">
      <c r="A1457" t="s">
        <v>5</v>
      </c>
      <c r="B1457" t="str">
        <f>"50272"</f>
        <v>50272</v>
      </c>
      <c r="C1457" t="str">
        <f>"003"</f>
        <v>003</v>
      </c>
      <c r="D1457">
        <v>1995</v>
      </c>
      <c r="E1457" s="3">
        <v>4981200</v>
      </c>
      <c r="F1457" s="3">
        <v>2804100</v>
      </c>
      <c r="G1457" t="s">
        <v>11</v>
      </c>
      <c r="H1457" s="5" t="s">
        <v>30</v>
      </c>
      <c r="I1457" t="s">
        <v>13</v>
      </c>
      <c r="J1457" t="s">
        <v>13</v>
      </c>
    </row>
    <row r="1458" spans="1:11" x14ac:dyDescent="0.35">
      <c r="A1458" t="s">
        <v>5</v>
      </c>
      <c r="B1458" t="str">
        <f>"50272"</f>
        <v>50272</v>
      </c>
      <c r="C1458" t="str">
        <f>"004"</f>
        <v>004</v>
      </c>
      <c r="D1458">
        <v>1995</v>
      </c>
      <c r="E1458" s="3">
        <v>15829500</v>
      </c>
      <c r="F1458" s="3">
        <v>15076000</v>
      </c>
      <c r="G1458" t="s">
        <v>11</v>
      </c>
      <c r="H1458" s="5" t="s">
        <v>30</v>
      </c>
      <c r="I1458" t="s">
        <v>13</v>
      </c>
      <c r="J1458" t="s">
        <v>13</v>
      </c>
    </row>
    <row r="1459" spans="1:11" x14ac:dyDescent="0.35">
      <c r="A1459" t="s">
        <v>31</v>
      </c>
      <c r="B1459" t="s">
        <v>13</v>
      </c>
      <c r="C1459" t="s">
        <v>7</v>
      </c>
      <c r="D1459" t="s">
        <v>8</v>
      </c>
      <c r="E1459" s="3">
        <v>20989500</v>
      </c>
      <c r="F1459" s="3">
        <v>17958900</v>
      </c>
      <c r="G1459" t="s">
        <v>11</v>
      </c>
      <c r="H1459" s="5">
        <v>113193800</v>
      </c>
      <c r="I1459" t="s">
        <v>13</v>
      </c>
      <c r="J1459" t="s">
        <v>13</v>
      </c>
      <c r="K1459">
        <v>15.87</v>
      </c>
    </row>
    <row r="1461" spans="1:11" x14ac:dyDescent="0.35">
      <c r="A1461" t="s">
        <v>306</v>
      </c>
      <c r="B1461" t="str">
        <f>"71271"</f>
        <v>71271</v>
      </c>
      <c r="C1461" t="str">
        <f>"003"</f>
        <v>003</v>
      </c>
      <c r="D1461">
        <v>1995</v>
      </c>
      <c r="E1461" s="3">
        <v>41162600</v>
      </c>
      <c r="F1461" s="3">
        <v>38620600</v>
      </c>
      <c r="G1461" t="s">
        <v>11</v>
      </c>
      <c r="H1461" s="5" t="s">
        <v>30</v>
      </c>
      <c r="I1461" t="s">
        <v>13</v>
      </c>
      <c r="J1461" t="s">
        <v>13</v>
      </c>
    </row>
    <row r="1462" spans="1:11" x14ac:dyDescent="0.35">
      <c r="A1462" t="s">
        <v>31</v>
      </c>
      <c r="B1462" t="s">
        <v>13</v>
      </c>
      <c r="C1462" t="s">
        <v>7</v>
      </c>
      <c r="D1462" t="s">
        <v>8</v>
      </c>
      <c r="E1462" s="3">
        <v>41162600</v>
      </c>
      <c r="F1462" s="3">
        <v>38620600</v>
      </c>
      <c r="G1462" t="s">
        <v>11</v>
      </c>
      <c r="H1462" s="5">
        <v>72929300</v>
      </c>
      <c r="I1462" t="s">
        <v>13</v>
      </c>
      <c r="J1462" t="s">
        <v>13</v>
      </c>
      <c r="K1462">
        <v>52.96</v>
      </c>
    </row>
    <row r="1464" spans="1:11" x14ac:dyDescent="0.35">
      <c r="A1464" t="s">
        <v>307</v>
      </c>
      <c r="B1464" t="str">
        <f>"56171"</f>
        <v>56171</v>
      </c>
      <c r="C1464" t="str">
        <f>"002"</f>
        <v>002</v>
      </c>
      <c r="D1464">
        <v>2006</v>
      </c>
      <c r="E1464" s="3">
        <v>4536900</v>
      </c>
      <c r="F1464" s="3">
        <v>4367400</v>
      </c>
      <c r="G1464" t="s">
        <v>11</v>
      </c>
      <c r="H1464" s="5" t="s">
        <v>30</v>
      </c>
      <c r="I1464" t="s">
        <v>13</v>
      </c>
      <c r="J1464" t="s">
        <v>13</v>
      </c>
    </row>
    <row r="1465" spans="1:11" x14ac:dyDescent="0.35">
      <c r="A1465" t="s">
        <v>31</v>
      </c>
      <c r="B1465" t="s">
        <v>13</v>
      </c>
      <c r="C1465" t="s">
        <v>7</v>
      </c>
      <c r="D1465" t="s">
        <v>8</v>
      </c>
      <c r="E1465" s="3">
        <v>4536900</v>
      </c>
      <c r="F1465" s="3">
        <v>4367400</v>
      </c>
      <c r="G1465" t="s">
        <v>11</v>
      </c>
      <c r="H1465" s="5">
        <v>86410100</v>
      </c>
      <c r="I1465" t="s">
        <v>13</v>
      </c>
      <c r="J1465" t="s">
        <v>13</v>
      </c>
      <c r="K1465">
        <v>5.05</v>
      </c>
    </row>
    <row r="1467" spans="1:11" x14ac:dyDescent="0.35">
      <c r="A1467" t="s">
        <v>308</v>
      </c>
      <c r="B1467" t="str">
        <f>"69171"</f>
        <v>69171</v>
      </c>
      <c r="C1467" t="str">
        <f>"001"</f>
        <v>001</v>
      </c>
      <c r="D1467">
        <v>2015</v>
      </c>
      <c r="E1467" s="3">
        <v>4910400</v>
      </c>
      <c r="F1467" s="3">
        <v>2957500</v>
      </c>
      <c r="G1467" t="s">
        <v>11</v>
      </c>
      <c r="H1467" s="5" t="s">
        <v>30</v>
      </c>
      <c r="I1467" t="s">
        <v>13</v>
      </c>
      <c r="J1467" t="s">
        <v>13</v>
      </c>
    </row>
    <row r="1468" spans="1:11" x14ac:dyDescent="0.35">
      <c r="A1468" t="s">
        <v>31</v>
      </c>
      <c r="B1468" t="s">
        <v>13</v>
      </c>
      <c r="C1468" t="s">
        <v>7</v>
      </c>
      <c r="D1468" t="s">
        <v>8</v>
      </c>
      <c r="E1468" s="3">
        <v>4910400</v>
      </c>
      <c r="F1468" s="3">
        <v>2957500</v>
      </c>
      <c r="G1468" t="s">
        <v>11</v>
      </c>
      <c r="H1468" s="5">
        <v>46412100</v>
      </c>
      <c r="I1468" t="s">
        <v>13</v>
      </c>
      <c r="J1468" t="s">
        <v>13</v>
      </c>
      <c r="K1468">
        <v>6.37</v>
      </c>
    </row>
    <row r="1470" spans="1:11" x14ac:dyDescent="0.35">
      <c r="A1470" t="s">
        <v>309</v>
      </c>
      <c r="B1470" t="str">
        <f>"22271"</f>
        <v>22271</v>
      </c>
      <c r="C1470" t="str">
        <f>"005"</f>
        <v>005</v>
      </c>
      <c r="D1470">
        <v>2005</v>
      </c>
      <c r="E1470" s="3">
        <v>42120500</v>
      </c>
      <c r="F1470" s="3">
        <v>42091000</v>
      </c>
      <c r="G1470" t="s">
        <v>11</v>
      </c>
      <c r="H1470" s="5" t="s">
        <v>30</v>
      </c>
      <c r="I1470" t="s">
        <v>13</v>
      </c>
      <c r="J1470" t="s">
        <v>13</v>
      </c>
    </row>
    <row r="1471" spans="1:11" x14ac:dyDescent="0.35">
      <c r="A1471" t="s">
        <v>5</v>
      </c>
      <c r="B1471" t="str">
        <f>"22271"</f>
        <v>22271</v>
      </c>
      <c r="C1471" t="str">
        <f>"006"</f>
        <v>006</v>
      </c>
      <c r="D1471">
        <v>2006</v>
      </c>
      <c r="E1471" s="3">
        <v>38053000</v>
      </c>
      <c r="F1471" s="3">
        <v>30312600</v>
      </c>
      <c r="G1471" t="s">
        <v>11</v>
      </c>
      <c r="H1471" s="5" t="s">
        <v>30</v>
      </c>
      <c r="I1471" t="s">
        <v>13</v>
      </c>
      <c r="J1471" t="s">
        <v>13</v>
      </c>
    </row>
    <row r="1472" spans="1:11" x14ac:dyDescent="0.35">
      <c r="A1472" t="s">
        <v>5</v>
      </c>
      <c r="B1472" t="str">
        <f>"22271"</f>
        <v>22271</v>
      </c>
      <c r="C1472" t="str">
        <f>"007"</f>
        <v>007</v>
      </c>
      <c r="D1472">
        <v>2006</v>
      </c>
      <c r="E1472" s="3">
        <v>51829200</v>
      </c>
      <c r="F1472" s="3">
        <v>22314200</v>
      </c>
      <c r="G1472" t="s">
        <v>11</v>
      </c>
      <c r="H1472" s="5" t="s">
        <v>30</v>
      </c>
      <c r="I1472" t="s">
        <v>13</v>
      </c>
      <c r="J1472" t="s">
        <v>13</v>
      </c>
    </row>
    <row r="1473" spans="1:11" x14ac:dyDescent="0.35">
      <c r="A1473" t="s">
        <v>31</v>
      </c>
      <c r="B1473" t="s">
        <v>13</v>
      </c>
      <c r="C1473" t="s">
        <v>7</v>
      </c>
      <c r="D1473" t="s">
        <v>8</v>
      </c>
      <c r="E1473" s="3">
        <v>132002700</v>
      </c>
      <c r="F1473" s="3">
        <v>94717800</v>
      </c>
      <c r="G1473" t="s">
        <v>11</v>
      </c>
      <c r="H1473" s="5">
        <v>852503800</v>
      </c>
      <c r="I1473" t="s">
        <v>13</v>
      </c>
      <c r="J1473" t="s">
        <v>13</v>
      </c>
      <c r="K1473">
        <v>11.11</v>
      </c>
    </row>
    <row r="1475" spans="1:11" x14ac:dyDescent="0.35">
      <c r="A1475" t="s">
        <v>310</v>
      </c>
      <c r="B1475" t="str">
        <f>"30174"</f>
        <v>30174</v>
      </c>
      <c r="C1475" t="str">
        <f>"004"</f>
        <v>004</v>
      </c>
      <c r="D1475">
        <v>2007</v>
      </c>
      <c r="E1475" s="3">
        <v>3839400</v>
      </c>
      <c r="F1475" s="3">
        <v>3673300</v>
      </c>
      <c r="G1475" t="s">
        <v>11</v>
      </c>
      <c r="H1475" s="5" t="s">
        <v>30</v>
      </c>
      <c r="I1475" t="s">
        <v>13</v>
      </c>
      <c r="J1475" t="s">
        <v>13</v>
      </c>
    </row>
    <row r="1476" spans="1:11" x14ac:dyDescent="0.35">
      <c r="A1476" t="s">
        <v>5</v>
      </c>
      <c r="B1476" t="str">
        <f>"30174"</f>
        <v>30174</v>
      </c>
      <c r="C1476" t="str">
        <f>"005"</f>
        <v>005</v>
      </c>
      <c r="D1476">
        <v>2017</v>
      </c>
      <c r="E1476" s="3">
        <v>306054400</v>
      </c>
      <c r="F1476" s="3">
        <v>280984500</v>
      </c>
      <c r="G1476" t="s">
        <v>11</v>
      </c>
      <c r="H1476" s="5" t="s">
        <v>30</v>
      </c>
      <c r="I1476" t="s">
        <v>13</v>
      </c>
      <c r="J1476" t="s">
        <v>13</v>
      </c>
    </row>
    <row r="1477" spans="1:11" x14ac:dyDescent="0.35">
      <c r="A1477" t="s">
        <v>5</v>
      </c>
      <c r="B1477" t="str">
        <f>"30174"</f>
        <v>30174</v>
      </c>
      <c r="C1477" t="str">
        <f>"006"</f>
        <v>006</v>
      </c>
      <c r="D1477">
        <v>2018</v>
      </c>
      <c r="E1477" s="3">
        <v>18982500</v>
      </c>
      <c r="F1477" s="3">
        <v>18893600</v>
      </c>
      <c r="G1477" t="s">
        <v>11</v>
      </c>
      <c r="H1477" s="5" t="s">
        <v>30</v>
      </c>
      <c r="I1477" t="s">
        <v>13</v>
      </c>
      <c r="J1477" t="s">
        <v>13</v>
      </c>
    </row>
    <row r="1478" spans="1:11" x14ac:dyDescent="0.35">
      <c r="A1478" t="s">
        <v>5</v>
      </c>
      <c r="B1478" t="str">
        <f>"30174"</f>
        <v>30174</v>
      </c>
      <c r="C1478" t="str">
        <f>"007"</f>
        <v>007</v>
      </c>
      <c r="D1478">
        <v>2018</v>
      </c>
      <c r="E1478" s="3">
        <v>94837400</v>
      </c>
      <c r="F1478" s="3">
        <v>94004900</v>
      </c>
      <c r="G1478" t="s">
        <v>11</v>
      </c>
      <c r="H1478" s="5" t="s">
        <v>30</v>
      </c>
      <c r="I1478" t="s">
        <v>13</v>
      </c>
      <c r="J1478" t="s">
        <v>13</v>
      </c>
    </row>
    <row r="1479" spans="1:11" x14ac:dyDescent="0.35">
      <c r="A1479" t="s">
        <v>5</v>
      </c>
      <c r="B1479" t="str">
        <f>"30174"</f>
        <v>30174</v>
      </c>
      <c r="C1479" t="str">
        <f>"008"</f>
        <v>008</v>
      </c>
      <c r="D1479">
        <v>2021</v>
      </c>
      <c r="E1479" s="3">
        <v>21080500</v>
      </c>
      <c r="F1479" s="3">
        <v>8621800</v>
      </c>
      <c r="G1479" t="s">
        <v>11</v>
      </c>
      <c r="H1479" s="5" t="s">
        <v>30</v>
      </c>
      <c r="I1479" t="s">
        <v>13</v>
      </c>
      <c r="J1479" t="s">
        <v>13</v>
      </c>
    </row>
    <row r="1480" spans="1:11" x14ac:dyDescent="0.35">
      <c r="A1480" t="s">
        <v>31</v>
      </c>
      <c r="B1480" t="s">
        <v>13</v>
      </c>
      <c r="C1480" t="s">
        <v>7</v>
      </c>
      <c r="D1480" t="s">
        <v>8</v>
      </c>
      <c r="E1480" s="3">
        <v>444794200</v>
      </c>
      <c r="F1480" s="3">
        <v>406178100</v>
      </c>
      <c r="G1480" t="s">
        <v>11</v>
      </c>
      <c r="H1480" s="5">
        <v>5369863700</v>
      </c>
      <c r="I1480" t="s">
        <v>13</v>
      </c>
      <c r="J1480" t="s">
        <v>13</v>
      </c>
      <c r="K1480">
        <v>7.56</v>
      </c>
    </row>
    <row r="1482" spans="1:11" x14ac:dyDescent="0.35">
      <c r="A1482" t="s">
        <v>311</v>
      </c>
      <c r="B1482" t="str">
        <f>"49173"</f>
        <v>49173</v>
      </c>
      <c r="C1482" t="str">
        <f>"003"</f>
        <v>003</v>
      </c>
      <c r="D1482">
        <v>2003</v>
      </c>
      <c r="E1482" s="3">
        <v>26477800</v>
      </c>
      <c r="F1482" s="3">
        <v>25945700</v>
      </c>
      <c r="G1482" t="s">
        <v>11</v>
      </c>
      <c r="H1482" s="5" t="s">
        <v>30</v>
      </c>
      <c r="I1482" t="s">
        <v>13</v>
      </c>
      <c r="J1482" t="s">
        <v>13</v>
      </c>
    </row>
    <row r="1483" spans="1:11" x14ac:dyDescent="0.35">
      <c r="A1483" t="s">
        <v>5</v>
      </c>
      <c r="B1483" t="str">
        <f>"49173"</f>
        <v>49173</v>
      </c>
      <c r="C1483" t="str">
        <f>"004"</f>
        <v>004</v>
      </c>
      <c r="D1483">
        <v>2004</v>
      </c>
      <c r="E1483" s="3">
        <v>77764700</v>
      </c>
      <c r="F1483" s="3">
        <v>60984700</v>
      </c>
      <c r="G1483" t="s">
        <v>11</v>
      </c>
      <c r="H1483" s="5" t="s">
        <v>30</v>
      </c>
      <c r="I1483" t="s">
        <v>13</v>
      </c>
      <c r="J1483" t="s">
        <v>13</v>
      </c>
    </row>
    <row r="1484" spans="1:11" x14ac:dyDescent="0.35">
      <c r="A1484" t="s">
        <v>5</v>
      </c>
      <c r="B1484" t="str">
        <f>"49173"</f>
        <v>49173</v>
      </c>
      <c r="C1484" t="str">
        <f>"005"</f>
        <v>005</v>
      </c>
      <c r="D1484">
        <v>2005</v>
      </c>
      <c r="E1484" s="3">
        <v>68143100</v>
      </c>
      <c r="F1484" s="3">
        <v>65191600</v>
      </c>
      <c r="G1484" t="s">
        <v>11</v>
      </c>
      <c r="H1484" s="5" t="s">
        <v>30</v>
      </c>
      <c r="I1484" t="s">
        <v>13</v>
      </c>
      <c r="J1484" t="s">
        <v>13</v>
      </c>
    </row>
    <row r="1485" spans="1:11" x14ac:dyDescent="0.35">
      <c r="A1485" t="s">
        <v>5</v>
      </c>
      <c r="B1485" t="str">
        <f>"49173"</f>
        <v>49173</v>
      </c>
      <c r="C1485" t="str">
        <f>"006"</f>
        <v>006</v>
      </c>
      <c r="D1485">
        <v>2010</v>
      </c>
      <c r="E1485" s="3">
        <v>12901100</v>
      </c>
      <c r="F1485" s="3">
        <v>12897800</v>
      </c>
      <c r="G1485" t="s">
        <v>11</v>
      </c>
      <c r="H1485" s="5" t="s">
        <v>30</v>
      </c>
      <c r="I1485" t="s">
        <v>13</v>
      </c>
      <c r="J1485" t="s">
        <v>13</v>
      </c>
    </row>
    <row r="1486" spans="1:11" x14ac:dyDescent="0.35">
      <c r="A1486" t="s">
        <v>5</v>
      </c>
      <c r="B1486" t="str">
        <f>"49173"</f>
        <v>49173</v>
      </c>
      <c r="C1486" t="str">
        <f>"007"</f>
        <v>007</v>
      </c>
      <c r="D1486">
        <v>2013</v>
      </c>
      <c r="E1486" s="3">
        <v>8406600</v>
      </c>
      <c r="F1486" s="3">
        <v>5607900</v>
      </c>
      <c r="G1486" t="s">
        <v>11</v>
      </c>
      <c r="H1486" s="5" t="s">
        <v>30</v>
      </c>
      <c r="I1486" t="s">
        <v>13</v>
      </c>
      <c r="J1486" t="s">
        <v>13</v>
      </c>
    </row>
    <row r="1487" spans="1:11" x14ac:dyDescent="0.35">
      <c r="A1487" t="s">
        <v>31</v>
      </c>
      <c r="B1487" t="s">
        <v>13</v>
      </c>
      <c r="C1487" t="s">
        <v>7</v>
      </c>
      <c r="D1487" t="s">
        <v>8</v>
      </c>
      <c r="E1487" s="3">
        <v>193693300</v>
      </c>
      <c r="F1487" s="3">
        <v>170627700</v>
      </c>
      <c r="G1487" t="s">
        <v>11</v>
      </c>
      <c r="H1487" s="5">
        <v>1541096200</v>
      </c>
      <c r="I1487" t="s">
        <v>13</v>
      </c>
      <c r="J1487" t="s">
        <v>13</v>
      </c>
      <c r="K1487">
        <v>11.07</v>
      </c>
    </row>
    <row r="1489" spans="1:11" x14ac:dyDescent="0.35">
      <c r="A1489" t="s">
        <v>312</v>
      </c>
      <c r="B1489" t="str">
        <f>"59271"</f>
        <v>59271</v>
      </c>
      <c r="C1489" t="str">
        <f>"004"</f>
        <v>004</v>
      </c>
      <c r="D1489">
        <v>2001</v>
      </c>
      <c r="E1489" s="3">
        <v>156901200</v>
      </c>
      <c r="F1489" s="3">
        <v>139397900</v>
      </c>
      <c r="G1489" t="s">
        <v>11</v>
      </c>
      <c r="H1489" s="5" t="s">
        <v>30</v>
      </c>
      <c r="I1489" t="s">
        <v>13</v>
      </c>
      <c r="J1489" t="s">
        <v>13</v>
      </c>
    </row>
    <row r="1490" spans="1:11" x14ac:dyDescent="0.35">
      <c r="A1490" t="s">
        <v>5</v>
      </c>
      <c r="B1490" t="str">
        <f>"59271"</f>
        <v>59271</v>
      </c>
      <c r="C1490" t="str">
        <f>"005"</f>
        <v>005</v>
      </c>
      <c r="D1490">
        <v>2008</v>
      </c>
      <c r="E1490" s="3">
        <v>35144900</v>
      </c>
      <c r="F1490" s="3">
        <v>18544400</v>
      </c>
      <c r="G1490" t="s">
        <v>11</v>
      </c>
      <c r="H1490" s="5" t="s">
        <v>30</v>
      </c>
      <c r="I1490" t="s">
        <v>13</v>
      </c>
      <c r="J1490" t="s">
        <v>13</v>
      </c>
    </row>
    <row r="1491" spans="1:11" x14ac:dyDescent="0.35">
      <c r="A1491" t="s">
        <v>5</v>
      </c>
      <c r="B1491" t="str">
        <f>"59271"</f>
        <v>59271</v>
      </c>
      <c r="C1491" t="str">
        <f>"006"</f>
        <v>006</v>
      </c>
      <c r="D1491">
        <v>2011</v>
      </c>
      <c r="E1491" s="3">
        <v>7692000</v>
      </c>
      <c r="F1491" s="3">
        <v>7649400</v>
      </c>
      <c r="G1491" t="s">
        <v>11</v>
      </c>
      <c r="H1491" s="5" t="s">
        <v>30</v>
      </c>
      <c r="I1491" t="s">
        <v>13</v>
      </c>
      <c r="J1491" t="s">
        <v>13</v>
      </c>
    </row>
    <row r="1492" spans="1:11" x14ac:dyDescent="0.35">
      <c r="A1492" t="s">
        <v>31</v>
      </c>
      <c r="B1492" t="s">
        <v>13</v>
      </c>
      <c r="C1492" t="s">
        <v>7</v>
      </c>
      <c r="D1492" t="s">
        <v>8</v>
      </c>
      <c r="E1492" s="3">
        <v>199738100</v>
      </c>
      <c r="F1492" s="3">
        <v>165591700</v>
      </c>
      <c r="G1492" t="s">
        <v>11</v>
      </c>
      <c r="H1492" s="5">
        <v>959794200</v>
      </c>
      <c r="I1492" t="s">
        <v>13</v>
      </c>
      <c r="J1492" t="s">
        <v>13</v>
      </c>
      <c r="K1492">
        <v>17.25</v>
      </c>
    </row>
    <row r="1494" spans="1:11" x14ac:dyDescent="0.35">
      <c r="A1494" t="s">
        <v>313</v>
      </c>
      <c r="B1494" t="str">
        <f>"71171"</f>
        <v>71171</v>
      </c>
      <c r="C1494" t="str">
        <f>"002"</f>
        <v>002</v>
      </c>
      <c r="D1494">
        <v>2009</v>
      </c>
      <c r="E1494" s="3">
        <v>19967000</v>
      </c>
      <c r="F1494" s="3">
        <v>10582800</v>
      </c>
      <c r="G1494" t="s">
        <v>11</v>
      </c>
      <c r="H1494" s="5" t="s">
        <v>30</v>
      </c>
      <c r="I1494" t="s">
        <v>13</v>
      </c>
      <c r="J1494" t="s">
        <v>13</v>
      </c>
    </row>
    <row r="1495" spans="1:11" x14ac:dyDescent="0.35">
      <c r="A1495" t="s">
        <v>31</v>
      </c>
      <c r="B1495" t="s">
        <v>13</v>
      </c>
      <c r="C1495" t="s">
        <v>7</v>
      </c>
      <c r="D1495" t="s">
        <v>8</v>
      </c>
      <c r="E1495" s="3">
        <v>19967000</v>
      </c>
      <c r="F1495" s="3">
        <v>10582800</v>
      </c>
      <c r="G1495" t="s">
        <v>11</v>
      </c>
      <c r="H1495" s="5">
        <v>134752700</v>
      </c>
      <c r="I1495" t="s">
        <v>13</v>
      </c>
      <c r="J1495" t="s">
        <v>13</v>
      </c>
      <c r="K1495">
        <v>7.85</v>
      </c>
    </row>
    <row r="1497" spans="1:11" x14ac:dyDescent="0.35">
      <c r="A1497" t="s">
        <v>314</v>
      </c>
      <c r="B1497" t="str">
        <f>"45271"</f>
        <v>45271</v>
      </c>
      <c r="C1497" t="str">
        <f>"002"</f>
        <v>002</v>
      </c>
      <c r="D1497">
        <v>2010</v>
      </c>
      <c r="E1497" s="3">
        <v>56782100</v>
      </c>
      <c r="F1497" s="3">
        <v>41994300</v>
      </c>
      <c r="G1497" t="s">
        <v>11</v>
      </c>
      <c r="H1497" s="5" t="s">
        <v>30</v>
      </c>
      <c r="I1497" t="s">
        <v>13</v>
      </c>
      <c r="J1497" t="s">
        <v>13</v>
      </c>
    </row>
    <row r="1498" spans="1:11" x14ac:dyDescent="0.35">
      <c r="A1498" t="s">
        <v>5</v>
      </c>
      <c r="B1498" t="str">
        <f>"45271"</f>
        <v>45271</v>
      </c>
      <c r="C1498" t="str">
        <f>"003"</f>
        <v>003</v>
      </c>
      <c r="D1498">
        <v>2015</v>
      </c>
      <c r="E1498" s="3">
        <v>12247200</v>
      </c>
      <c r="F1498" s="3">
        <v>3383600</v>
      </c>
      <c r="G1498" t="s">
        <v>11</v>
      </c>
      <c r="H1498" s="5" t="s">
        <v>30</v>
      </c>
      <c r="I1498" t="s">
        <v>13</v>
      </c>
      <c r="J1498" t="s">
        <v>13</v>
      </c>
    </row>
    <row r="1499" spans="1:11" x14ac:dyDescent="0.35">
      <c r="A1499" t="s">
        <v>5</v>
      </c>
      <c r="B1499" t="str">
        <f>"45271"</f>
        <v>45271</v>
      </c>
      <c r="C1499" t="str">
        <f>"004"</f>
        <v>004</v>
      </c>
      <c r="D1499">
        <v>2020</v>
      </c>
      <c r="E1499" s="3">
        <v>2708300</v>
      </c>
      <c r="F1499" s="3">
        <v>2708300</v>
      </c>
      <c r="G1499" t="s">
        <v>11</v>
      </c>
      <c r="H1499" s="5" t="s">
        <v>30</v>
      </c>
      <c r="I1499" t="s">
        <v>13</v>
      </c>
      <c r="J1499" t="s">
        <v>13</v>
      </c>
    </row>
    <row r="1500" spans="1:11" x14ac:dyDescent="0.35">
      <c r="A1500" t="s">
        <v>31</v>
      </c>
      <c r="B1500" t="s">
        <v>13</v>
      </c>
      <c r="C1500" t="s">
        <v>7</v>
      </c>
      <c r="D1500" t="s">
        <v>8</v>
      </c>
      <c r="E1500" s="3">
        <v>71737600</v>
      </c>
      <c r="F1500" s="3">
        <v>48086200</v>
      </c>
      <c r="G1500" t="s">
        <v>11</v>
      </c>
      <c r="H1500" s="5">
        <v>1418920300</v>
      </c>
      <c r="I1500" t="s">
        <v>13</v>
      </c>
      <c r="J1500" t="s">
        <v>13</v>
      </c>
      <c r="K1500">
        <v>3.39</v>
      </c>
    </row>
    <row r="1502" spans="1:11" x14ac:dyDescent="0.35">
      <c r="A1502" t="s">
        <v>315</v>
      </c>
      <c r="B1502" t="str">
        <f t="shared" ref="B1502:B1508" si="32">"11271"</f>
        <v>11271</v>
      </c>
      <c r="C1502" t="str">
        <f>"004"</f>
        <v>004</v>
      </c>
      <c r="D1502">
        <v>2003</v>
      </c>
      <c r="E1502" s="3">
        <v>4080400</v>
      </c>
      <c r="F1502" s="3">
        <v>3868500</v>
      </c>
      <c r="G1502" t="s">
        <v>11</v>
      </c>
      <c r="H1502" s="5" t="s">
        <v>30</v>
      </c>
      <c r="I1502" t="s">
        <v>13</v>
      </c>
      <c r="J1502" t="s">
        <v>13</v>
      </c>
    </row>
    <row r="1503" spans="1:11" x14ac:dyDescent="0.35">
      <c r="A1503" t="s">
        <v>5</v>
      </c>
      <c r="B1503" t="str">
        <f t="shared" si="32"/>
        <v>11271</v>
      </c>
      <c r="C1503" t="str">
        <f>"005"</f>
        <v>005</v>
      </c>
      <c r="D1503">
        <v>2004</v>
      </c>
      <c r="E1503" s="3">
        <v>6983000</v>
      </c>
      <c r="F1503" s="3">
        <v>5721500</v>
      </c>
      <c r="G1503" t="s">
        <v>11</v>
      </c>
      <c r="H1503" s="5" t="s">
        <v>30</v>
      </c>
      <c r="I1503" t="s">
        <v>13</v>
      </c>
      <c r="J1503" t="s">
        <v>13</v>
      </c>
    </row>
    <row r="1504" spans="1:11" x14ac:dyDescent="0.35">
      <c r="A1504" t="s">
        <v>5</v>
      </c>
      <c r="B1504" t="str">
        <f t="shared" si="32"/>
        <v>11271</v>
      </c>
      <c r="C1504" t="str">
        <f>"006"</f>
        <v>006</v>
      </c>
      <c r="D1504">
        <v>2008</v>
      </c>
      <c r="E1504" s="3">
        <v>14680800</v>
      </c>
      <c r="F1504" s="3">
        <v>895300</v>
      </c>
      <c r="G1504" t="s">
        <v>11</v>
      </c>
      <c r="H1504" s="5" t="s">
        <v>30</v>
      </c>
      <c r="I1504" t="s">
        <v>13</v>
      </c>
      <c r="J1504" t="s">
        <v>13</v>
      </c>
    </row>
    <row r="1505" spans="1:11" x14ac:dyDescent="0.35">
      <c r="A1505" t="s">
        <v>5</v>
      </c>
      <c r="B1505" t="str">
        <f t="shared" si="32"/>
        <v>11271</v>
      </c>
      <c r="C1505" t="str">
        <f>"007"</f>
        <v>007</v>
      </c>
      <c r="D1505">
        <v>2010</v>
      </c>
      <c r="E1505" s="3">
        <v>28563800</v>
      </c>
      <c r="F1505" s="3">
        <v>7974200</v>
      </c>
      <c r="G1505" t="s">
        <v>11</v>
      </c>
      <c r="H1505" s="5" t="s">
        <v>30</v>
      </c>
      <c r="I1505" t="s">
        <v>13</v>
      </c>
      <c r="J1505" t="s">
        <v>13</v>
      </c>
    </row>
    <row r="1506" spans="1:11" x14ac:dyDescent="0.35">
      <c r="A1506" t="s">
        <v>5</v>
      </c>
      <c r="B1506" t="str">
        <f t="shared" si="32"/>
        <v>11271</v>
      </c>
      <c r="C1506" t="str">
        <f>"008"</f>
        <v>008</v>
      </c>
      <c r="D1506">
        <v>2014</v>
      </c>
      <c r="E1506" s="3">
        <v>3279200</v>
      </c>
      <c r="F1506" s="3">
        <v>2624800</v>
      </c>
      <c r="G1506" t="s">
        <v>11</v>
      </c>
      <c r="H1506" s="5" t="s">
        <v>30</v>
      </c>
      <c r="I1506" t="s">
        <v>13</v>
      </c>
      <c r="J1506" t="s">
        <v>13</v>
      </c>
    </row>
    <row r="1507" spans="1:11" x14ac:dyDescent="0.35">
      <c r="A1507" t="s">
        <v>5</v>
      </c>
      <c r="B1507" t="str">
        <f t="shared" si="32"/>
        <v>11271</v>
      </c>
      <c r="C1507" t="str">
        <f>"009"</f>
        <v>009</v>
      </c>
      <c r="D1507">
        <v>2017</v>
      </c>
      <c r="E1507" s="3">
        <v>29200</v>
      </c>
      <c r="F1507" s="3">
        <v>500</v>
      </c>
      <c r="G1507" t="s">
        <v>11</v>
      </c>
      <c r="H1507" s="5" t="s">
        <v>30</v>
      </c>
      <c r="I1507" t="s">
        <v>13</v>
      </c>
      <c r="J1507" t="s">
        <v>13</v>
      </c>
    </row>
    <row r="1508" spans="1:11" x14ac:dyDescent="0.35">
      <c r="A1508" t="s">
        <v>5</v>
      </c>
      <c r="B1508" t="str">
        <f t="shared" si="32"/>
        <v>11271</v>
      </c>
      <c r="C1508" t="str">
        <f>"010"</f>
        <v>010</v>
      </c>
      <c r="D1508">
        <v>2019</v>
      </c>
      <c r="E1508" s="3">
        <v>3593900</v>
      </c>
      <c r="F1508" s="3">
        <v>2683800</v>
      </c>
      <c r="G1508" t="s">
        <v>11</v>
      </c>
      <c r="H1508" s="5" t="s">
        <v>30</v>
      </c>
      <c r="I1508" t="s">
        <v>13</v>
      </c>
      <c r="J1508" t="s">
        <v>13</v>
      </c>
    </row>
    <row r="1509" spans="1:11" x14ac:dyDescent="0.35">
      <c r="A1509" t="s">
        <v>31</v>
      </c>
      <c r="B1509" t="s">
        <v>13</v>
      </c>
      <c r="C1509" t="s">
        <v>7</v>
      </c>
      <c r="D1509" t="s">
        <v>8</v>
      </c>
      <c r="E1509" s="3">
        <v>61210300</v>
      </c>
      <c r="F1509" s="3">
        <v>23768600</v>
      </c>
      <c r="G1509" t="s">
        <v>11</v>
      </c>
      <c r="H1509" s="5">
        <v>871556800</v>
      </c>
      <c r="I1509" t="s">
        <v>13</v>
      </c>
      <c r="J1509" t="s">
        <v>13</v>
      </c>
      <c r="K1509">
        <v>2.73</v>
      </c>
    </row>
    <row r="1511" spans="1:11" x14ac:dyDescent="0.35">
      <c r="A1511" t="s">
        <v>316</v>
      </c>
      <c r="B1511" t="str">
        <f>"22172"</f>
        <v>22172</v>
      </c>
      <c r="C1511" t="str">
        <f>"001"</f>
        <v>001</v>
      </c>
      <c r="D1511">
        <v>2021</v>
      </c>
      <c r="E1511" s="3">
        <v>4101400</v>
      </c>
      <c r="F1511" s="3">
        <v>308100</v>
      </c>
      <c r="G1511" t="s">
        <v>11</v>
      </c>
      <c r="H1511" s="5" t="s">
        <v>30</v>
      </c>
      <c r="I1511" t="s">
        <v>13</v>
      </c>
      <c r="J1511" t="s">
        <v>13</v>
      </c>
    </row>
    <row r="1512" spans="1:11" x14ac:dyDescent="0.35">
      <c r="A1512" t="s">
        <v>31</v>
      </c>
      <c r="B1512" t="s">
        <v>13</v>
      </c>
      <c r="C1512" t="s">
        <v>7</v>
      </c>
      <c r="D1512" t="s">
        <v>8</v>
      </c>
      <c r="E1512" s="3">
        <v>4101400</v>
      </c>
      <c r="F1512" s="3">
        <v>308100</v>
      </c>
      <c r="G1512" t="s">
        <v>11</v>
      </c>
      <c r="H1512" s="5">
        <v>46827700</v>
      </c>
      <c r="I1512" t="s">
        <v>13</v>
      </c>
      <c r="J1512" t="s">
        <v>13</v>
      </c>
      <c r="K1512">
        <v>0.66</v>
      </c>
    </row>
    <row r="1514" spans="1:11" x14ac:dyDescent="0.35">
      <c r="A1514" t="s">
        <v>317</v>
      </c>
      <c r="B1514" t="str">
        <f>"38171"</f>
        <v>38171</v>
      </c>
      <c r="C1514" t="str">
        <f>"001"</f>
        <v>001</v>
      </c>
      <c r="D1514">
        <v>2015</v>
      </c>
      <c r="E1514" s="3">
        <v>560600</v>
      </c>
      <c r="F1514" s="3">
        <v>556500</v>
      </c>
      <c r="G1514" t="s">
        <v>11</v>
      </c>
      <c r="H1514" s="5" t="s">
        <v>30</v>
      </c>
      <c r="I1514" t="s">
        <v>13</v>
      </c>
      <c r="J1514" t="s">
        <v>13</v>
      </c>
    </row>
    <row r="1515" spans="1:11" x14ac:dyDescent="0.35">
      <c r="A1515" t="s">
        <v>31</v>
      </c>
      <c r="B1515" t="s">
        <v>13</v>
      </c>
      <c r="C1515" t="s">
        <v>7</v>
      </c>
      <c r="D1515" t="s">
        <v>8</v>
      </c>
      <c r="E1515" s="3">
        <v>560600</v>
      </c>
      <c r="F1515" s="3">
        <v>556500</v>
      </c>
      <c r="G1515" t="s">
        <v>11</v>
      </c>
      <c r="H1515" s="5">
        <v>17901300</v>
      </c>
      <c r="I1515" t="s">
        <v>13</v>
      </c>
      <c r="J1515" t="s">
        <v>13</v>
      </c>
      <c r="K1515">
        <v>3.11</v>
      </c>
    </row>
    <row r="1517" spans="1:11" x14ac:dyDescent="0.35">
      <c r="A1517" t="s">
        <v>318</v>
      </c>
      <c r="B1517" t="str">
        <f>"12271"</f>
        <v>12271</v>
      </c>
      <c r="C1517" t="str">
        <f>"008"</f>
        <v>008</v>
      </c>
      <c r="D1517">
        <v>2021</v>
      </c>
      <c r="E1517" s="3">
        <v>2043300</v>
      </c>
      <c r="F1517" s="3">
        <v>169400</v>
      </c>
      <c r="G1517" t="s">
        <v>11</v>
      </c>
      <c r="H1517" s="5" t="s">
        <v>30</v>
      </c>
      <c r="I1517" t="s">
        <v>13</v>
      </c>
      <c r="J1517" t="s">
        <v>13</v>
      </c>
    </row>
    <row r="1518" spans="1:11" x14ac:dyDescent="0.35">
      <c r="A1518" t="s">
        <v>5</v>
      </c>
      <c r="B1518" t="str">
        <f>"12271"</f>
        <v>12271</v>
      </c>
      <c r="C1518" t="str">
        <f>"009"</f>
        <v>009</v>
      </c>
      <c r="D1518">
        <v>2021</v>
      </c>
      <c r="E1518" s="3">
        <v>6417500</v>
      </c>
      <c r="F1518" s="3">
        <v>242400</v>
      </c>
      <c r="G1518" t="s">
        <v>11</v>
      </c>
      <c r="H1518" s="5" t="s">
        <v>30</v>
      </c>
      <c r="I1518" t="s">
        <v>13</v>
      </c>
      <c r="J1518" t="s">
        <v>13</v>
      </c>
    </row>
    <row r="1519" spans="1:11" x14ac:dyDescent="0.35">
      <c r="A1519" t="s">
        <v>31</v>
      </c>
      <c r="B1519" t="s">
        <v>13</v>
      </c>
      <c r="C1519" t="s">
        <v>7</v>
      </c>
      <c r="D1519" t="s">
        <v>8</v>
      </c>
      <c r="E1519" s="3">
        <v>8460800</v>
      </c>
      <c r="F1519" s="3">
        <v>411800</v>
      </c>
      <c r="G1519" t="s">
        <v>11</v>
      </c>
      <c r="H1519" s="5">
        <v>455032200</v>
      </c>
      <c r="I1519" t="s">
        <v>13</v>
      </c>
      <c r="J1519" t="s">
        <v>13</v>
      </c>
      <c r="K1519">
        <v>0.09</v>
      </c>
    </row>
    <row r="1521" spans="1:11" x14ac:dyDescent="0.35">
      <c r="A1521" t="s">
        <v>319</v>
      </c>
      <c r="B1521" t="str">
        <f>"56172"</f>
        <v>56172</v>
      </c>
      <c r="C1521" t="str">
        <f>"005"</f>
        <v>005</v>
      </c>
      <c r="D1521">
        <v>2018</v>
      </c>
      <c r="E1521" s="3">
        <v>4015000</v>
      </c>
      <c r="F1521" s="3">
        <v>3872800</v>
      </c>
      <c r="G1521" t="s">
        <v>11</v>
      </c>
      <c r="H1521" s="5" t="s">
        <v>30</v>
      </c>
      <c r="I1521" t="s">
        <v>13</v>
      </c>
      <c r="J1521" t="s">
        <v>13</v>
      </c>
    </row>
    <row r="1522" spans="1:11" x14ac:dyDescent="0.35">
      <c r="A1522" t="s">
        <v>5</v>
      </c>
      <c r="B1522" t="str">
        <f>"56172"</f>
        <v>56172</v>
      </c>
      <c r="C1522" t="str">
        <f>"006"</f>
        <v>006</v>
      </c>
      <c r="D1522">
        <v>2018</v>
      </c>
      <c r="E1522" s="3">
        <v>15716600</v>
      </c>
      <c r="F1522" s="3">
        <v>4845600</v>
      </c>
      <c r="G1522" t="s">
        <v>11</v>
      </c>
      <c r="H1522" s="5" t="s">
        <v>30</v>
      </c>
      <c r="I1522" t="s">
        <v>13</v>
      </c>
      <c r="J1522" t="s">
        <v>13</v>
      </c>
    </row>
    <row r="1523" spans="1:11" x14ac:dyDescent="0.35">
      <c r="A1523" t="s">
        <v>31</v>
      </c>
      <c r="B1523" t="s">
        <v>13</v>
      </c>
      <c r="C1523" t="s">
        <v>7</v>
      </c>
      <c r="D1523" t="s">
        <v>8</v>
      </c>
      <c r="E1523" s="3">
        <v>19731600</v>
      </c>
      <c r="F1523" s="3">
        <v>8718400</v>
      </c>
      <c r="G1523" t="s">
        <v>11</v>
      </c>
      <c r="H1523" s="5">
        <v>601338200</v>
      </c>
      <c r="I1523" t="s">
        <v>13</v>
      </c>
      <c r="J1523" t="s">
        <v>13</v>
      </c>
      <c r="K1523">
        <v>1.45</v>
      </c>
    </row>
    <row r="1525" spans="1:11" x14ac:dyDescent="0.35">
      <c r="A1525" t="s">
        <v>320</v>
      </c>
      <c r="B1525" t="str">
        <f>"03171"</f>
        <v>03171</v>
      </c>
      <c r="C1525" t="str">
        <f>"001"</f>
        <v>001</v>
      </c>
      <c r="D1525">
        <v>2002</v>
      </c>
      <c r="E1525" s="3">
        <v>4828300</v>
      </c>
      <c r="F1525" s="3">
        <v>1569900</v>
      </c>
      <c r="G1525" t="s">
        <v>11</v>
      </c>
      <c r="H1525" s="5" t="s">
        <v>30</v>
      </c>
      <c r="I1525" t="s">
        <v>13</v>
      </c>
      <c r="J1525" t="s">
        <v>13</v>
      </c>
    </row>
    <row r="1526" spans="1:11" x14ac:dyDescent="0.35">
      <c r="A1526" t="s">
        <v>31</v>
      </c>
      <c r="B1526" t="s">
        <v>13</v>
      </c>
      <c r="C1526" t="s">
        <v>7</v>
      </c>
      <c r="D1526" t="s">
        <v>8</v>
      </c>
      <c r="E1526" s="3">
        <v>4828300</v>
      </c>
      <c r="F1526" s="3">
        <v>1569900</v>
      </c>
      <c r="G1526" t="s">
        <v>11</v>
      </c>
      <c r="H1526" s="5">
        <v>27884700</v>
      </c>
      <c r="I1526" t="s">
        <v>13</v>
      </c>
      <c r="J1526" t="s">
        <v>13</v>
      </c>
      <c r="K1526">
        <v>5.63</v>
      </c>
    </row>
    <row r="1528" spans="1:11" x14ac:dyDescent="0.35">
      <c r="A1528" t="s">
        <v>321</v>
      </c>
      <c r="B1528" t="str">
        <f>"50171"</f>
        <v>50171</v>
      </c>
      <c r="C1528" t="str">
        <f>"003"</f>
        <v>003</v>
      </c>
      <c r="D1528">
        <v>2011</v>
      </c>
      <c r="E1528" s="3">
        <v>108000</v>
      </c>
      <c r="F1528" s="3">
        <v>46000</v>
      </c>
      <c r="G1528" t="s">
        <v>11</v>
      </c>
      <c r="H1528" s="5" t="s">
        <v>30</v>
      </c>
      <c r="I1528" t="s">
        <v>13</v>
      </c>
      <c r="J1528" t="s">
        <v>13</v>
      </c>
    </row>
    <row r="1529" spans="1:11" x14ac:dyDescent="0.35">
      <c r="A1529" t="s">
        <v>31</v>
      </c>
      <c r="B1529" t="s">
        <v>13</v>
      </c>
      <c r="C1529" t="s">
        <v>7</v>
      </c>
      <c r="D1529" t="s">
        <v>8</v>
      </c>
      <c r="E1529" s="3">
        <v>108000</v>
      </c>
      <c r="F1529" s="3">
        <v>46000</v>
      </c>
      <c r="G1529" t="s">
        <v>11</v>
      </c>
      <c r="H1529" s="5">
        <v>34900100</v>
      </c>
      <c r="I1529" t="s">
        <v>13</v>
      </c>
      <c r="J1529" t="s">
        <v>13</v>
      </c>
      <c r="K1529">
        <v>0.13</v>
      </c>
    </row>
    <row r="1531" spans="1:11" x14ac:dyDescent="0.35">
      <c r="A1531" t="s">
        <v>322</v>
      </c>
      <c r="B1531" t="str">
        <f>"47271"</f>
        <v>47271</v>
      </c>
      <c r="C1531" t="str">
        <f>"004"</f>
        <v>004</v>
      </c>
      <c r="D1531">
        <v>2003</v>
      </c>
      <c r="E1531" s="3">
        <v>31718000</v>
      </c>
      <c r="F1531" s="3">
        <v>22136700</v>
      </c>
      <c r="G1531" t="s">
        <v>11</v>
      </c>
      <c r="H1531" s="5" t="s">
        <v>30</v>
      </c>
      <c r="I1531" t="s">
        <v>13</v>
      </c>
      <c r="J1531" t="s">
        <v>13</v>
      </c>
    </row>
    <row r="1532" spans="1:11" x14ac:dyDescent="0.35">
      <c r="A1532" t="s">
        <v>5</v>
      </c>
      <c r="B1532" t="str">
        <f>"47271"</f>
        <v>47271</v>
      </c>
      <c r="C1532" t="str">
        <f>"005"</f>
        <v>005</v>
      </c>
      <c r="D1532">
        <v>2006</v>
      </c>
      <c r="E1532" s="3">
        <v>55112300</v>
      </c>
      <c r="F1532" s="3">
        <v>52386500</v>
      </c>
      <c r="G1532" t="s">
        <v>11</v>
      </c>
      <c r="H1532" s="5" t="s">
        <v>30</v>
      </c>
      <c r="I1532" t="s">
        <v>13</v>
      </c>
      <c r="J1532" t="s">
        <v>13</v>
      </c>
    </row>
    <row r="1533" spans="1:11" x14ac:dyDescent="0.35">
      <c r="A1533" t="s">
        <v>31</v>
      </c>
      <c r="B1533" t="s">
        <v>13</v>
      </c>
      <c r="C1533" t="s">
        <v>7</v>
      </c>
      <c r="D1533" t="s">
        <v>8</v>
      </c>
      <c r="E1533" s="3">
        <v>86830300</v>
      </c>
      <c r="F1533" s="3">
        <v>74523200</v>
      </c>
      <c r="G1533" t="s">
        <v>11</v>
      </c>
      <c r="H1533" s="5">
        <v>520150100</v>
      </c>
      <c r="I1533" t="s">
        <v>13</v>
      </c>
      <c r="J1533" t="s">
        <v>13</v>
      </c>
      <c r="K1533">
        <v>14.33</v>
      </c>
    </row>
    <row r="1535" spans="1:11" x14ac:dyDescent="0.35">
      <c r="A1535" t="s">
        <v>323</v>
      </c>
      <c r="B1535" t="str">
        <f>"24271"</f>
        <v>24271</v>
      </c>
      <c r="C1535" t="str">
        <f>"002"</f>
        <v>002</v>
      </c>
      <c r="D1535">
        <v>2001</v>
      </c>
      <c r="E1535" s="3">
        <v>8584700</v>
      </c>
      <c r="F1535" s="3">
        <v>3474100</v>
      </c>
      <c r="G1535" t="s">
        <v>11</v>
      </c>
      <c r="H1535" s="5" t="s">
        <v>30</v>
      </c>
      <c r="I1535" t="s">
        <v>13</v>
      </c>
      <c r="J1535" t="s">
        <v>13</v>
      </c>
    </row>
    <row r="1536" spans="1:11" x14ac:dyDescent="0.35">
      <c r="A1536" t="s">
        <v>31</v>
      </c>
      <c r="B1536" t="s">
        <v>13</v>
      </c>
      <c r="C1536" t="s">
        <v>7</v>
      </c>
      <c r="D1536" t="s">
        <v>8</v>
      </c>
      <c r="E1536" s="3">
        <v>8584700</v>
      </c>
      <c r="F1536" s="3">
        <v>3474100</v>
      </c>
      <c r="G1536" t="s">
        <v>11</v>
      </c>
      <c r="H1536" s="5">
        <v>63558400</v>
      </c>
      <c r="I1536" t="s">
        <v>13</v>
      </c>
      <c r="J1536" t="s">
        <v>13</v>
      </c>
      <c r="K1536">
        <v>5.47</v>
      </c>
    </row>
    <row r="1538" spans="1:11" x14ac:dyDescent="0.35">
      <c r="A1538" t="s">
        <v>324</v>
      </c>
      <c r="B1538" t="str">
        <f>"05171"</f>
        <v>05171</v>
      </c>
      <c r="C1538" t="str">
        <f>"002"</f>
        <v>002</v>
      </c>
      <c r="D1538">
        <v>2005</v>
      </c>
      <c r="E1538" s="3">
        <v>25297200</v>
      </c>
      <c r="F1538" s="3">
        <v>14936100</v>
      </c>
      <c r="G1538" t="s">
        <v>11</v>
      </c>
      <c r="H1538" s="5" t="s">
        <v>30</v>
      </c>
      <c r="I1538" t="s">
        <v>13</v>
      </c>
      <c r="J1538" t="s">
        <v>13</v>
      </c>
    </row>
    <row r="1539" spans="1:11" x14ac:dyDescent="0.35">
      <c r="A1539" t="s">
        <v>5</v>
      </c>
      <c r="B1539" t="str">
        <f>"05171"</f>
        <v>05171</v>
      </c>
      <c r="C1539" t="str">
        <f>"003"</f>
        <v>003</v>
      </c>
      <c r="D1539">
        <v>2014</v>
      </c>
      <c r="E1539" s="3">
        <v>6517100</v>
      </c>
      <c r="F1539" s="3">
        <v>517100</v>
      </c>
      <c r="G1539" t="s">
        <v>11</v>
      </c>
      <c r="H1539" s="5" t="s">
        <v>30</v>
      </c>
      <c r="I1539" t="s">
        <v>13</v>
      </c>
      <c r="J1539" t="s">
        <v>13</v>
      </c>
    </row>
    <row r="1540" spans="1:11" x14ac:dyDescent="0.35">
      <c r="A1540" t="s">
        <v>5</v>
      </c>
      <c r="B1540" t="str">
        <f>"05171"</f>
        <v>05171</v>
      </c>
      <c r="C1540" t="str">
        <f>"004"</f>
        <v>004</v>
      </c>
      <c r="D1540">
        <v>2015</v>
      </c>
      <c r="E1540" s="3">
        <v>34518300</v>
      </c>
      <c r="F1540" s="3">
        <v>32616000</v>
      </c>
      <c r="G1540" t="s">
        <v>11</v>
      </c>
      <c r="H1540" s="5" t="s">
        <v>30</v>
      </c>
      <c r="I1540" t="s">
        <v>13</v>
      </c>
      <c r="J1540" t="s">
        <v>13</v>
      </c>
    </row>
    <row r="1541" spans="1:11" x14ac:dyDescent="0.35">
      <c r="A1541" t="s">
        <v>31</v>
      </c>
      <c r="B1541" t="s">
        <v>13</v>
      </c>
      <c r="C1541" t="s">
        <v>7</v>
      </c>
      <c r="D1541" t="s">
        <v>8</v>
      </c>
      <c r="E1541" s="3">
        <v>66332600</v>
      </c>
      <c r="F1541" s="3">
        <v>48069200</v>
      </c>
      <c r="G1541" t="s">
        <v>11</v>
      </c>
      <c r="H1541" s="5">
        <v>299634900</v>
      </c>
      <c r="I1541" t="s">
        <v>13</v>
      </c>
      <c r="J1541" t="s">
        <v>13</v>
      </c>
      <c r="K1541">
        <v>16.04</v>
      </c>
    </row>
    <row r="1543" spans="1:11" x14ac:dyDescent="0.35">
      <c r="A1543" t="s">
        <v>325</v>
      </c>
      <c r="B1543" t="str">
        <f t="shared" ref="B1543:B1561" si="33">"51276"</f>
        <v>51276</v>
      </c>
      <c r="C1543" t="str">
        <f>"009"</f>
        <v>009</v>
      </c>
      <c r="D1543">
        <v>2000</v>
      </c>
      <c r="E1543" s="3">
        <v>29750600</v>
      </c>
      <c r="F1543" s="3">
        <v>29084900</v>
      </c>
      <c r="G1543" t="s">
        <v>11</v>
      </c>
      <c r="H1543" s="5" t="s">
        <v>30</v>
      </c>
      <c r="I1543" t="s">
        <v>13</v>
      </c>
      <c r="J1543" t="s">
        <v>13</v>
      </c>
    </row>
    <row r="1544" spans="1:11" x14ac:dyDescent="0.35">
      <c r="A1544" t="s">
        <v>5</v>
      </c>
      <c r="B1544" t="str">
        <f t="shared" si="33"/>
        <v>51276</v>
      </c>
      <c r="C1544" t="str">
        <f>"010"</f>
        <v>010</v>
      </c>
      <c r="D1544">
        <v>2003</v>
      </c>
      <c r="E1544" s="3">
        <v>2187000</v>
      </c>
      <c r="F1544" s="3">
        <v>1006600</v>
      </c>
      <c r="G1544" t="s">
        <v>11</v>
      </c>
      <c r="H1544" s="5" t="s">
        <v>30</v>
      </c>
      <c r="I1544" t="s">
        <v>13</v>
      </c>
      <c r="J1544" t="s">
        <v>13</v>
      </c>
    </row>
    <row r="1545" spans="1:11" x14ac:dyDescent="0.35">
      <c r="A1545" t="s">
        <v>5</v>
      </c>
      <c r="B1545" t="str">
        <f t="shared" si="33"/>
        <v>51276</v>
      </c>
      <c r="C1545" t="str">
        <f>"011"</f>
        <v>011</v>
      </c>
      <c r="D1545">
        <v>2005</v>
      </c>
      <c r="E1545" s="3">
        <v>5965000</v>
      </c>
      <c r="F1545" s="3">
        <v>2785300</v>
      </c>
      <c r="G1545" t="s">
        <v>11</v>
      </c>
      <c r="H1545" s="5" t="s">
        <v>30</v>
      </c>
      <c r="I1545" t="s">
        <v>13</v>
      </c>
      <c r="J1545" t="s">
        <v>13</v>
      </c>
    </row>
    <row r="1546" spans="1:11" x14ac:dyDescent="0.35">
      <c r="A1546" t="s">
        <v>5</v>
      </c>
      <c r="B1546" t="str">
        <f t="shared" si="33"/>
        <v>51276</v>
      </c>
      <c r="C1546" t="str">
        <f>"012"</f>
        <v>012</v>
      </c>
      <c r="D1546">
        <v>2006</v>
      </c>
      <c r="E1546" s="3">
        <v>7184000</v>
      </c>
      <c r="F1546" s="3">
        <v>6806000</v>
      </c>
      <c r="G1546" t="s">
        <v>11</v>
      </c>
      <c r="H1546" s="5" t="s">
        <v>30</v>
      </c>
      <c r="I1546" t="s">
        <v>13</v>
      </c>
      <c r="J1546" t="s">
        <v>13</v>
      </c>
    </row>
    <row r="1547" spans="1:11" x14ac:dyDescent="0.35">
      <c r="A1547" t="s">
        <v>5</v>
      </c>
      <c r="B1547" t="str">
        <f t="shared" si="33"/>
        <v>51276</v>
      </c>
      <c r="C1547" t="str">
        <f>"013"</f>
        <v>013</v>
      </c>
      <c r="D1547">
        <v>2006</v>
      </c>
      <c r="E1547" s="3">
        <v>10402800</v>
      </c>
      <c r="F1547" s="3">
        <v>10090500</v>
      </c>
      <c r="G1547" t="s">
        <v>11</v>
      </c>
      <c r="H1547" s="5" t="s">
        <v>30</v>
      </c>
      <c r="I1547" t="s">
        <v>13</v>
      </c>
      <c r="J1547" t="s">
        <v>13</v>
      </c>
    </row>
    <row r="1548" spans="1:11" x14ac:dyDescent="0.35">
      <c r="A1548" t="s">
        <v>5</v>
      </c>
      <c r="B1548" t="str">
        <f t="shared" si="33"/>
        <v>51276</v>
      </c>
      <c r="C1548" t="str">
        <f>"014"</f>
        <v>014</v>
      </c>
      <c r="D1548">
        <v>2006</v>
      </c>
      <c r="E1548" s="3">
        <v>4695100</v>
      </c>
      <c r="F1548" s="3">
        <v>591900</v>
      </c>
      <c r="G1548" t="s">
        <v>11</v>
      </c>
      <c r="H1548" s="5" t="s">
        <v>30</v>
      </c>
      <c r="I1548" t="s">
        <v>13</v>
      </c>
      <c r="J1548" t="s">
        <v>13</v>
      </c>
    </row>
    <row r="1549" spans="1:11" x14ac:dyDescent="0.35">
      <c r="A1549" t="s">
        <v>5</v>
      </c>
      <c r="B1549" t="str">
        <f t="shared" si="33"/>
        <v>51276</v>
      </c>
      <c r="C1549" t="str">
        <f>"016"</f>
        <v>016</v>
      </c>
      <c r="D1549">
        <v>2009</v>
      </c>
      <c r="E1549" s="3">
        <v>36411100</v>
      </c>
      <c r="F1549" s="3">
        <v>-1806300</v>
      </c>
      <c r="G1549" t="s">
        <v>52</v>
      </c>
      <c r="H1549" s="5" t="s">
        <v>30</v>
      </c>
      <c r="I1549" t="s">
        <v>13</v>
      </c>
      <c r="J1549" t="s">
        <v>13</v>
      </c>
    </row>
    <row r="1550" spans="1:11" x14ac:dyDescent="0.35">
      <c r="A1550" t="s">
        <v>5</v>
      </c>
      <c r="B1550" t="str">
        <f t="shared" si="33"/>
        <v>51276</v>
      </c>
      <c r="C1550" t="str">
        <f>"017"</f>
        <v>017</v>
      </c>
      <c r="D1550">
        <v>2012</v>
      </c>
      <c r="E1550" s="3">
        <v>398200</v>
      </c>
      <c r="F1550" s="3">
        <v>33300</v>
      </c>
      <c r="G1550" t="s">
        <v>11</v>
      </c>
      <c r="H1550" s="5" t="s">
        <v>30</v>
      </c>
      <c r="I1550" t="s">
        <v>13</v>
      </c>
      <c r="J1550" t="s">
        <v>13</v>
      </c>
    </row>
    <row r="1551" spans="1:11" x14ac:dyDescent="0.35">
      <c r="A1551" t="s">
        <v>5</v>
      </c>
      <c r="B1551" t="str">
        <f t="shared" si="33"/>
        <v>51276</v>
      </c>
      <c r="C1551" t="str">
        <f>"018"</f>
        <v>018</v>
      </c>
      <c r="D1551">
        <v>2014</v>
      </c>
      <c r="E1551" s="3">
        <v>3647900</v>
      </c>
      <c r="F1551" s="3">
        <v>602400</v>
      </c>
      <c r="G1551" t="s">
        <v>11</v>
      </c>
      <c r="H1551" s="5" t="s">
        <v>30</v>
      </c>
      <c r="I1551" t="s">
        <v>13</v>
      </c>
      <c r="J1551" t="s">
        <v>13</v>
      </c>
    </row>
    <row r="1552" spans="1:11" x14ac:dyDescent="0.35">
      <c r="A1552" t="s">
        <v>5</v>
      </c>
      <c r="B1552" t="str">
        <f t="shared" si="33"/>
        <v>51276</v>
      </c>
      <c r="C1552" t="str">
        <f>"019"</f>
        <v>019</v>
      </c>
      <c r="D1552">
        <v>2016</v>
      </c>
      <c r="E1552" s="3">
        <v>77233500</v>
      </c>
      <c r="F1552" s="3">
        <v>39039100</v>
      </c>
      <c r="G1552" t="s">
        <v>11</v>
      </c>
      <c r="H1552" s="5" t="s">
        <v>30</v>
      </c>
      <c r="I1552" t="s">
        <v>13</v>
      </c>
      <c r="J1552" t="s">
        <v>13</v>
      </c>
    </row>
    <row r="1553" spans="1:11" x14ac:dyDescent="0.35">
      <c r="A1553" t="s">
        <v>5</v>
      </c>
      <c r="B1553" t="str">
        <f t="shared" si="33"/>
        <v>51276</v>
      </c>
      <c r="C1553" t="str">
        <f>"020"</f>
        <v>020</v>
      </c>
      <c r="D1553">
        <v>2017</v>
      </c>
      <c r="E1553" s="3">
        <v>61221500</v>
      </c>
      <c r="F1553" s="3">
        <v>1251500</v>
      </c>
      <c r="G1553" t="s">
        <v>11</v>
      </c>
      <c r="H1553" s="5" t="s">
        <v>30</v>
      </c>
      <c r="I1553" t="s">
        <v>13</v>
      </c>
      <c r="J1553" t="s">
        <v>13</v>
      </c>
    </row>
    <row r="1554" spans="1:11" x14ac:dyDescent="0.35">
      <c r="A1554" t="s">
        <v>5</v>
      </c>
      <c r="B1554" t="str">
        <f t="shared" si="33"/>
        <v>51276</v>
      </c>
      <c r="C1554" t="str">
        <f>"021"</f>
        <v>021</v>
      </c>
      <c r="D1554">
        <v>2019</v>
      </c>
      <c r="E1554" s="3">
        <v>0</v>
      </c>
      <c r="F1554" s="3">
        <v>0</v>
      </c>
      <c r="G1554" t="s">
        <v>11</v>
      </c>
      <c r="H1554" s="5" t="s">
        <v>30</v>
      </c>
      <c r="I1554" t="s">
        <v>13</v>
      </c>
      <c r="J1554" t="s">
        <v>13</v>
      </c>
    </row>
    <row r="1555" spans="1:11" x14ac:dyDescent="0.35">
      <c r="A1555" t="s">
        <v>5</v>
      </c>
      <c r="B1555" t="str">
        <f t="shared" si="33"/>
        <v>51276</v>
      </c>
      <c r="C1555" t="str">
        <f>"022"</f>
        <v>022</v>
      </c>
      <c r="D1555">
        <v>2019</v>
      </c>
      <c r="E1555" s="3">
        <v>357352600</v>
      </c>
      <c r="F1555" s="3">
        <v>27329700</v>
      </c>
      <c r="G1555" t="s">
        <v>11</v>
      </c>
      <c r="H1555" s="5" t="s">
        <v>30</v>
      </c>
      <c r="I1555" t="s">
        <v>13</v>
      </c>
      <c r="J1555" t="s">
        <v>13</v>
      </c>
    </row>
    <row r="1556" spans="1:11" x14ac:dyDescent="0.35">
      <c r="A1556" t="s">
        <v>5</v>
      </c>
      <c r="B1556" t="str">
        <f t="shared" si="33"/>
        <v>51276</v>
      </c>
      <c r="C1556" t="str">
        <f>"023"</f>
        <v>023</v>
      </c>
      <c r="D1556">
        <v>2019</v>
      </c>
      <c r="E1556" s="3">
        <v>114486300</v>
      </c>
      <c r="F1556" s="3">
        <v>8883000</v>
      </c>
      <c r="G1556" t="s">
        <v>11</v>
      </c>
      <c r="H1556" s="5" t="s">
        <v>30</v>
      </c>
      <c r="I1556" t="s">
        <v>13</v>
      </c>
      <c r="J1556" t="s">
        <v>13</v>
      </c>
    </row>
    <row r="1557" spans="1:11" x14ac:dyDescent="0.35">
      <c r="A1557" t="s">
        <v>5</v>
      </c>
      <c r="B1557" t="str">
        <f t="shared" si="33"/>
        <v>51276</v>
      </c>
      <c r="C1557" t="str">
        <f>"024"</f>
        <v>024</v>
      </c>
      <c r="D1557">
        <v>2020</v>
      </c>
      <c r="E1557" s="3">
        <v>36300</v>
      </c>
      <c r="F1557" s="3">
        <v>-14300</v>
      </c>
      <c r="G1557" t="s">
        <v>52</v>
      </c>
      <c r="H1557" s="5" t="s">
        <v>30</v>
      </c>
      <c r="I1557" t="s">
        <v>13</v>
      </c>
      <c r="J1557" t="s">
        <v>13</v>
      </c>
    </row>
    <row r="1558" spans="1:11" x14ac:dyDescent="0.35">
      <c r="A1558" t="s">
        <v>5</v>
      </c>
      <c r="B1558" t="str">
        <f t="shared" si="33"/>
        <v>51276</v>
      </c>
      <c r="C1558" t="str">
        <f>"025"</f>
        <v>025</v>
      </c>
      <c r="D1558">
        <v>2020</v>
      </c>
      <c r="E1558" s="3">
        <v>21576700</v>
      </c>
      <c r="F1558" s="3">
        <v>15460000</v>
      </c>
      <c r="G1558" t="s">
        <v>11</v>
      </c>
      <c r="H1558" s="5" t="s">
        <v>30</v>
      </c>
      <c r="I1558" t="s">
        <v>13</v>
      </c>
      <c r="J1558" t="s">
        <v>13</v>
      </c>
    </row>
    <row r="1559" spans="1:11" x14ac:dyDescent="0.35">
      <c r="A1559" t="s">
        <v>5</v>
      </c>
      <c r="B1559" t="str">
        <f t="shared" si="33"/>
        <v>51276</v>
      </c>
      <c r="C1559" t="str">
        <f>"026"</f>
        <v>026</v>
      </c>
      <c r="D1559">
        <v>2021</v>
      </c>
      <c r="E1559" s="3">
        <v>3322900</v>
      </c>
      <c r="F1559" s="3">
        <v>-289100</v>
      </c>
      <c r="G1559" t="s">
        <v>52</v>
      </c>
      <c r="H1559" s="5" t="s">
        <v>30</v>
      </c>
      <c r="I1559" t="s">
        <v>13</v>
      </c>
      <c r="J1559" t="s">
        <v>13</v>
      </c>
    </row>
    <row r="1560" spans="1:11" x14ac:dyDescent="0.35">
      <c r="A1560" t="s">
        <v>5</v>
      </c>
      <c r="B1560" t="str">
        <f t="shared" si="33"/>
        <v>51276</v>
      </c>
      <c r="C1560" t="str">
        <f>"027"</f>
        <v>027</v>
      </c>
      <c r="D1560">
        <v>2021</v>
      </c>
      <c r="E1560" s="3">
        <v>240227600</v>
      </c>
      <c r="F1560" s="3">
        <v>-5845500</v>
      </c>
      <c r="G1560" t="s">
        <v>52</v>
      </c>
      <c r="H1560" s="5" t="s">
        <v>30</v>
      </c>
      <c r="I1560" t="s">
        <v>13</v>
      </c>
      <c r="J1560" t="s">
        <v>13</v>
      </c>
    </row>
    <row r="1561" spans="1:11" x14ac:dyDescent="0.35">
      <c r="A1561" t="s">
        <v>5</v>
      </c>
      <c r="B1561" t="str">
        <f t="shared" si="33"/>
        <v>51276</v>
      </c>
      <c r="C1561" t="str">
        <f>"028"</f>
        <v>028</v>
      </c>
      <c r="D1561">
        <v>2021</v>
      </c>
      <c r="E1561" s="3">
        <v>111688500</v>
      </c>
      <c r="F1561" s="3">
        <v>-872000</v>
      </c>
      <c r="G1561" t="s">
        <v>52</v>
      </c>
      <c r="H1561" s="5" t="s">
        <v>30</v>
      </c>
      <c r="I1561" t="s">
        <v>13</v>
      </c>
      <c r="J1561" t="s">
        <v>13</v>
      </c>
    </row>
    <row r="1562" spans="1:11" x14ac:dyDescent="0.35">
      <c r="A1562" t="s">
        <v>31</v>
      </c>
      <c r="B1562" t="s">
        <v>13</v>
      </c>
      <c r="C1562" t="s">
        <v>7</v>
      </c>
      <c r="D1562" t="s">
        <v>8</v>
      </c>
      <c r="E1562" s="3">
        <v>1087787600</v>
      </c>
      <c r="F1562" s="3">
        <v>142964200</v>
      </c>
      <c r="G1562" t="s">
        <v>11</v>
      </c>
      <c r="H1562" s="5">
        <v>4585521700</v>
      </c>
      <c r="I1562" t="s">
        <v>13</v>
      </c>
      <c r="J1562" t="s">
        <v>13</v>
      </c>
      <c r="K1562">
        <v>3.12</v>
      </c>
    </row>
    <row r="1564" spans="1:11" x14ac:dyDescent="0.35">
      <c r="A1564" t="s">
        <v>326</v>
      </c>
      <c r="B1564" t="str">
        <f>"59176"</f>
        <v>59176</v>
      </c>
      <c r="C1564" t="str">
        <f>"003"</f>
        <v>003</v>
      </c>
      <c r="D1564">
        <v>2014</v>
      </c>
      <c r="E1564" s="3">
        <v>4724900</v>
      </c>
      <c r="F1564" s="3">
        <v>3327800</v>
      </c>
      <c r="G1564" t="s">
        <v>11</v>
      </c>
      <c r="H1564" s="5" t="s">
        <v>30</v>
      </c>
      <c r="I1564" t="s">
        <v>13</v>
      </c>
      <c r="J1564" t="s">
        <v>13</v>
      </c>
    </row>
    <row r="1565" spans="1:11" x14ac:dyDescent="0.35">
      <c r="A1565" t="s">
        <v>5</v>
      </c>
      <c r="B1565" t="str">
        <f>"59176"</f>
        <v>59176</v>
      </c>
      <c r="C1565" t="str">
        <f>"004"</f>
        <v>004</v>
      </c>
      <c r="D1565">
        <v>2021</v>
      </c>
      <c r="E1565" s="3">
        <v>9240600</v>
      </c>
      <c r="F1565" s="3">
        <v>173800</v>
      </c>
      <c r="G1565" t="s">
        <v>11</v>
      </c>
      <c r="H1565" s="5" t="s">
        <v>30</v>
      </c>
      <c r="I1565" t="s">
        <v>13</v>
      </c>
      <c r="J1565" t="s">
        <v>13</v>
      </c>
    </row>
    <row r="1566" spans="1:11" x14ac:dyDescent="0.35">
      <c r="A1566" t="s">
        <v>31</v>
      </c>
      <c r="B1566" t="s">
        <v>13</v>
      </c>
      <c r="C1566" t="s">
        <v>7</v>
      </c>
      <c r="D1566" t="s">
        <v>8</v>
      </c>
      <c r="E1566" s="3">
        <v>13965500</v>
      </c>
      <c r="F1566" s="3">
        <v>3501600</v>
      </c>
      <c r="G1566" t="s">
        <v>11</v>
      </c>
      <c r="H1566" s="5">
        <v>200056100</v>
      </c>
      <c r="I1566" t="s">
        <v>13</v>
      </c>
      <c r="J1566" t="s">
        <v>13</v>
      </c>
      <c r="K1566">
        <v>1.75</v>
      </c>
    </row>
    <row r="1568" spans="1:11" x14ac:dyDescent="0.35">
      <c r="A1568" t="s">
        <v>327</v>
      </c>
      <c r="B1568" t="str">
        <f>"69176"</f>
        <v>69176</v>
      </c>
      <c r="C1568" t="str">
        <f>"001"</f>
        <v>001</v>
      </c>
      <c r="D1568">
        <v>1997</v>
      </c>
      <c r="E1568" s="3">
        <v>14559000</v>
      </c>
      <c r="F1568" s="3">
        <v>13100000</v>
      </c>
      <c r="G1568" t="s">
        <v>11</v>
      </c>
      <c r="H1568" s="5" t="s">
        <v>30</v>
      </c>
      <c r="I1568" t="s">
        <v>13</v>
      </c>
      <c r="J1568" t="s">
        <v>13</v>
      </c>
    </row>
    <row r="1569" spans="1:11" x14ac:dyDescent="0.35">
      <c r="A1569" t="s">
        <v>5</v>
      </c>
      <c r="B1569" t="str">
        <f>"69176"</f>
        <v>69176</v>
      </c>
      <c r="C1569" t="str">
        <f>"002"</f>
        <v>002</v>
      </c>
      <c r="D1569">
        <v>1997</v>
      </c>
      <c r="E1569" s="3">
        <v>475000</v>
      </c>
      <c r="F1569" s="3">
        <v>428800</v>
      </c>
      <c r="G1569" t="s">
        <v>11</v>
      </c>
      <c r="H1569" s="5" t="s">
        <v>30</v>
      </c>
      <c r="I1569" t="s">
        <v>13</v>
      </c>
      <c r="J1569" t="s">
        <v>13</v>
      </c>
    </row>
    <row r="1570" spans="1:11" x14ac:dyDescent="0.35">
      <c r="A1570" t="s">
        <v>31</v>
      </c>
      <c r="B1570" t="s">
        <v>13</v>
      </c>
      <c r="C1570" t="s">
        <v>7</v>
      </c>
      <c r="D1570" t="s">
        <v>8</v>
      </c>
      <c r="E1570" s="3">
        <v>15034000</v>
      </c>
      <c r="F1570" s="3">
        <v>13528800</v>
      </c>
      <c r="G1570" t="s">
        <v>11</v>
      </c>
      <c r="H1570" s="5">
        <v>61437400</v>
      </c>
      <c r="I1570" t="s">
        <v>13</v>
      </c>
      <c r="J1570" t="s">
        <v>13</v>
      </c>
      <c r="K1570">
        <v>22.02</v>
      </c>
    </row>
    <row r="1572" spans="1:11" x14ac:dyDescent="0.35">
      <c r="A1572" t="s">
        <v>328</v>
      </c>
      <c r="B1572" t="str">
        <f>"56276"</f>
        <v>56276</v>
      </c>
      <c r="C1572" t="str">
        <f>"004"</f>
        <v>004</v>
      </c>
      <c r="D1572">
        <v>1998</v>
      </c>
      <c r="E1572" s="3">
        <v>19611700</v>
      </c>
      <c r="F1572" s="3">
        <v>15525800</v>
      </c>
      <c r="G1572" t="s">
        <v>11</v>
      </c>
      <c r="H1572" s="5" t="s">
        <v>30</v>
      </c>
      <c r="I1572" t="s">
        <v>13</v>
      </c>
      <c r="J1572" t="s">
        <v>13</v>
      </c>
    </row>
    <row r="1573" spans="1:11" x14ac:dyDescent="0.35">
      <c r="A1573" t="s">
        <v>5</v>
      </c>
      <c r="B1573" t="str">
        <f>"56276"</f>
        <v>56276</v>
      </c>
      <c r="C1573" t="str">
        <f>"006"</f>
        <v>006</v>
      </c>
      <c r="D1573">
        <v>2000</v>
      </c>
      <c r="E1573" s="3">
        <v>11545900</v>
      </c>
      <c r="F1573" s="3">
        <v>4611600</v>
      </c>
      <c r="G1573" t="s">
        <v>11</v>
      </c>
      <c r="H1573" s="5" t="s">
        <v>30</v>
      </c>
      <c r="I1573" t="s">
        <v>13</v>
      </c>
      <c r="J1573" t="s">
        <v>13</v>
      </c>
    </row>
    <row r="1574" spans="1:11" x14ac:dyDescent="0.35">
      <c r="A1574" t="s">
        <v>5</v>
      </c>
      <c r="B1574" t="str">
        <f>"56276"</f>
        <v>56276</v>
      </c>
      <c r="C1574" t="str">
        <f>"008"</f>
        <v>008</v>
      </c>
      <c r="D1574">
        <v>2008</v>
      </c>
      <c r="E1574" s="3">
        <v>5678100</v>
      </c>
      <c r="F1574" s="3">
        <v>4058400</v>
      </c>
      <c r="G1574" t="s">
        <v>11</v>
      </c>
      <c r="H1574" s="5" t="s">
        <v>30</v>
      </c>
      <c r="I1574" t="s">
        <v>13</v>
      </c>
      <c r="J1574" t="s">
        <v>13</v>
      </c>
    </row>
    <row r="1575" spans="1:11" x14ac:dyDescent="0.35">
      <c r="A1575" t="s">
        <v>5</v>
      </c>
      <c r="B1575" t="str">
        <f>"56276"</f>
        <v>56276</v>
      </c>
      <c r="C1575" t="str">
        <f>"009"</f>
        <v>009</v>
      </c>
      <c r="D1575">
        <v>2016</v>
      </c>
      <c r="E1575" s="3">
        <v>77529200</v>
      </c>
      <c r="F1575" s="3">
        <v>35483400</v>
      </c>
      <c r="G1575" t="s">
        <v>11</v>
      </c>
      <c r="H1575" s="5" t="s">
        <v>30</v>
      </c>
      <c r="I1575" t="s">
        <v>13</v>
      </c>
      <c r="J1575" t="s">
        <v>13</v>
      </c>
    </row>
    <row r="1576" spans="1:11" x14ac:dyDescent="0.35">
      <c r="A1576" t="s">
        <v>5</v>
      </c>
      <c r="B1576" t="str">
        <f>"56276"</f>
        <v>56276</v>
      </c>
      <c r="C1576" t="str">
        <f>"010"</f>
        <v>010</v>
      </c>
      <c r="D1576">
        <v>2021</v>
      </c>
      <c r="E1576" s="3">
        <v>6647500</v>
      </c>
      <c r="F1576" s="3">
        <v>898300</v>
      </c>
      <c r="G1576" t="s">
        <v>11</v>
      </c>
      <c r="H1576" s="5" t="s">
        <v>30</v>
      </c>
      <c r="I1576" t="s">
        <v>13</v>
      </c>
      <c r="J1576" t="s">
        <v>13</v>
      </c>
    </row>
    <row r="1577" spans="1:11" x14ac:dyDescent="0.35">
      <c r="A1577" t="s">
        <v>31</v>
      </c>
      <c r="B1577" t="s">
        <v>13</v>
      </c>
      <c r="C1577" t="s">
        <v>7</v>
      </c>
      <c r="D1577" t="s">
        <v>8</v>
      </c>
      <c r="E1577" s="3">
        <v>121012400</v>
      </c>
      <c r="F1577" s="3">
        <v>60577500</v>
      </c>
      <c r="G1577" t="s">
        <v>11</v>
      </c>
      <c r="H1577" s="5">
        <v>826945300</v>
      </c>
      <c r="I1577" t="s">
        <v>13</v>
      </c>
      <c r="J1577" t="s">
        <v>13</v>
      </c>
      <c r="K1577">
        <v>7.33</v>
      </c>
    </row>
    <row r="1579" spans="1:11" x14ac:dyDescent="0.35">
      <c r="A1579" t="s">
        <v>329</v>
      </c>
      <c r="B1579" t="str">
        <f>"14177"</f>
        <v>14177</v>
      </c>
      <c r="C1579" t="str">
        <f>"003"</f>
        <v>003</v>
      </c>
      <c r="D1579">
        <v>2011</v>
      </c>
      <c r="E1579" s="3">
        <v>10701800</v>
      </c>
      <c r="F1579" s="3">
        <v>9789100</v>
      </c>
      <c r="G1579" t="s">
        <v>11</v>
      </c>
      <c r="H1579" s="5" t="s">
        <v>30</v>
      </c>
      <c r="I1579" t="s">
        <v>13</v>
      </c>
      <c r="J1579" t="s">
        <v>13</v>
      </c>
    </row>
    <row r="1580" spans="1:11" x14ac:dyDescent="0.35">
      <c r="A1580" t="s">
        <v>31</v>
      </c>
      <c r="B1580" t="s">
        <v>13</v>
      </c>
      <c r="C1580" t="s">
        <v>7</v>
      </c>
      <c r="D1580" t="s">
        <v>8</v>
      </c>
      <c r="E1580" s="3">
        <v>10701800</v>
      </c>
      <c r="F1580" s="3">
        <v>9789100</v>
      </c>
      <c r="G1580" t="s">
        <v>11</v>
      </c>
      <c r="H1580" s="5">
        <v>51729800</v>
      </c>
      <c r="I1580" t="s">
        <v>13</v>
      </c>
      <c r="J1580" t="s">
        <v>13</v>
      </c>
      <c r="K1580">
        <v>18.920000000000002</v>
      </c>
    </row>
    <row r="1582" spans="1:11" x14ac:dyDescent="0.35">
      <c r="A1582" t="s">
        <v>330</v>
      </c>
      <c r="B1582" t="str">
        <f>"43276"</f>
        <v>43276</v>
      </c>
      <c r="C1582" t="str">
        <f>"005"</f>
        <v>005</v>
      </c>
      <c r="D1582">
        <v>2000</v>
      </c>
      <c r="E1582" s="3">
        <v>1583900</v>
      </c>
      <c r="F1582" s="3">
        <v>617100</v>
      </c>
      <c r="G1582" t="s">
        <v>11</v>
      </c>
      <c r="H1582" s="5" t="s">
        <v>30</v>
      </c>
      <c r="I1582" t="s">
        <v>13</v>
      </c>
      <c r="J1582" t="s">
        <v>13</v>
      </c>
    </row>
    <row r="1583" spans="1:11" x14ac:dyDescent="0.35">
      <c r="A1583" t="s">
        <v>5</v>
      </c>
      <c r="B1583" t="str">
        <f>"43276"</f>
        <v>43276</v>
      </c>
      <c r="C1583" t="str">
        <f>"006"</f>
        <v>006</v>
      </c>
      <c r="D1583">
        <v>2002</v>
      </c>
      <c r="E1583" s="3">
        <v>17903600</v>
      </c>
      <c r="F1583" s="3">
        <v>6919800</v>
      </c>
      <c r="G1583" t="s">
        <v>11</v>
      </c>
      <c r="H1583" s="5" t="s">
        <v>30</v>
      </c>
      <c r="I1583" t="s">
        <v>13</v>
      </c>
      <c r="J1583" t="s">
        <v>13</v>
      </c>
    </row>
    <row r="1584" spans="1:11" x14ac:dyDescent="0.35">
      <c r="A1584" t="s">
        <v>5</v>
      </c>
      <c r="B1584" t="str">
        <f>"43276"</f>
        <v>43276</v>
      </c>
      <c r="C1584" t="str">
        <f>"008"</f>
        <v>008</v>
      </c>
      <c r="D1584">
        <v>2010</v>
      </c>
      <c r="E1584" s="3">
        <v>52398600</v>
      </c>
      <c r="F1584" s="3">
        <v>3206400</v>
      </c>
      <c r="G1584" t="s">
        <v>11</v>
      </c>
      <c r="H1584" s="5" t="s">
        <v>30</v>
      </c>
      <c r="I1584" t="s">
        <v>13</v>
      </c>
      <c r="J1584" t="s">
        <v>13</v>
      </c>
    </row>
    <row r="1585" spans="1:11" x14ac:dyDescent="0.35">
      <c r="A1585" t="s">
        <v>5</v>
      </c>
      <c r="B1585" t="str">
        <f>"43276"</f>
        <v>43276</v>
      </c>
      <c r="C1585" t="str">
        <f>"009"</f>
        <v>009</v>
      </c>
      <c r="D1585">
        <v>2012</v>
      </c>
      <c r="E1585" s="3">
        <v>24949100</v>
      </c>
      <c r="F1585" s="3">
        <v>24944200</v>
      </c>
      <c r="G1585" t="s">
        <v>11</v>
      </c>
      <c r="H1585" s="5" t="s">
        <v>30</v>
      </c>
      <c r="I1585" t="s">
        <v>13</v>
      </c>
      <c r="J1585" t="s">
        <v>13</v>
      </c>
    </row>
    <row r="1586" spans="1:11" x14ac:dyDescent="0.35">
      <c r="A1586" t="s">
        <v>5</v>
      </c>
      <c r="B1586" t="str">
        <f>"43276"</f>
        <v>43276</v>
      </c>
      <c r="C1586" t="str">
        <f>"010"</f>
        <v>010</v>
      </c>
      <c r="D1586">
        <v>2013</v>
      </c>
      <c r="E1586" s="3">
        <v>10957000</v>
      </c>
      <c r="F1586" s="3">
        <v>5165900</v>
      </c>
      <c r="G1586" t="s">
        <v>11</v>
      </c>
      <c r="H1586" s="5" t="s">
        <v>30</v>
      </c>
      <c r="I1586" t="s">
        <v>13</v>
      </c>
      <c r="J1586" t="s">
        <v>13</v>
      </c>
    </row>
    <row r="1587" spans="1:11" x14ac:dyDescent="0.35">
      <c r="A1587" t="s">
        <v>31</v>
      </c>
      <c r="B1587" t="s">
        <v>13</v>
      </c>
      <c r="C1587" t="s">
        <v>7</v>
      </c>
      <c r="D1587" t="s">
        <v>8</v>
      </c>
      <c r="E1587" s="3">
        <v>107792200</v>
      </c>
      <c r="F1587" s="3">
        <v>40853400</v>
      </c>
      <c r="G1587" t="s">
        <v>11</v>
      </c>
      <c r="H1587" s="5">
        <v>657478300</v>
      </c>
      <c r="I1587" t="s">
        <v>13</v>
      </c>
      <c r="J1587" t="s">
        <v>13</v>
      </c>
      <c r="K1587">
        <v>6.21</v>
      </c>
    </row>
    <row r="1589" spans="1:11" x14ac:dyDescent="0.35">
      <c r="A1589" t="s">
        <v>331</v>
      </c>
      <c r="B1589" t="str">
        <f>"37068"</f>
        <v>37068</v>
      </c>
      <c r="C1589" t="str">
        <f>"001A"</f>
        <v>001A</v>
      </c>
      <c r="D1589">
        <v>2020</v>
      </c>
      <c r="E1589" s="3">
        <v>27436500</v>
      </c>
      <c r="F1589" s="3">
        <v>7357600</v>
      </c>
      <c r="G1589" t="s">
        <v>11</v>
      </c>
      <c r="H1589" s="5" t="s">
        <v>30</v>
      </c>
      <c r="I1589" t="s">
        <v>13</v>
      </c>
      <c r="J1589" t="s">
        <v>13</v>
      </c>
    </row>
    <row r="1590" spans="1:11" x14ac:dyDescent="0.35">
      <c r="A1590" t="s">
        <v>31</v>
      </c>
      <c r="B1590" t="s">
        <v>13</v>
      </c>
      <c r="C1590" t="s">
        <v>7</v>
      </c>
      <c r="D1590" t="s">
        <v>8</v>
      </c>
      <c r="E1590" s="3">
        <v>27436500</v>
      </c>
      <c r="F1590" s="3">
        <v>7357600</v>
      </c>
      <c r="G1590" t="s">
        <v>11</v>
      </c>
      <c r="H1590" s="5">
        <v>1085214200</v>
      </c>
      <c r="I1590" t="s">
        <v>13</v>
      </c>
      <c r="J1590" t="s">
        <v>13</v>
      </c>
      <c r="K1590">
        <v>0.68</v>
      </c>
    </row>
    <row r="1592" spans="1:11" x14ac:dyDescent="0.35">
      <c r="A1592" t="s">
        <v>332</v>
      </c>
      <c r="B1592" t="str">
        <f>"03276"</f>
        <v>03276</v>
      </c>
      <c r="C1592" t="str">
        <f>"003"</f>
        <v>003</v>
      </c>
      <c r="D1592">
        <v>2001</v>
      </c>
      <c r="E1592" s="3">
        <v>43861800</v>
      </c>
      <c r="F1592" s="3">
        <v>22503100</v>
      </c>
      <c r="G1592" t="s">
        <v>11</v>
      </c>
      <c r="H1592" s="5" t="s">
        <v>30</v>
      </c>
      <c r="I1592" t="s">
        <v>13</v>
      </c>
      <c r="J1592" t="s">
        <v>13</v>
      </c>
    </row>
    <row r="1593" spans="1:11" x14ac:dyDescent="0.35">
      <c r="A1593" t="s">
        <v>5</v>
      </c>
      <c r="B1593" t="str">
        <f>"03276"</f>
        <v>03276</v>
      </c>
      <c r="C1593" t="str">
        <f>"004"</f>
        <v>004</v>
      </c>
      <c r="D1593">
        <v>2007</v>
      </c>
      <c r="E1593" s="3">
        <v>53616100</v>
      </c>
      <c r="F1593" s="3">
        <v>49679000</v>
      </c>
      <c r="G1593" t="s">
        <v>11</v>
      </c>
      <c r="H1593" s="5" t="s">
        <v>30</v>
      </c>
      <c r="I1593" t="s">
        <v>13</v>
      </c>
      <c r="J1593" t="s">
        <v>13</v>
      </c>
    </row>
    <row r="1594" spans="1:11" x14ac:dyDescent="0.35">
      <c r="A1594" t="s">
        <v>5</v>
      </c>
      <c r="B1594" t="str">
        <f>"03276"</f>
        <v>03276</v>
      </c>
      <c r="C1594" t="str">
        <f>"005"</f>
        <v>005</v>
      </c>
      <c r="D1594">
        <v>2019</v>
      </c>
      <c r="E1594" s="3">
        <v>56989400</v>
      </c>
      <c r="F1594" s="3">
        <v>7566700</v>
      </c>
      <c r="G1594" t="s">
        <v>11</v>
      </c>
      <c r="H1594" s="5" t="s">
        <v>30</v>
      </c>
      <c r="I1594" t="s">
        <v>13</v>
      </c>
      <c r="J1594" t="s">
        <v>13</v>
      </c>
    </row>
    <row r="1595" spans="1:11" x14ac:dyDescent="0.35">
      <c r="A1595" t="s">
        <v>5</v>
      </c>
      <c r="B1595" t="str">
        <f>"03276"</f>
        <v>03276</v>
      </c>
      <c r="C1595" t="str">
        <f>"006"</f>
        <v>006</v>
      </c>
      <c r="D1595">
        <v>2021</v>
      </c>
      <c r="E1595" s="3">
        <v>11784700</v>
      </c>
      <c r="F1595" s="3">
        <v>-325200</v>
      </c>
      <c r="G1595" t="s">
        <v>52</v>
      </c>
      <c r="H1595" s="5" t="s">
        <v>30</v>
      </c>
      <c r="I1595" t="s">
        <v>13</v>
      </c>
      <c r="J1595" t="s">
        <v>13</v>
      </c>
    </row>
    <row r="1596" spans="1:11" x14ac:dyDescent="0.35">
      <c r="A1596" t="s">
        <v>31</v>
      </c>
      <c r="B1596" t="s">
        <v>13</v>
      </c>
      <c r="C1596" t="s">
        <v>7</v>
      </c>
      <c r="D1596" t="s">
        <v>8</v>
      </c>
      <c r="E1596" s="3">
        <v>166252000</v>
      </c>
      <c r="F1596" s="3">
        <v>79748800</v>
      </c>
      <c r="G1596" t="s">
        <v>11</v>
      </c>
      <c r="H1596" s="5">
        <v>868702500</v>
      </c>
      <c r="I1596" t="s">
        <v>13</v>
      </c>
      <c r="J1596" t="s">
        <v>13</v>
      </c>
      <c r="K1596">
        <v>9.18</v>
      </c>
    </row>
    <row r="1598" spans="1:11" x14ac:dyDescent="0.35">
      <c r="A1598" t="s">
        <v>333</v>
      </c>
      <c r="B1598" t="str">
        <f>"66166"</f>
        <v>66166</v>
      </c>
      <c r="C1598" t="str">
        <f>"001"</f>
        <v>001</v>
      </c>
      <c r="D1598">
        <v>2021</v>
      </c>
      <c r="E1598" s="3">
        <v>3333500</v>
      </c>
      <c r="F1598" s="3">
        <v>2688600</v>
      </c>
      <c r="G1598" t="s">
        <v>11</v>
      </c>
      <c r="H1598" s="5" t="s">
        <v>30</v>
      </c>
      <c r="I1598" t="s">
        <v>13</v>
      </c>
      <c r="J1598" t="s">
        <v>13</v>
      </c>
    </row>
    <row r="1599" spans="1:11" x14ac:dyDescent="0.35">
      <c r="A1599" t="s">
        <v>31</v>
      </c>
      <c r="B1599" t="s">
        <v>13</v>
      </c>
      <c r="C1599" t="s">
        <v>7</v>
      </c>
      <c r="D1599" t="s">
        <v>8</v>
      </c>
      <c r="E1599" s="3">
        <v>3333500</v>
      </c>
      <c r="F1599" s="3">
        <v>2688600</v>
      </c>
      <c r="G1599" t="s">
        <v>11</v>
      </c>
      <c r="H1599" s="5">
        <v>2257996500</v>
      </c>
      <c r="I1599" t="s">
        <v>13</v>
      </c>
      <c r="J1599" t="s">
        <v>13</v>
      </c>
      <c r="K1599">
        <v>0.12</v>
      </c>
    </row>
    <row r="1601" spans="1:11" x14ac:dyDescent="0.35">
      <c r="A1601" t="s">
        <v>334</v>
      </c>
      <c r="B1601" t="str">
        <f>"52276"</f>
        <v>52276</v>
      </c>
      <c r="C1601" t="str">
        <f>"006"</f>
        <v>006</v>
      </c>
      <c r="D1601">
        <v>2017</v>
      </c>
      <c r="E1601" s="3">
        <v>5499400</v>
      </c>
      <c r="F1601" s="3">
        <v>5471100</v>
      </c>
      <c r="G1601" t="s">
        <v>11</v>
      </c>
      <c r="H1601" s="5" t="s">
        <v>30</v>
      </c>
      <c r="I1601" t="s">
        <v>13</v>
      </c>
      <c r="J1601" t="s">
        <v>13</v>
      </c>
    </row>
    <row r="1602" spans="1:11" x14ac:dyDescent="0.35">
      <c r="A1602" t="s">
        <v>31</v>
      </c>
      <c r="B1602" t="s">
        <v>13</v>
      </c>
      <c r="C1602" t="s">
        <v>7</v>
      </c>
      <c r="D1602" t="s">
        <v>8</v>
      </c>
      <c r="E1602" s="3">
        <v>5499400</v>
      </c>
      <c r="F1602" s="3">
        <v>5471100</v>
      </c>
      <c r="G1602" t="s">
        <v>11</v>
      </c>
      <c r="H1602" s="5">
        <v>372268100</v>
      </c>
      <c r="I1602" t="s">
        <v>13</v>
      </c>
      <c r="J1602" t="s">
        <v>13</v>
      </c>
      <c r="K1602">
        <v>1.47</v>
      </c>
    </row>
    <row r="1604" spans="1:11" x14ac:dyDescent="0.35">
      <c r="A1604" t="s">
        <v>335</v>
      </c>
      <c r="B1604" t="str">
        <f>"17176"</f>
        <v>17176</v>
      </c>
      <c r="C1604" t="str">
        <f>"001"</f>
        <v>001</v>
      </c>
      <c r="D1604">
        <v>2006</v>
      </c>
      <c r="E1604" s="3">
        <v>2812800</v>
      </c>
      <c r="F1604" s="3">
        <v>1198800</v>
      </c>
      <c r="G1604" t="s">
        <v>11</v>
      </c>
      <c r="H1604" s="5" t="s">
        <v>30</v>
      </c>
      <c r="I1604" t="s">
        <v>13</v>
      </c>
      <c r="J1604" t="s">
        <v>13</v>
      </c>
    </row>
    <row r="1605" spans="1:11" x14ac:dyDescent="0.35">
      <c r="A1605" t="s">
        <v>31</v>
      </c>
      <c r="B1605" t="s">
        <v>13</v>
      </c>
      <c r="C1605" t="s">
        <v>7</v>
      </c>
      <c r="D1605" t="s">
        <v>8</v>
      </c>
      <c r="E1605" s="3">
        <v>2812800</v>
      </c>
      <c r="F1605" s="3">
        <v>1198800</v>
      </c>
      <c r="G1605" t="s">
        <v>11</v>
      </c>
      <c r="H1605" s="5">
        <v>18830400</v>
      </c>
      <c r="I1605" t="s">
        <v>13</v>
      </c>
      <c r="J1605" t="s">
        <v>13</v>
      </c>
      <c r="K1605">
        <v>6.37</v>
      </c>
    </row>
    <row r="1607" spans="1:11" x14ac:dyDescent="0.35">
      <c r="A1607" t="s">
        <v>336</v>
      </c>
      <c r="B1607" t="str">
        <f>"25177"</f>
        <v>25177</v>
      </c>
      <c r="C1607" t="str">
        <f>"001"</f>
        <v>001</v>
      </c>
      <c r="D1607">
        <v>2007</v>
      </c>
      <c r="E1607" s="3">
        <v>9584300</v>
      </c>
      <c r="F1607" s="3">
        <v>6682200</v>
      </c>
      <c r="G1607" t="s">
        <v>11</v>
      </c>
      <c r="H1607" s="5" t="s">
        <v>30</v>
      </c>
      <c r="I1607" t="s">
        <v>13</v>
      </c>
      <c r="J1607" t="s">
        <v>13</v>
      </c>
    </row>
    <row r="1608" spans="1:11" x14ac:dyDescent="0.35">
      <c r="A1608" t="s">
        <v>31</v>
      </c>
      <c r="B1608" t="s">
        <v>13</v>
      </c>
      <c r="C1608" t="s">
        <v>7</v>
      </c>
      <c r="D1608" t="s">
        <v>8</v>
      </c>
      <c r="E1608" s="3">
        <v>9584300</v>
      </c>
      <c r="F1608" s="3">
        <v>6682200</v>
      </c>
      <c r="G1608" t="s">
        <v>11</v>
      </c>
      <c r="H1608" s="5">
        <v>55558800</v>
      </c>
      <c r="I1608" t="s">
        <v>13</v>
      </c>
      <c r="J1608" t="s">
        <v>13</v>
      </c>
      <c r="K1608">
        <v>12.03</v>
      </c>
    </row>
    <row r="1610" spans="1:11" x14ac:dyDescent="0.35">
      <c r="A1610" t="s">
        <v>337</v>
      </c>
      <c r="B1610" t="str">
        <f>"11177"</f>
        <v>11177</v>
      </c>
      <c r="C1610" t="str">
        <f>"001"</f>
        <v>001</v>
      </c>
      <c r="D1610">
        <v>1988</v>
      </c>
      <c r="E1610" s="3">
        <v>3157500</v>
      </c>
      <c r="F1610" s="3">
        <v>2606100</v>
      </c>
      <c r="G1610" t="s">
        <v>11</v>
      </c>
      <c r="H1610" s="5" t="s">
        <v>30</v>
      </c>
      <c r="I1610" t="s">
        <v>13</v>
      </c>
      <c r="J1610" t="s">
        <v>13</v>
      </c>
    </row>
    <row r="1611" spans="1:11" x14ac:dyDescent="0.35">
      <c r="A1611" t="s">
        <v>5</v>
      </c>
      <c r="B1611" t="str">
        <f>"11177"</f>
        <v>11177</v>
      </c>
      <c r="C1611" t="str">
        <f>"003"</f>
        <v>003</v>
      </c>
      <c r="D1611">
        <v>1996</v>
      </c>
      <c r="E1611" s="3">
        <v>10524100</v>
      </c>
      <c r="F1611" s="3">
        <v>9256000</v>
      </c>
      <c r="G1611" t="s">
        <v>11</v>
      </c>
      <c r="H1611" s="5" t="s">
        <v>30</v>
      </c>
      <c r="I1611" t="s">
        <v>13</v>
      </c>
      <c r="J1611" t="s">
        <v>13</v>
      </c>
    </row>
    <row r="1612" spans="1:11" x14ac:dyDescent="0.35">
      <c r="A1612" t="s">
        <v>31</v>
      </c>
      <c r="B1612" t="s">
        <v>13</v>
      </c>
      <c r="C1612" t="s">
        <v>7</v>
      </c>
      <c r="D1612" t="s">
        <v>8</v>
      </c>
      <c r="E1612" s="3">
        <v>13681600</v>
      </c>
      <c r="F1612" s="3">
        <v>11862100</v>
      </c>
      <c r="G1612" t="s">
        <v>11</v>
      </c>
      <c r="H1612" s="5">
        <v>94450000</v>
      </c>
      <c r="I1612" t="s">
        <v>13</v>
      </c>
      <c r="J1612" t="s">
        <v>13</v>
      </c>
      <c r="K1612">
        <v>12.56</v>
      </c>
    </row>
    <row r="1614" spans="1:11" x14ac:dyDescent="0.35">
      <c r="A1614" t="s">
        <v>338</v>
      </c>
      <c r="B1614" t="str">
        <f t="shared" ref="B1614:B1622" si="34">"20276"</f>
        <v>20276</v>
      </c>
      <c r="C1614" t="str">
        <f>"005"</f>
        <v>005</v>
      </c>
      <c r="D1614">
        <v>2000</v>
      </c>
      <c r="E1614" s="3">
        <v>10084500</v>
      </c>
      <c r="F1614" s="3">
        <v>9845200</v>
      </c>
      <c r="G1614" t="s">
        <v>11</v>
      </c>
      <c r="H1614" s="5" t="s">
        <v>30</v>
      </c>
      <c r="I1614" t="s">
        <v>13</v>
      </c>
      <c r="J1614" t="s">
        <v>13</v>
      </c>
    </row>
    <row r="1615" spans="1:11" x14ac:dyDescent="0.35">
      <c r="A1615" t="s">
        <v>5</v>
      </c>
      <c r="B1615" t="str">
        <f t="shared" si="34"/>
        <v>20276</v>
      </c>
      <c r="C1615" t="str">
        <f>"006"</f>
        <v>006</v>
      </c>
      <c r="D1615">
        <v>2005</v>
      </c>
      <c r="E1615" s="3">
        <v>44518600</v>
      </c>
      <c r="F1615" s="3">
        <v>19255300</v>
      </c>
      <c r="G1615" t="s">
        <v>11</v>
      </c>
      <c r="H1615" s="5" t="s">
        <v>30</v>
      </c>
      <c r="I1615" t="s">
        <v>13</v>
      </c>
      <c r="J1615" t="s">
        <v>13</v>
      </c>
    </row>
    <row r="1616" spans="1:11" x14ac:dyDescent="0.35">
      <c r="A1616" t="s">
        <v>5</v>
      </c>
      <c r="B1616" t="str">
        <f t="shared" si="34"/>
        <v>20276</v>
      </c>
      <c r="C1616" t="str">
        <f>"007"</f>
        <v>007</v>
      </c>
      <c r="D1616">
        <v>2007</v>
      </c>
      <c r="E1616" s="3">
        <v>6953500</v>
      </c>
      <c r="F1616" s="3">
        <v>6107900</v>
      </c>
      <c r="G1616" t="s">
        <v>11</v>
      </c>
      <c r="H1616" s="5" t="s">
        <v>30</v>
      </c>
      <c r="I1616" t="s">
        <v>13</v>
      </c>
      <c r="J1616" t="s">
        <v>13</v>
      </c>
    </row>
    <row r="1617" spans="1:11" x14ac:dyDescent="0.35">
      <c r="A1617" t="s">
        <v>5</v>
      </c>
      <c r="B1617" t="str">
        <f t="shared" si="34"/>
        <v>20276</v>
      </c>
      <c r="C1617" t="str">
        <f>"009"</f>
        <v>009</v>
      </c>
      <c r="D1617">
        <v>2009</v>
      </c>
      <c r="E1617" s="3">
        <v>5225200</v>
      </c>
      <c r="F1617" s="3">
        <v>5218100</v>
      </c>
      <c r="G1617" t="s">
        <v>11</v>
      </c>
      <c r="H1617" s="5" t="s">
        <v>30</v>
      </c>
      <c r="I1617" t="s">
        <v>13</v>
      </c>
      <c r="J1617" t="s">
        <v>13</v>
      </c>
    </row>
    <row r="1618" spans="1:11" x14ac:dyDescent="0.35">
      <c r="A1618" t="s">
        <v>5</v>
      </c>
      <c r="B1618" t="str">
        <f t="shared" si="34"/>
        <v>20276</v>
      </c>
      <c r="C1618" t="str">
        <f>"010"</f>
        <v>010</v>
      </c>
      <c r="D1618">
        <v>2009</v>
      </c>
      <c r="E1618" s="3">
        <v>9197800</v>
      </c>
      <c r="F1618" s="3">
        <v>9163400</v>
      </c>
      <c r="G1618" t="s">
        <v>11</v>
      </c>
      <c r="H1618" s="5" t="s">
        <v>30</v>
      </c>
      <c r="I1618" t="s">
        <v>13</v>
      </c>
      <c r="J1618" t="s">
        <v>13</v>
      </c>
    </row>
    <row r="1619" spans="1:11" x14ac:dyDescent="0.35">
      <c r="A1619" t="s">
        <v>5</v>
      </c>
      <c r="B1619" t="str">
        <f t="shared" si="34"/>
        <v>20276</v>
      </c>
      <c r="C1619" t="str">
        <f>"011"</f>
        <v>011</v>
      </c>
      <c r="D1619">
        <v>2009</v>
      </c>
      <c r="E1619" s="3">
        <v>8686100</v>
      </c>
      <c r="F1619" s="3">
        <v>2301800</v>
      </c>
      <c r="G1619" t="s">
        <v>11</v>
      </c>
      <c r="H1619" s="5" t="s">
        <v>30</v>
      </c>
      <c r="I1619" t="s">
        <v>13</v>
      </c>
      <c r="J1619" t="s">
        <v>13</v>
      </c>
    </row>
    <row r="1620" spans="1:11" x14ac:dyDescent="0.35">
      <c r="A1620" t="s">
        <v>5</v>
      </c>
      <c r="B1620" t="str">
        <f t="shared" si="34"/>
        <v>20276</v>
      </c>
      <c r="C1620" t="str">
        <f>"012"</f>
        <v>012</v>
      </c>
      <c r="D1620">
        <v>2014</v>
      </c>
      <c r="E1620" s="3">
        <v>4151300</v>
      </c>
      <c r="F1620" s="3">
        <v>3424200</v>
      </c>
      <c r="G1620" t="s">
        <v>11</v>
      </c>
      <c r="H1620" s="5" t="s">
        <v>30</v>
      </c>
      <c r="I1620" t="s">
        <v>13</v>
      </c>
      <c r="J1620" t="s">
        <v>13</v>
      </c>
    </row>
    <row r="1621" spans="1:11" x14ac:dyDescent="0.35">
      <c r="A1621" t="s">
        <v>5</v>
      </c>
      <c r="B1621" t="str">
        <f t="shared" si="34"/>
        <v>20276</v>
      </c>
      <c r="C1621" t="str">
        <f>"014"</f>
        <v>014</v>
      </c>
      <c r="D1621">
        <v>2016</v>
      </c>
      <c r="E1621" s="3">
        <v>12936900</v>
      </c>
      <c r="F1621" s="3">
        <v>12936900</v>
      </c>
      <c r="G1621" t="s">
        <v>11</v>
      </c>
      <c r="H1621" s="5" t="s">
        <v>30</v>
      </c>
      <c r="I1621" t="s">
        <v>13</v>
      </c>
      <c r="J1621" t="s">
        <v>13</v>
      </c>
    </row>
    <row r="1622" spans="1:11" x14ac:dyDescent="0.35">
      <c r="A1622" t="s">
        <v>5</v>
      </c>
      <c r="B1622" t="str">
        <f t="shared" si="34"/>
        <v>20276</v>
      </c>
      <c r="C1622" t="str">
        <f>"015"</f>
        <v>015</v>
      </c>
      <c r="D1622">
        <v>2017</v>
      </c>
      <c r="E1622" s="3">
        <v>1938700</v>
      </c>
      <c r="F1622" s="3">
        <v>1679700</v>
      </c>
      <c r="G1622" t="s">
        <v>11</v>
      </c>
      <c r="H1622" s="5" t="s">
        <v>30</v>
      </c>
      <c r="I1622" t="s">
        <v>13</v>
      </c>
      <c r="J1622" t="s">
        <v>13</v>
      </c>
    </row>
    <row r="1623" spans="1:11" x14ac:dyDescent="0.35">
      <c r="A1623" t="s">
        <v>31</v>
      </c>
      <c r="B1623" t="s">
        <v>13</v>
      </c>
      <c r="C1623" t="s">
        <v>7</v>
      </c>
      <c r="D1623" t="s">
        <v>8</v>
      </c>
      <c r="E1623" s="3">
        <v>103692600</v>
      </c>
      <c r="F1623" s="3">
        <v>69932500</v>
      </c>
      <c r="G1623" t="s">
        <v>11</v>
      </c>
      <c r="H1623" s="5">
        <v>522084300</v>
      </c>
      <c r="I1623" t="s">
        <v>13</v>
      </c>
      <c r="J1623" t="s">
        <v>13</v>
      </c>
      <c r="K1623">
        <v>13.39</v>
      </c>
    </row>
    <row r="1625" spans="1:11" x14ac:dyDescent="0.35">
      <c r="A1625" t="s">
        <v>339</v>
      </c>
      <c r="B1625" t="str">
        <f>"55276"</f>
        <v>55276</v>
      </c>
      <c r="C1625" t="str">
        <f>"005"</f>
        <v>005</v>
      </c>
      <c r="D1625">
        <v>1994</v>
      </c>
      <c r="E1625" s="3">
        <v>30819400</v>
      </c>
      <c r="F1625" s="3">
        <v>30352000</v>
      </c>
      <c r="G1625" t="s">
        <v>11</v>
      </c>
      <c r="H1625" s="5" t="s">
        <v>30</v>
      </c>
      <c r="I1625" t="s">
        <v>13</v>
      </c>
      <c r="J1625" t="s">
        <v>13</v>
      </c>
    </row>
    <row r="1626" spans="1:11" x14ac:dyDescent="0.35">
      <c r="A1626" t="s">
        <v>5</v>
      </c>
      <c r="B1626" t="str">
        <f>"47276"</f>
        <v>47276</v>
      </c>
      <c r="C1626" t="str">
        <f>"006"</f>
        <v>006</v>
      </c>
      <c r="D1626">
        <v>2005</v>
      </c>
      <c r="E1626" s="3">
        <v>2878200</v>
      </c>
      <c r="F1626" s="3">
        <v>1903600</v>
      </c>
      <c r="G1626" t="s">
        <v>11</v>
      </c>
      <c r="H1626" s="5" t="s">
        <v>30</v>
      </c>
      <c r="I1626" t="s">
        <v>13</v>
      </c>
      <c r="J1626" t="s">
        <v>13</v>
      </c>
    </row>
    <row r="1627" spans="1:11" x14ac:dyDescent="0.35">
      <c r="A1627" t="s">
        <v>5</v>
      </c>
      <c r="B1627" t="str">
        <f>"47276"</f>
        <v>47276</v>
      </c>
      <c r="C1627" t="str">
        <f>"008"</f>
        <v>008</v>
      </c>
      <c r="D1627">
        <v>2010</v>
      </c>
      <c r="E1627" s="3">
        <v>5572500</v>
      </c>
      <c r="F1627" s="3">
        <v>4246000</v>
      </c>
      <c r="G1627" t="s">
        <v>11</v>
      </c>
      <c r="H1627" s="5" t="s">
        <v>30</v>
      </c>
      <c r="I1627" t="s">
        <v>13</v>
      </c>
      <c r="J1627" t="s">
        <v>13</v>
      </c>
    </row>
    <row r="1628" spans="1:11" x14ac:dyDescent="0.35">
      <c r="A1628" t="s">
        <v>5</v>
      </c>
      <c r="B1628" t="str">
        <f>"47276"</f>
        <v>47276</v>
      </c>
      <c r="C1628" t="str">
        <f>"009"</f>
        <v>009</v>
      </c>
      <c r="D1628">
        <v>2012</v>
      </c>
      <c r="E1628" s="3">
        <v>7595000</v>
      </c>
      <c r="F1628" s="3">
        <v>2882700</v>
      </c>
      <c r="G1628" t="s">
        <v>11</v>
      </c>
      <c r="H1628" s="5" t="s">
        <v>30</v>
      </c>
      <c r="I1628" t="s">
        <v>13</v>
      </c>
      <c r="J1628" t="s">
        <v>13</v>
      </c>
    </row>
    <row r="1629" spans="1:11" x14ac:dyDescent="0.35">
      <c r="A1629" t="s">
        <v>5</v>
      </c>
      <c r="B1629" t="str">
        <f>"55276"</f>
        <v>55276</v>
      </c>
      <c r="C1629" t="str">
        <f>"010"</f>
        <v>010</v>
      </c>
      <c r="D1629">
        <v>2014</v>
      </c>
      <c r="E1629" s="3">
        <v>32458700</v>
      </c>
      <c r="F1629" s="3">
        <v>32325400</v>
      </c>
      <c r="G1629" t="s">
        <v>11</v>
      </c>
      <c r="H1629" s="5" t="s">
        <v>30</v>
      </c>
      <c r="I1629" t="s">
        <v>13</v>
      </c>
      <c r="J1629" t="s">
        <v>13</v>
      </c>
    </row>
    <row r="1630" spans="1:11" x14ac:dyDescent="0.35">
      <c r="A1630" t="s">
        <v>5</v>
      </c>
      <c r="B1630" t="str">
        <f>"55276"</f>
        <v>55276</v>
      </c>
      <c r="C1630" t="str">
        <f>"011"</f>
        <v>011</v>
      </c>
      <c r="D1630">
        <v>2016</v>
      </c>
      <c r="E1630" s="3">
        <v>8601100</v>
      </c>
      <c r="F1630" s="3">
        <v>740600</v>
      </c>
      <c r="G1630" t="s">
        <v>11</v>
      </c>
      <c r="H1630" s="5" t="s">
        <v>30</v>
      </c>
      <c r="I1630" t="s">
        <v>13</v>
      </c>
      <c r="J1630" t="s">
        <v>13</v>
      </c>
    </row>
    <row r="1631" spans="1:11" x14ac:dyDescent="0.35">
      <c r="A1631" t="s">
        <v>5</v>
      </c>
      <c r="B1631" t="str">
        <f>"55276"</f>
        <v>55276</v>
      </c>
      <c r="C1631" t="str">
        <f>"012"</f>
        <v>012</v>
      </c>
      <c r="D1631">
        <v>2016</v>
      </c>
      <c r="E1631" s="3">
        <v>1596100</v>
      </c>
      <c r="F1631" s="3">
        <v>1596100</v>
      </c>
      <c r="G1631" t="s">
        <v>11</v>
      </c>
      <c r="H1631" s="5" t="s">
        <v>30</v>
      </c>
      <c r="I1631" t="s">
        <v>13</v>
      </c>
      <c r="J1631" t="s">
        <v>13</v>
      </c>
    </row>
    <row r="1632" spans="1:11" x14ac:dyDescent="0.35">
      <c r="A1632" t="s">
        <v>5</v>
      </c>
      <c r="B1632" t="str">
        <f>"55276"</f>
        <v>55276</v>
      </c>
      <c r="C1632" t="str">
        <f>"013"</f>
        <v>013</v>
      </c>
      <c r="D1632">
        <v>2018</v>
      </c>
      <c r="E1632" s="3">
        <v>13442000</v>
      </c>
      <c r="F1632" s="3">
        <v>6738500</v>
      </c>
      <c r="G1632" t="s">
        <v>11</v>
      </c>
      <c r="H1632" s="5" t="s">
        <v>30</v>
      </c>
      <c r="I1632" t="s">
        <v>13</v>
      </c>
      <c r="J1632" t="s">
        <v>13</v>
      </c>
    </row>
    <row r="1633" spans="1:11" x14ac:dyDescent="0.35">
      <c r="A1633" t="s">
        <v>5</v>
      </c>
      <c r="B1633" t="str">
        <f>"47276"</f>
        <v>47276</v>
      </c>
      <c r="C1633" t="str">
        <f>"014"</f>
        <v>014</v>
      </c>
      <c r="D1633">
        <v>2018</v>
      </c>
      <c r="E1633" s="3">
        <v>23262700</v>
      </c>
      <c r="F1633" s="3">
        <v>23189600</v>
      </c>
      <c r="G1633" t="s">
        <v>11</v>
      </c>
      <c r="H1633" s="5" t="s">
        <v>30</v>
      </c>
      <c r="I1633" t="s">
        <v>13</v>
      </c>
      <c r="J1633" t="s">
        <v>13</v>
      </c>
    </row>
    <row r="1634" spans="1:11" x14ac:dyDescent="0.35">
      <c r="A1634" t="s">
        <v>5</v>
      </c>
      <c r="B1634" t="str">
        <f>"47276"</f>
        <v>47276</v>
      </c>
      <c r="C1634" t="str">
        <f>"015"</f>
        <v>015</v>
      </c>
      <c r="D1634">
        <v>2020</v>
      </c>
      <c r="E1634" s="3">
        <v>6696600</v>
      </c>
      <c r="F1634" s="3">
        <v>6451400</v>
      </c>
      <c r="G1634" t="s">
        <v>11</v>
      </c>
      <c r="H1634" s="5" t="s">
        <v>30</v>
      </c>
      <c r="I1634" t="s">
        <v>13</v>
      </c>
      <c r="J1634" t="s">
        <v>13</v>
      </c>
    </row>
    <row r="1635" spans="1:11" x14ac:dyDescent="0.35">
      <c r="A1635" t="s">
        <v>5</v>
      </c>
      <c r="B1635" t="str">
        <f>"55276"</f>
        <v>55276</v>
      </c>
      <c r="C1635" t="str">
        <f>"016"</f>
        <v>016</v>
      </c>
      <c r="D1635">
        <v>2020</v>
      </c>
      <c r="E1635" s="3">
        <v>10888000</v>
      </c>
      <c r="F1635" s="3">
        <v>10884400</v>
      </c>
      <c r="G1635" t="s">
        <v>11</v>
      </c>
      <c r="H1635" s="5" t="s">
        <v>30</v>
      </c>
      <c r="I1635" t="s">
        <v>13</v>
      </c>
      <c r="J1635" t="s">
        <v>13</v>
      </c>
    </row>
    <row r="1636" spans="1:11" x14ac:dyDescent="0.35">
      <c r="A1636" t="s">
        <v>5</v>
      </c>
      <c r="B1636" t="str">
        <f>"55276"</f>
        <v>55276</v>
      </c>
      <c r="C1636" t="str">
        <f>"017"</f>
        <v>017</v>
      </c>
      <c r="D1636">
        <v>2021</v>
      </c>
      <c r="E1636" s="3">
        <v>8144600</v>
      </c>
      <c r="F1636" s="3">
        <v>5645600</v>
      </c>
      <c r="G1636" t="s">
        <v>11</v>
      </c>
      <c r="H1636" s="5" t="s">
        <v>30</v>
      </c>
      <c r="I1636" t="s">
        <v>13</v>
      </c>
      <c r="J1636" t="s">
        <v>13</v>
      </c>
    </row>
    <row r="1637" spans="1:11" x14ac:dyDescent="0.35">
      <c r="A1637" t="s">
        <v>5</v>
      </c>
      <c r="B1637" t="str">
        <f>"47276"</f>
        <v>47276</v>
      </c>
      <c r="C1637" t="str">
        <f>"018"</f>
        <v>018</v>
      </c>
      <c r="D1637">
        <v>2021</v>
      </c>
      <c r="E1637" s="3">
        <v>580400</v>
      </c>
      <c r="F1637" s="3">
        <v>42000</v>
      </c>
      <c r="G1637" t="s">
        <v>11</v>
      </c>
      <c r="H1637" s="5" t="s">
        <v>30</v>
      </c>
      <c r="I1637" t="s">
        <v>13</v>
      </c>
      <c r="J1637" t="s">
        <v>13</v>
      </c>
    </row>
    <row r="1638" spans="1:11" x14ac:dyDescent="0.35">
      <c r="A1638" t="s">
        <v>31</v>
      </c>
      <c r="B1638" t="s">
        <v>13</v>
      </c>
      <c r="C1638" t="s">
        <v>7</v>
      </c>
      <c r="D1638" t="s">
        <v>8</v>
      </c>
      <c r="E1638" s="3">
        <v>152535300</v>
      </c>
      <c r="F1638" s="3">
        <v>126997900</v>
      </c>
      <c r="G1638" t="s">
        <v>11</v>
      </c>
      <c r="H1638" s="5">
        <v>1494615400</v>
      </c>
      <c r="I1638" t="s">
        <v>13</v>
      </c>
      <c r="J1638" t="s">
        <v>13</v>
      </c>
      <c r="K1638">
        <v>8.5</v>
      </c>
    </row>
    <row r="1640" spans="1:11" x14ac:dyDescent="0.35">
      <c r="A1640" t="s">
        <v>340</v>
      </c>
      <c r="B1640" t="str">
        <f>"40176"</f>
        <v>40176</v>
      </c>
      <c r="C1640" t="str">
        <f>"001"</f>
        <v>001</v>
      </c>
      <c r="D1640">
        <v>2021</v>
      </c>
      <c r="E1640" s="3">
        <v>0</v>
      </c>
      <c r="F1640" s="3">
        <v>0</v>
      </c>
      <c r="G1640" t="s">
        <v>11</v>
      </c>
      <c r="H1640" s="5" t="s">
        <v>30</v>
      </c>
      <c r="I1640" t="s">
        <v>13</v>
      </c>
      <c r="J1640" t="s">
        <v>13</v>
      </c>
    </row>
    <row r="1641" spans="1:11" x14ac:dyDescent="0.35">
      <c r="A1641" t="s">
        <v>31</v>
      </c>
      <c r="B1641" t="s">
        <v>13</v>
      </c>
      <c r="C1641" t="s">
        <v>7</v>
      </c>
      <c r="D1641" t="s">
        <v>8</v>
      </c>
      <c r="E1641" s="3">
        <v>0</v>
      </c>
      <c r="F1641" s="3">
        <v>0</v>
      </c>
      <c r="G1641" t="s">
        <v>11</v>
      </c>
      <c r="H1641" s="5">
        <v>509420400</v>
      </c>
      <c r="I1641" t="s">
        <v>13</v>
      </c>
      <c r="J1641" t="s">
        <v>13</v>
      </c>
      <c r="K1641">
        <v>0</v>
      </c>
    </row>
    <row r="1643" spans="1:11" x14ac:dyDescent="0.35">
      <c r="A1643" t="s">
        <v>341</v>
      </c>
      <c r="B1643" t="str">
        <f>"55176"</f>
        <v>55176</v>
      </c>
      <c r="C1643" t="str">
        <f>"002"</f>
        <v>002</v>
      </c>
      <c r="D1643">
        <v>2020</v>
      </c>
      <c r="E1643" s="3">
        <v>2864600</v>
      </c>
      <c r="F1643" s="3">
        <v>2823400</v>
      </c>
      <c r="G1643" t="s">
        <v>11</v>
      </c>
      <c r="H1643" s="5" t="s">
        <v>30</v>
      </c>
      <c r="I1643" t="s">
        <v>13</v>
      </c>
      <c r="J1643" t="s">
        <v>13</v>
      </c>
    </row>
    <row r="1644" spans="1:11" x14ac:dyDescent="0.35">
      <c r="A1644" t="s">
        <v>5</v>
      </c>
      <c r="B1644" t="str">
        <f>"55176"</f>
        <v>55176</v>
      </c>
      <c r="C1644" t="str">
        <f>"003"</f>
        <v>003</v>
      </c>
      <c r="D1644">
        <v>2020</v>
      </c>
      <c r="E1644" s="3">
        <v>19286900</v>
      </c>
      <c r="F1644" s="3">
        <v>19237100</v>
      </c>
      <c r="G1644" t="s">
        <v>11</v>
      </c>
      <c r="H1644" s="5" t="s">
        <v>30</v>
      </c>
      <c r="I1644" t="s">
        <v>13</v>
      </c>
      <c r="J1644" t="s">
        <v>13</v>
      </c>
    </row>
    <row r="1645" spans="1:11" x14ac:dyDescent="0.35">
      <c r="A1645" t="s">
        <v>31</v>
      </c>
      <c r="B1645" t="s">
        <v>13</v>
      </c>
      <c r="C1645" t="s">
        <v>7</v>
      </c>
      <c r="D1645" t="s">
        <v>8</v>
      </c>
      <c r="E1645" s="3">
        <v>22151500</v>
      </c>
      <c r="F1645" s="3">
        <v>22060500</v>
      </c>
      <c r="G1645" t="s">
        <v>11</v>
      </c>
      <c r="H1645" s="5">
        <v>240046500</v>
      </c>
      <c r="I1645" t="s">
        <v>13</v>
      </c>
      <c r="J1645" t="s">
        <v>13</v>
      </c>
      <c r="K1645">
        <v>9.19</v>
      </c>
    </row>
    <row r="1647" spans="1:11" x14ac:dyDescent="0.35">
      <c r="A1647" t="s">
        <v>342</v>
      </c>
      <c r="B1647" t="str">
        <f>"56176"</f>
        <v>56176</v>
      </c>
      <c r="C1647" t="str">
        <f>"002"</f>
        <v>002</v>
      </c>
      <c r="D1647">
        <v>2020</v>
      </c>
      <c r="E1647" s="3">
        <v>1970400</v>
      </c>
      <c r="F1647" s="3">
        <v>741000</v>
      </c>
      <c r="G1647" t="s">
        <v>11</v>
      </c>
      <c r="H1647" s="5" t="s">
        <v>30</v>
      </c>
      <c r="I1647" t="s">
        <v>13</v>
      </c>
      <c r="J1647" t="s">
        <v>13</v>
      </c>
    </row>
    <row r="1648" spans="1:11" x14ac:dyDescent="0.35">
      <c r="A1648" t="s">
        <v>31</v>
      </c>
      <c r="B1648" t="s">
        <v>13</v>
      </c>
      <c r="C1648" t="s">
        <v>7</v>
      </c>
      <c r="D1648" t="s">
        <v>8</v>
      </c>
      <c r="E1648" s="3">
        <v>1970400</v>
      </c>
      <c r="F1648" s="3">
        <v>741000</v>
      </c>
      <c r="G1648" t="s">
        <v>11</v>
      </c>
      <c r="H1648" s="5">
        <v>28602000</v>
      </c>
      <c r="I1648" t="s">
        <v>13</v>
      </c>
      <c r="J1648" t="s">
        <v>13</v>
      </c>
      <c r="K1648">
        <v>2.59</v>
      </c>
    </row>
    <row r="1650" spans="1:11" x14ac:dyDescent="0.35">
      <c r="A1650" t="s">
        <v>343</v>
      </c>
      <c r="B1650" t="str">
        <f>"41176"</f>
        <v>41176</v>
      </c>
      <c r="C1650" t="str">
        <f>"001"</f>
        <v>001</v>
      </c>
      <c r="D1650">
        <v>2010</v>
      </c>
      <c r="E1650" s="3">
        <v>3981400</v>
      </c>
      <c r="F1650" s="3">
        <v>2144000</v>
      </c>
      <c r="G1650" t="s">
        <v>11</v>
      </c>
      <c r="H1650" s="5" t="s">
        <v>30</v>
      </c>
      <c r="I1650" t="s">
        <v>13</v>
      </c>
      <c r="J1650" t="s">
        <v>13</v>
      </c>
    </row>
    <row r="1651" spans="1:11" x14ac:dyDescent="0.35">
      <c r="A1651" t="s">
        <v>5</v>
      </c>
      <c r="B1651" t="str">
        <f>"32176"</f>
        <v>32176</v>
      </c>
      <c r="C1651" t="str">
        <f>"001"</f>
        <v>001</v>
      </c>
      <c r="D1651">
        <v>2010</v>
      </c>
      <c r="E1651" s="3">
        <v>8214800</v>
      </c>
      <c r="F1651" s="3">
        <v>7038500</v>
      </c>
      <c r="G1651" t="s">
        <v>11</v>
      </c>
      <c r="H1651" s="5" t="s">
        <v>30</v>
      </c>
      <c r="I1651" t="s">
        <v>13</v>
      </c>
      <c r="J1651" t="s">
        <v>13</v>
      </c>
    </row>
    <row r="1652" spans="1:11" x14ac:dyDescent="0.35">
      <c r="A1652" t="s">
        <v>31</v>
      </c>
      <c r="B1652" t="s">
        <v>13</v>
      </c>
      <c r="C1652" t="s">
        <v>7</v>
      </c>
      <c r="D1652" t="s">
        <v>8</v>
      </c>
      <c r="E1652" s="3">
        <v>12196200</v>
      </c>
      <c r="F1652" s="3">
        <v>9182500</v>
      </c>
      <c r="G1652" t="s">
        <v>11</v>
      </c>
      <c r="H1652" s="5">
        <v>59626700</v>
      </c>
      <c r="I1652" t="s">
        <v>13</v>
      </c>
      <c r="J1652" t="s">
        <v>13</v>
      </c>
      <c r="K1652">
        <v>15.4</v>
      </c>
    </row>
    <row r="1654" spans="1:11" x14ac:dyDescent="0.35">
      <c r="A1654" t="s">
        <v>344</v>
      </c>
      <c r="B1654" t="str">
        <f>"01030"</f>
        <v>01030</v>
      </c>
      <c r="C1654" t="str">
        <f>"001T"</f>
        <v>001T</v>
      </c>
      <c r="D1654">
        <v>2015</v>
      </c>
      <c r="E1654" s="3">
        <v>81896500</v>
      </c>
      <c r="F1654" s="3">
        <v>80647100</v>
      </c>
      <c r="G1654" t="s">
        <v>11</v>
      </c>
      <c r="H1654" s="5" t="s">
        <v>30</v>
      </c>
      <c r="I1654" t="s">
        <v>13</v>
      </c>
      <c r="J1654" t="s">
        <v>13</v>
      </c>
    </row>
    <row r="1655" spans="1:11" x14ac:dyDescent="0.35">
      <c r="A1655" t="s">
        <v>31</v>
      </c>
      <c r="B1655" t="s">
        <v>13</v>
      </c>
      <c r="C1655" t="s">
        <v>7</v>
      </c>
      <c r="D1655" t="s">
        <v>8</v>
      </c>
      <c r="E1655" s="3">
        <v>81896500</v>
      </c>
      <c r="F1655" s="3">
        <v>80647100</v>
      </c>
      <c r="G1655" t="s">
        <v>11</v>
      </c>
      <c r="H1655" s="5">
        <v>1023433700</v>
      </c>
      <c r="I1655">
        <v>7.88</v>
      </c>
      <c r="J1655">
        <v>8</v>
      </c>
    </row>
    <row r="1657" spans="1:11" x14ac:dyDescent="0.35">
      <c r="A1657" t="s">
        <v>345</v>
      </c>
      <c r="B1657" t="str">
        <f>"20176"</f>
        <v>20176</v>
      </c>
      <c r="C1657" t="str">
        <f>"001"</f>
        <v>001</v>
      </c>
      <c r="D1657">
        <v>2011</v>
      </c>
      <c r="E1657" s="3">
        <v>4888300</v>
      </c>
      <c r="F1657" s="3">
        <v>1423900</v>
      </c>
      <c r="G1657" t="s">
        <v>11</v>
      </c>
      <c r="H1657" s="5" t="s">
        <v>30</v>
      </c>
      <c r="I1657" t="s">
        <v>13</v>
      </c>
      <c r="J1657" t="s">
        <v>13</v>
      </c>
    </row>
    <row r="1658" spans="1:11" x14ac:dyDescent="0.35">
      <c r="A1658" t="s">
        <v>5</v>
      </c>
      <c r="B1658" t="str">
        <f>"20176"</f>
        <v>20176</v>
      </c>
      <c r="C1658" t="str">
        <f>"002"</f>
        <v>002</v>
      </c>
      <c r="D1658">
        <v>2019</v>
      </c>
      <c r="E1658" s="3">
        <v>5058700</v>
      </c>
      <c r="F1658" s="3">
        <v>1407900</v>
      </c>
      <c r="G1658" t="s">
        <v>11</v>
      </c>
      <c r="H1658" s="5" t="s">
        <v>30</v>
      </c>
      <c r="I1658" t="s">
        <v>13</v>
      </c>
      <c r="J1658" t="s">
        <v>13</v>
      </c>
    </row>
    <row r="1659" spans="1:11" x14ac:dyDescent="0.35">
      <c r="A1659" t="s">
        <v>31</v>
      </c>
      <c r="B1659" t="s">
        <v>13</v>
      </c>
      <c r="C1659" t="s">
        <v>7</v>
      </c>
      <c r="D1659" t="s">
        <v>8</v>
      </c>
      <c r="E1659" s="3">
        <v>9947000</v>
      </c>
      <c r="F1659" s="3">
        <v>2831800</v>
      </c>
      <c r="G1659" t="s">
        <v>11</v>
      </c>
      <c r="H1659" s="5">
        <v>84074900</v>
      </c>
      <c r="I1659" t="s">
        <v>13</v>
      </c>
      <c r="J1659" t="s">
        <v>13</v>
      </c>
      <c r="K1659">
        <v>3.37</v>
      </c>
    </row>
    <row r="1661" spans="1:11" x14ac:dyDescent="0.35">
      <c r="A1661" t="s">
        <v>346</v>
      </c>
      <c r="B1661" t="str">
        <f>"37176"</f>
        <v>37176</v>
      </c>
      <c r="C1661" t="str">
        <f>"002"</f>
        <v>002</v>
      </c>
      <c r="D1661">
        <v>2013</v>
      </c>
      <c r="E1661" s="3">
        <v>70493500</v>
      </c>
      <c r="F1661" s="3">
        <v>25629100</v>
      </c>
      <c r="G1661" t="s">
        <v>11</v>
      </c>
      <c r="H1661" s="5" t="s">
        <v>30</v>
      </c>
      <c r="I1661" t="s">
        <v>13</v>
      </c>
      <c r="J1661" t="s">
        <v>13</v>
      </c>
    </row>
    <row r="1662" spans="1:11" x14ac:dyDescent="0.35">
      <c r="A1662" t="s">
        <v>31</v>
      </c>
      <c r="B1662" t="s">
        <v>13</v>
      </c>
      <c r="C1662" t="s">
        <v>7</v>
      </c>
      <c r="D1662" t="s">
        <v>8</v>
      </c>
      <c r="E1662" s="3">
        <v>70493500</v>
      </c>
      <c r="F1662" s="3">
        <v>25629100</v>
      </c>
      <c r="G1662" t="s">
        <v>11</v>
      </c>
      <c r="H1662" s="5">
        <v>600340500</v>
      </c>
      <c r="I1662" t="s">
        <v>13</v>
      </c>
      <c r="J1662" t="s">
        <v>13</v>
      </c>
      <c r="K1662">
        <v>4.2699999999999996</v>
      </c>
    </row>
    <row r="1664" spans="1:11" x14ac:dyDescent="0.35">
      <c r="A1664" t="s">
        <v>347</v>
      </c>
      <c r="B1664" t="str">
        <f>"40281"</f>
        <v>40281</v>
      </c>
      <c r="C1664" t="str">
        <f>"003"</f>
        <v>003</v>
      </c>
      <c r="D1664">
        <v>2006</v>
      </c>
      <c r="E1664" s="3">
        <v>69764500</v>
      </c>
      <c r="F1664" s="3">
        <v>13633200</v>
      </c>
      <c r="G1664" t="s">
        <v>11</v>
      </c>
      <c r="H1664" s="5" t="s">
        <v>30</v>
      </c>
      <c r="I1664" t="s">
        <v>13</v>
      </c>
      <c r="J1664" t="s">
        <v>13</v>
      </c>
    </row>
    <row r="1665" spans="1:11" x14ac:dyDescent="0.35">
      <c r="A1665" t="s">
        <v>5</v>
      </c>
      <c r="B1665" t="str">
        <f>"40281"</f>
        <v>40281</v>
      </c>
      <c r="C1665" t="str">
        <f>"004"</f>
        <v>004</v>
      </c>
      <c r="D1665">
        <v>2012</v>
      </c>
      <c r="E1665" s="3">
        <v>60655200</v>
      </c>
      <c r="F1665" s="3">
        <v>12198100</v>
      </c>
      <c r="G1665" t="s">
        <v>11</v>
      </c>
      <c r="H1665" s="5" t="s">
        <v>30</v>
      </c>
      <c r="I1665" t="s">
        <v>13</v>
      </c>
      <c r="J1665" t="s">
        <v>13</v>
      </c>
    </row>
    <row r="1666" spans="1:11" x14ac:dyDescent="0.35">
      <c r="A1666" t="s">
        <v>5</v>
      </c>
      <c r="B1666" t="str">
        <f>"40281"</f>
        <v>40281</v>
      </c>
      <c r="C1666" t="str">
        <f>"005"</f>
        <v>005</v>
      </c>
      <c r="D1666">
        <v>2015</v>
      </c>
      <c r="E1666" s="3">
        <v>208526800</v>
      </c>
      <c r="F1666" s="3">
        <v>126883500</v>
      </c>
      <c r="G1666" t="s">
        <v>11</v>
      </c>
      <c r="H1666" s="5" t="s">
        <v>30</v>
      </c>
      <c r="I1666" t="s">
        <v>13</v>
      </c>
      <c r="J1666" t="s">
        <v>13</v>
      </c>
    </row>
    <row r="1667" spans="1:11" x14ac:dyDescent="0.35">
      <c r="A1667" t="s">
        <v>31</v>
      </c>
      <c r="B1667" t="s">
        <v>13</v>
      </c>
      <c r="C1667" t="s">
        <v>7</v>
      </c>
      <c r="D1667" t="s">
        <v>8</v>
      </c>
      <c r="E1667" s="3">
        <v>338946500</v>
      </c>
      <c r="F1667" s="3">
        <v>152714800</v>
      </c>
      <c r="G1667" t="s">
        <v>11</v>
      </c>
      <c r="H1667" s="5">
        <v>857917100</v>
      </c>
      <c r="I1667" t="s">
        <v>13</v>
      </c>
      <c r="J1667" t="s">
        <v>13</v>
      </c>
      <c r="K1667">
        <v>17.8</v>
      </c>
    </row>
    <row r="1669" spans="1:11" x14ac:dyDescent="0.35">
      <c r="A1669" t="s">
        <v>348</v>
      </c>
      <c r="B1669" t="str">
        <f>"30179"</f>
        <v>30179</v>
      </c>
      <c r="C1669" t="str">
        <f>"001"</f>
        <v>001</v>
      </c>
      <c r="D1669">
        <v>2015</v>
      </c>
      <c r="E1669" s="3">
        <v>23694800</v>
      </c>
      <c r="F1669" s="3">
        <v>23665300</v>
      </c>
      <c r="G1669" t="s">
        <v>11</v>
      </c>
      <c r="H1669" s="5" t="s">
        <v>30</v>
      </c>
      <c r="I1669" t="s">
        <v>13</v>
      </c>
      <c r="J1669" t="s">
        <v>13</v>
      </c>
    </row>
    <row r="1670" spans="1:11" x14ac:dyDescent="0.35">
      <c r="A1670" t="s">
        <v>31</v>
      </c>
      <c r="B1670" t="s">
        <v>13</v>
      </c>
      <c r="C1670" t="s">
        <v>7</v>
      </c>
      <c r="D1670" t="s">
        <v>8</v>
      </c>
      <c r="E1670" s="3">
        <v>23694800</v>
      </c>
      <c r="F1670" s="3">
        <v>23665300</v>
      </c>
      <c r="G1670" t="s">
        <v>11</v>
      </c>
      <c r="H1670" s="5">
        <v>1921115300</v>
      </c>
      <c r="I1670" t="s">
        <v>13</v>
      </c>
      <c r="J1670" t="s">
        <v>13</v>
      </c>
      <c r="K1670">
        <v>1.23</v>
      </c>
    </row>
    <row r="1672" spans="1:11" x14ac:dyDescent="0.35">
      <c r="A1672" t="s">
        <v>349</v>
      </c>
      <c r="B1672" t="str">
        <f>"56181"</f>
        <v>56181</v>
      </c>
      <c r="C1672" t="str">
        <f>"006"</f>
        <v>006</v>
      </c>
      <c r="D1672">
        <v>2002</v>
      </c>
      <c r="E1672" s="3">
        <v>9484700</v>
      </c>
      <c r="F1672" s="3">
        <v>8278400</v>
      </c>
      <c r="G1672" t="s">
        <v>11</v>
      </c>
      <c r="H1672" s="5" t="s">
        <v>30</v>
      </c>
      <c r="I1672" t="s">
        <v>13</v>
      </c>
      <c r="J1672" t="s">
        <v>13</v>
      </c>
    </row>
    <row r="1673" spans="1:11" x14ac:dyDescent="0.35">
      <c r="A1673" t="s">
        <v>5</v>
      </c>
      <c r="B1673" t="str">
        <f>"56181"</f>
        <v>56181</v>
      </c>
      <c r="C1673" t="str">
        <f>"007"</f>
        <v>007</v>
      </c>
      <c r="D1673">
        <v>2005</v>
      </c>
      <c r="E1673" s="3">
        <v>4434400</v>
      </c>
      <c r="F1673" s="3">
        <v>3728200</v>
      </c>
      <c r="G1673" t="s">
        <v>11</v>
      </c>
      <c r="H1673" s="5" t="s">
        <v>30</v>
      </c>
      <c r="I1673" t="s">
        <v>13</v>
      </c>
      <c r="J1673" t="s">
        <v>13</v>
      </c>
    </row>
    <row r="1674" spans="1:11" x14ac:dyDescent="0.35">
      <c r="A1674" t="s">
        <v>5</v>
      </c>
      <c r="B1674" t="str">
        <f>"56181"</f>
        <v>56181</v>
      </c>
      <c r="C1674" t="str">
        <f>"008"</f>
        <v>008</v>
      </c>
      <c r="D1674">
        <v>2005</v>
      </c>
      <c r="E1674" s="3">
        <v>30014000</v>
      </c>
      <c r="F1674" s="3">
        <v>15120500</v>
      </c>
      <c r="G1674" t="s">
        <v>11</v>
      </c>
      <c r="H1674" s="5" t="s">
        <v>30</v>
      </c>
      <c r="I1674" t="s">
        <v>13</v>
      </c>
      <c r="J1674" t="s">
        <v>13</v>
      </c>
    </row>
    <row r="1675" spans="1:11" x14ac:dyDescent="0.35">
      <c r="A1675" t="s">
        <v>5</v>
      </c>
      <c r="B1675" t="str">
        <f>"56181"</f>
        <v>56181</v>
      </c>
      <c r="C1675" t="str">
        <f>"009"</f>
        <v>009</v>
      </c>
      <c r="D1675">
        <v>2015</v>
      </c>
      <c r="E1675" s="3">
        <v>7123000</v>
      </c>
      <c r="F1675" s="3">
        <v>3791100</v>
      </c>
      <c r="G1675" t="s">
        <v>11</v>
      </c>
      <c r="H1675" s="5" t="s">
        <v>30</v>
      </c>
      <c r="I1675" t="s">
        <v>13</v>
      </c>
      <c r="J1675" t="s">
        <v>13</v>
      </c>
    </row>
    <row r="1676" spans="1:11" x14ac:dyDescent="0.35">
      <c r="A1676" t="s">
        <v>31</v>
      </c>
      <c r="B1676" t="s">
        <v>13</v>
      </c>
      <c r="C1676" t="s">
        <v>7</v>
      </c>
      <c r="D1676" t="s">
        <v>8</v>
      </c>
      <c r="E1676" s="3">
        <v>51056100</v>
      </c>
      <c r="F1676" s="3">
        <v>30918200</v>
      </c>
      <c r="G1676" t="s">
        <v>11</v>
      </c>
      <c r="H1676" s="5">
        <v>506706600</v>
      </c>
      <c r="I1676" t="s">
        <v>13</v>
      </c>
      <c r="J1676" t="s">
        <v>13</v>
      </c>
      <c r="K1676">
        <v>6.1</v>
      </c>
    </row>
    <row r="1678" spans="1:11" x14ac:dyDescent="0.35">
      <c r="A1678" t="s">
        <v>350</v>
      </c>
      <c r="B1678" t="str">
        <f>"45181"</f>
        <v>45181</v>
      </c>
      <c r="C1678" t="str">
        <f>"004"</f>
        <v>004</v>
      </c>
      <c r="D1678">
        <v>2006</v>
      </c>
      <c r="E1678" s="3">
        <v>7445300</v>
      </c>
      <c r="F1678" s="3">
        <v>5845200</v>
      </c>
      <c r="G1678" t="s">
        <v>11</v>
      </c>
      <c r="H1678" s="5" t="s">
        <v>30</v>
      </c>
      <c r="I1678" t="s">
        <v>13</v>
      </c>
      <c r="J1678" t="s">
        <v>13</v>
      </c>
    </row>
    <row r="1679" spans="1:11" x14ac:dyDescent="0.35">
      <c r="A1679" t="s">
        <v>31</v>
      </c>
      <c r="B1679" t="s">
        <v>13</v>
      </c>
      <c r="C1679" t="s">
        <v>7</v>
      </c>
      <c r="D1679" t="s">
        <v>8</v>
      </c>
      <c r="E1679" s="3">
        <v>7445300</v>
      </c>
      <c r="F1679" s="3">
        <v>5845200</v>
      </c>
      <c r="G1679" t="s">
        <v>11</v>
      </c>
      <c r="H1679" s="5">
        <v>570431500</v>
      </c>
      <c r="I1679" t="s">
        <v>13</v>
      </c>
      <c r="J1679" t="s">
        <v>13</v>
      </c>
      <c r="K1679">
        <v>1.02</v>
      </c>
    </row>
    <row r="1681" spans="1:11" x14ac:dyDescent="0.35">
      <c r="A1681" t="s">
        <v>351</v>
      </c>
      <c r="B1681" t="str">
        <f>"37281"</f>
        <v>37281</v>
      </c>
      <c r="C1681" t="str">
        <f>"002"</f>
        <v>002</v>
      </c>
      <c r="D1681">
        <v>1994</v>
      </c>
      <c r="E1681" s="3">
        <v>20585600</v>
      </c>
      <c r="F1681" s="3">
        <v>17312100</v>
      </c>
      <c r="G1681" t="s">
        <v>11</v>
      </c>
      <c r="H1681" s="5" t="s">
        <v>30</v>
      </c>
      <c r="I1681" t="s">
        <v>13</v>
      </c>
      <c r="J1681" t="s">
        <v>13</v>
      </c>
    </row>
    <row r="1682" spans="1:11" x14ac:dyDescent="0.35">
      <c r="A1682" t="s">
        <v>5</v>
      </c>
      <c r="B1682" t="str">
        <f>"37281"</f>
        <v>37281</v>
      </c>
      <c r="C1682" t="str">
        <f>"003"</f>
        <v>003</v>
      </c>
      <c r="D1682">
        <v>1997</v>
      </c>
      <c r="E1682" s="3">
        <v>14191200</v>
      </c>
      <c r="F1682" s="3">
        <v>9442700</v>
      </c>
      <c r="G1682" t="s">
        <v>11</v>
      </c>
      <c r="H1682" s="5" t="s">
        <v>30</v>
      </c>
      <c r="I1682" t="s">
        <v>13</v>
      </c>
      <c r="J1682" t="s">
        <v>13</v>
      </c>
    </row>
    <row r="1683" spans="1:11" x14ac:dyDescent="0.35">
      <c r="A1683" t="s">
        <v>5</v>
      </c>
      <c r="B1683" t="str">
        <f>"37281"</f>
        <v>37281</v>
      </c>
      <c r="C1683" t="str">
        <f>"004"</f>
        <v>004</v>
      </c>
      <c r="D1683">
        <v>2017</v>
      </c>
      <c r="E1683" s="3">
        <v>16506800</v>
      </c>
      <c r="F1683" s="3">
        <v>10824700</v>
      </c>
      <c r="G1683" t="s">
        <v>11</v>
      </c>
      <c r="H1683" s="5" t="s">
        <v>30</v>
      </c>
      <c r="I1683" t="s">
        <v>13</v>
      </c>
      <c r="J1683" t="s">
        <v>13</v>
      </c>
    </row>
    <row r="1684" spans="1:11" x14ac:dyDescent="0.35">
      <c r="A1684" t="s">
        <v>5</v>
      </c>
      <c r="B1684" t="str">
        <f>"37281"</f>
        <v>37281</v>
      </c>
      <c r="C1684" t="str">
        <f>"005"</f>
        <v>005</v>
      </c>
      <c r="D1684">
        <v>2021</v>
      </c>
      <c r="E1684" s="3">
        <v>1001500</v>
      </c>
      <c r="F1684" s="3">
        <v>66300</v>
      </c>
      <c r="G1684" t="s">
        <v>11</v>
      </c>
      <c r="H1684" s="5" t="s">
        <v>30</v>
      </c>
      <c r="I1684" t="s">
        <v>13</v>
      </c>
      <c r="J1684" t="s">
        <v>13</v>
      </c>
    </row>
    <row r="1685" spans="1:11" x14ac:dyDescent="0.35">
      <c r="A1685" t="s">
        <v>31</v>
      </c>
      <c r="B1685" t="s">
        <v>13</v>
      </c>
      <c r="C1685" t="s">
        <v>7</v>
      </c>
      <c r="D1685" t="s">
        <v>8</v>
      </c>
      <c r="E1685" s="3">
        <v>52285100</v>
      </c>
      <c r="F1685" s="3">
        <v>37645800</v>
      </c>
      <c r="G1685" t="s">
        <v>11</v>
      </c>
      <c r="H1685" s="5">
        <v>285962200</v>
      </c>
      <c r="I1685" t="s">
        <v>13</v>
      </c>
      <c r="J1685" t="s">
        <v>13</v>
      </c>
      <c r="K1685">
        <v>13.16</v>
      </c>
    </row>
    <row r="1687" spans="1:11" x14ac:dyDescent="0.35">
      <c r="A1687" t="s">
        <v>352</v>
      </c>
      <c r="B1687" t="str">
        <f>"44281"</f>
        <v>44281</v>
      </c>
      <c r="C1687" t="str">
        <f>"003"</f>
        <v>003</v>
      </c>
      <c r="D1687">
        <v>2001</v>
      </c>
      <c r="E1687" s="3">
        <v>31210100</v>
      </c>
      <c r="F1687" s="3">
        <v>26380200</v>
      </c>
      <c r="G1687" t="s">
        <v>11</v>
      </c>
      <c r="H1687" s="5" t="s">
        <v>30</v>
      </c>
      <c r="I1687" t="s">
        <v>13</v>
      </c>
      <c r="J1687" t="s">
        <v>13</v>
      </c>
    </row>
    <row r="1688" spans="1:11" x14ac:dyDescent="0.35">
      <c r="A1688" t="s">
        <v>5</v>
      </c>
      <c r="B1688" t="str">
        <f>"44281"</f>
        <v>44281</v>
      </c>
      <c r="C1688" t="str">
        <f>"004"</f>
        <v>004</v>
      </c>
      <c r="D1688">
        <v>2011</v>
      </c>
      <c r="E1688" s="3">
        <v>12585100</v>
      </c>
      <c r="F1688" s="3">
        <v>6928000</v>
      </c>
      <c r="G1688" t="s">
        <v>11</v>
      </c>
      <c r="H1688" s="5" t="s">
        <v>30</v>
      </c>
      <c r="I1688" t="s">
        <v>13</v>
      </c>
      <c r="J1688" t="s">
        <v>13</v>
      </c>
    </row>
    <row r="1689" spans="1:11" x14ac:dyDescent="0.35">
      <c r="A1689" t="s">
        <v>31</v>
      </c>
      <c r="B1689" t="s">
        <v>13</v>
      </c>
      <c r="C1689" t="s">
        <v>7</v>
      </c>
      <c r="D1689" t="s">
        <v>8</v>
      </c>
      <c r="E1689" s="3">
        <v>43795200</v>
      </c>
      <c r="F1689" s="3">
        <v>33308200</v>
      </c>
      <c r="G1689" t="s">
        <v>11</v>
      </c>
      <c r="H1689" s="5">
        <v>291496500</v>
      </c>
      <c r="I1689" t="s">
        <v>13</v>
      </c>
      <c r="J1689" t="s">
        <v>13</v>
      </c>
      <c r="K1689">
        <v>11.43</v>
      </c>
    </row>
    <row r="1691" spans="1:11" x14ac:dyDescent="0.35">
      <c r="A1691" t="s">
        <v>353</v>
      </c>
      <c r="B1691" t="str">
        <f>"64181"</f>
        <v>64181</v>
      </c>
      <c r="C1691" t="str">
        <f>"004"</f>
        <v>004</v>
      </c>
      <c r="D1691">
        <v>2007</v>
      </c>
      <c r="E1691" s="3">
        <v>1317700</v>
      </c>
      <c r="F1691" s="3">
        <v>250600</v>
      </c>
      <c r="G1691" t="s">
        <v>11</v>
      </c>
      <c r="H1691" s="5" t="s">
        <v>30</v>
      </c>
      <c r="I1691" t="s">
        <v>13</v>
      </c>
      <c r="J1691" t="s">
        <v>13</v>
      </c>
    </row>
    <row r="1692" spans="1:11" x14ac:dyDescent="0.35">
      <c r="A1692" t="s">
        <v>5</v>
      </c>
      <c r="B1692" t="str">
        <f>"64181"</f>
        <v>64181</v>
      </c>
      <c r="C1692" t="str">
        <f>"005"</f>
        <v>005</v>
      </c>
      <c r="D1692">
        <v>2021</v>
      </c>
      <c r="E1692" s="3">
        <v>1455200</v>
      </c>
      <c r="F1692" s="3">
        <v>137700</v>
      </c>
      <c r="G1692" t="s">
        <v>11</v>
      </c>
      <c r="H1692" s="5" t="s">
        <v>30</v>
      </c>
      <c r="I1692" t="s">
        <v>13</v>
      </c>
      <c r="J1692" t="s">
        <v>13</v>
      </c>
    </row>
    <row r="1693" spans="1:11" x14ac:dyDescent="0.35">
      <c r="A1693" t="s">
        <v>31</v>
      </c>
      <c r="B1693" t="s">
        <v>13</v>
      </c>
      <c r="C1693" t="s">
        <v>7</v>
      </c>
      <c r="D1693" t="s">
        <v>8</v>
      </c>
      <c r="E1693" s="3">
        <v>2772900</v>
      </c>
      <c r="F1693" s="3">
        <v>388300</v>
      </c>
      <c r="G1693" t="s">
        <v>11</v>
      </c>
      <c r="H1693" s="5">
        <v>93458400</v>
      </c>
      <c r="I1693" t="s">
        <v>13</v>
      </c>
      <c r="J1693" t="s">
        <v>13</v>
      </c>
      <c r="K1693">
        <v>0.42</v>
      </c>
    </row>
    <row r="1695" spans="1:11" x14ac:dyDescent="0.35">
      <c r="A1695" t="s">
        <v>354</v>
      </c>
      <c r="B1695" t="str">
        <f>"58281"</f>
        <v>58281</v>
      </c>
      <c r="C1695" t="str">
        <f>"004"</f>
        <v>004</v>
      </c>
      <c r="D1695">
        <v>2000</v>
      </c>
      <c r="E1695" s="3">
        <v>30473800</v>
      </c>
      <c r="F1695" s="3">
        <v>17368700</v>
      </c>
      <c r="G1695" t="s">
        <v>11</v>
      </c>
      <c r="H1695" s="5" t="s">
        <v>30</v>
      </c>
      <c r="I1695" t="s">
        <v>13</v>
      </c>
      <c r="J1695" t="s">
        <v>13</v>
      </c>
    </row>
    <row r="1696" spans="1:11" x14ac:dyDescent="0.35">
      <c r="A1696" t="s">
        <v>5</v>
      </c>
      <c r="B1696" t="str">
        <f>"58281"</f>
        <v>58281</v>
      </c>
      <c r="C1696" t="str">
        <f>"005"</f>
        <v>005</v>
      </c>
      <c r="D1696">
        <v>2001</v>
      </c>
      <c r="E1696" s="3">
        <v>5958300</v>
      </c>
      <c r="F1696" s="3">
        <v>5644000</v>
      </c>
      <c r="G1696" t="s">
        <v>11</v>
      </c>
      <c r="H1696" s="5" t="s">
        <v>30</v>
      </c>
      <c r="I1696" t="s">
        <v>13</v>
      </c>
      <c r="J1696" t="s">
        <v>13</v>
      </c>
    </row>
    <row r="1697" spans="1:11" x14ac:dyDescent="0.35">
      <c r="A1697" t="s">
        <v>5</v>
      </c>
      <c r="B1697" t="str">
        <f>"58281"</f>
        <v>58281</v>
      </c>
      <c r="C1697" t="str">
        <f>"006"</f>
        <v>006</v>
      </c>
      <c r="D1697">
        <v>2014</v>
      </c>
      <c r="E1697" s="3">
        <v>49974300</v>
      </c>
      <c r="F1697" s="3">
        <v>15077000</v>
      </c>
      <c r="G1697" t="s">
        <v>11</v>
      </c>
      <c r="H1697" s="5" t="s">
        <v>30</v>
      </c>
      <c r="I1697" t="s">
        <v>13</v>
      </c>
      <c r="J1697" t="s">
        <v>13</v>
      </c>
    </row>
    <row r="1698" spans="1:11" x14ac:dyDescent="0.35">
      <c r="A1698" t="s">
        <v>5</v>
      </c>
      <c r="B1698" t="str">
        <f>"58281"</f>
        <v>58281</v>
      </c>
      <c r="C1698" t="str">
        <f>"007"</f>
        <v>007</v>
      </c>
      <c r="D1698">
        <v>2016</v>
      </c>
      <c r="E1698" s="3">
        <v>59901200</v>
      </c>
      <c r="F1698" s="3">
        <v>52913000</v>
      </c>
      <c r="G1698" t="s">
        <v>11</v>
      </c>
      <c r="H1698" s="5" t="s">
        <v>30</v>
      </c>
      <c r="I1698" t="s">
        <v>13</v>
      </c>
      <c r="J1698" t="s">
        <v>13</v>
      </c>
    </row>
    <row r="1699" spans="1:11" x14ac:dyDescent="0.35">
      <c r="A1699" t="s">
        <v>5</v>
      </c>
      <c r="B1699" t="str">
        <f>"58281"</f>
        <v>58281</v>
      </c>
      <c r="C1699" t="str">
        <f>"008"</f>
        <v>008</v>
      </c>
      <c r="D1699">
        <v>2018</v>
      </c>
      <c r="E1699" s="3">
        <v>1843300</v>
      </c>
      <c r="F1699" s="3">
        <v>1627400</v>
      </c>
      <c r="G1699" t="s">
        <v>11</v>
      </c>
      <c r="H1699" s="5" t="s">
        <v>30</v>
      </c>
      <c r="I1699" t="s">
        <v>13</v>
      </c>
      <c r="J1699" t="s">
        <v>13</v>
      </c>
    </row>
    <row r="1700" spans="1:11" x14ac:dyDescent="0.35">
      <c r="A1700" t="s">
        <v>31</v>
      </c>
      <c r="B1700" t="s">
        <v>13</v>
      </c>
      <c r="C1700" t="s">
        <v>7</v>
      </c>
      <c r="D1700" t="s">
        <v>8</v>
      </c>
      <c r="E1700" s="3">
        <v>148150900</v>
      </c>
      <c r="F1700" s="3">
        <v>92630100</v>
      </c>
      <c r="G1700" t="s">
        <v>11</v>
      </c>
      <c r="H1700" s="5">
        <v>718697200</v>
      </c>
      <c r="I1700" t="s">
        <v>13</v>
      </c>
      <c r="J1700" t="s">
        <v>13</v>
      </c>
      <c r="K1700">
        <v>12.89</v>
      </c>
    </row>
    <row r="1702" spans="1:11" x14ac:dyDescent="0.35">
      <c r="A1702" t="s">
        <v>355</v>
      </c>
      <c r="B1702" t="str">
        <f>"59024"</f>
        <v>59024</v>
      </c>
      <c r="C1702" t="str">
        <f>"001A"</f>
        <v>001A</v>
      </c>
      <c r="D1702">
        <v>2020</v>
      </c>
      <c r="E1702" s="3">
        <v>40412600</v>
      </c>
      <c r="F1702" s="3">
        <v>13411200</v>
      </c>
      <c r="G1702" t="s">
        <v>11</v>
      </c>
      <c r="H1702" s="5" t="s">
        <v>30</v>
      </c>
      <c r="I1702" t="s">
        <v>13</v>
      </c>
      <c r="J1702" t="s">
        <v>13</v>
      </c>
    </row>
    <row r="1703" spans="1:11" x14ac:dyDescent="0.35">
      <c r="A1703" t="s">
        <v>31</v>
      </c>
      <c r="B1703" t="s">
        <v>13</v>
      </c>
      <c r="C1703" t="s">
        <v>7</v>
      </c>
      <c r="D1703" t="s">
        <v>8</v>
      </c>
      <c r="E1703" s="3">
        <v>40412600</v>
      </c>
      <c r="F1703" s="3">
        <v>13411200</v>
      </c>
      <c r="G1703" t="s">
        <v>11</v>
      </c>
      <c r="H1703" s="5">
        <v>1032152800</v>
      </c>
      <c r="I1703" t="s">
        <v>13</v>
      </c>
      <c r="J1703" t="s">
        <v>13</v>
      </c>
      <c r="K1703">
        <v>1.3</v>
      </c>
    </row>
    <row r="1704" spans="1:11" x14ac:dyDescent="0.35">
      <c r="A1704" t="s">
        <v>355</v>
      </c>
      <c r="B1704" t="str">
        <f t="shared" ref="B1704:B1714" si="35">"59281"</f>
        <v>59281</v>
      </c>
      <c r="C1704" t="str">
        <f>"006"</f>
        <v>006</v>
      </c>
      <c r="D1704">
        <v>1992</v>
      </c>
      <c r="E1704" s="3">
        <v>93998000</v>
      </c>
      <c r="F1704" s="3">
        <v>74419000</v>
      </c>
      <c r="G1704" t="s">
        <v>11</v>
      </c>
      <c r="H1704" s="5" t="s">
        <v>30</v>
      </c>
      <c r="I1704" t="s">
        <v>13</v>
      </c>
      <c r="J1704" t="s">
        <v>13</v>
      </c>
    </row>
    <row r="1705" spans="1:11" x14ac:dyDescent="0.35">
      <c r="A1705" t="s">
        <v>5</v>
      </c>
      <c r="B1705" t="str">
        <f t="shared" si="35"/>
        <v>59281</v>
      </c>
      <c r="C1705" t="str">
        <f>"010"</f>
        <v>010</v>
      </c>
      <c r="D1705">
        <v>1997</v>
      </c>
      <c r="E1705" s="3">
        <v>23553700</v>
      </c>
      <c r="F1705" s="3">
        <v>20303100</v>
      </c>
      <c r="G1705" t="s">
        <v>11</v>
      </c>
      <c r="H1705" s="5" t="s">
        <v>30</v>
      </c>
      <c r="I1705" t="s">
        <v>13</v>
      </c>
      <c r="J1705" t="s">
        <v>13</v>
      </c>
    </row>
    <row r="1706" spans="1:11" x14ac:dyDescent="0.35">
      <c r="A1706" t="s">
        <v>5</v>
      </c>
      <c r="B1706" t="str">
        <f t="shared" si="35"/>
        <v>59281</v>
      </c>
      <c r="C1706" t="str">
        <f>"012"</f>
        <v>012</v>
      </c>
      <c r="D1706">
        <v>2000</v>
      </c>
      <c r="E1706" s="3">
        <v>11755100</v>
      </c>
      <c r="F1706" s="3">
        <v>7929400</v>
      </c>
      <c r="G1706" t="s">
        <v>11</v>
      </c>
      <c r="H1706" s="5" t="s">
        <v>30</v>
      </c>
      <c r="I1706" t="s">
        <v>13</v>
      </c>
      <c r="J1706" t="s">
        <v>13</v>
      </c>
    </row>
    <row r="1707" spans="1:11" x14ac:dyDescent="0.35">
      <c r="A1707" t="s">
        <v>5</v>
      </c>
      <c r="B1707" t="str">
        <f t="shared" si="35"/>
        <v>59281</v>
      </c>
      <c r="C1707" t="str">
        <f>"013"</f>
        <v>013</v>
      </c>
      <c r="D1707">
        <v>2006</v>
      </c>
      <c r="E1707" s="3">
        <v>18354200</v>
      </c>
      <c r="F1707" s="3">
        <v>18059800</v>
      </c>
      <c r="G1707" t="s">
        <v>11</v>
      </c>
      <c r="H1707" s="5" t="s">
        <v>30</v>
      </c>
      <c r="I1707" t="s">
        <v>13</v>
      </c>
      <c r="J1707" t="s">
        <v>13</v>
      </c>
    </row>
    <row r="1708" spans="1:11" x14ac:dyDescent="0.35">
      <c r="A1708" t="s">
        <v>5</v>
      </c>
      <c r="B1708" t="str">
        <f t="shared" si="35"/>
        <v>59281</v>
      </c>
      <c r="C1708" t="str">
        <f>"014"</f>
        <v>014</v>
      </c>
      <c r="D1708">
        <v>2011</v>
      </c>
      <c r="E1708" s="3">
        <v>75660800</v>
      </c>
      <c r="F1708" s="3">
        <v>54467000</v>
      </c>
      <c r="G1708" t="s">
        <v>11</v>
      </c>
      <c r="H1708" s="5" t="s">
        <v>30</v>
      </c>
      <c r="I1708" t="s">
        <v>13</v>
      </c>
      <c r="J1708" t="s">
        <v>13</v>
      </c>
    </row>
    <row r="1709" spans="1:11" x14ac:dyDescent="0.35">
      <c r="A1709" t="s">
        <v>5</v>
      </c>
      <c r="B1709" t="str">
        <f t="shared" si="35"/>
        <v>59281</v>
      </c>
      <c r="C1709" t="str">
        <f>"015"</f>
        <v>015</v>
      </c>
      <c r="D1709">
        <v>2011</v>
      </c>
      <c r="E1709" s="3">
        <v>22473400</v>
      </c>
      <c r="F1709" s="3">
        <v>10038500</v>
      </c>
      <c r="G1709" t="s">
        <v>11</v>
      </c>
      <c r="H1709" s="5" t="s">
        <v>30</v>
      </c>
      <c r="I1709" t="s">
        <v>13</v>
      </c>
      <c r="J1709" t="s">
        <v>13</v>
      </c>
    </row>
    <row r="1710" spans="1:11" x14ac:dyDescent="0.35">
      <c r="A1710" t="s">
        <v>5</v>
      </c>
      <c r="B1710" t="str">
        <f t="shared" si="35"/>
        <v>59281</v>
      </c>
      <c r="C1710" t="str">
        <f>"016"</f>
        <v>016</v>
      </c>
      <c r="D1710">
        <v>2015</v>
      </c>
      <c r="E1710" s="3">
        <v>47283100</v>
      </c>
      <c r="F1710" s="3">
        <v>24823900</v>
      </c>
      <c r="G1710" t="s">
        <v>11</v>
      </c>
      <c r="H1710" s="5" t="s">
        <v>30</v>
      </c>
      <c r="I1710" t="s">
        <v>13</v>
      </c>
      <c r="J1710" t="s">
        <v>13</v>
      </c>
    </row>
    <row r="1711" spans="1:11" x14ac:dyDescent="0.35">
      <c r="A1711" t="s">
        <v>5</v>
      </c>
      <c r="B1711" t="str">
        <f t="shared" si="35"/>
        <v>59281</v>
      </c>
      <c r="C1711" t="str">
        <f>"017"</f>
        <v>017</v>
      </c>
      <c r="D1711">
        <v>2018</v>
      </c>
      <c r="E1711" s="3">
        <v>54663400</v>
      </c>
      <c r="F1711" s="3">
        <v>20641700</v>
      </c>
      <c r="G1711" t="s">
        <v>11</v>
      </c>
      <c r="H1711" s="5" t="s">
        <v>30</v>
      </c>
      <c r="I1711" t="s">
        <v>13</v>
      </c>
      <c r="J1711" t="s">
        <v>13</v>
      </c>
    </row>
    <row r="1712" spans="1:11" x14ac:dyDescent="0.35">
      <c r="A1712" t="s">
        <v>5</v>
      </c>
      <c r="B1712" t="str">
        <f t="shared" si="35"/>
        <v>59281</v>
      </c>
      <c r="C1712" t="str">
        <f>"018"</f>
        <v>018</v>
      </c>
      <c r="D1712">
        <v>2018</v>
      </c>
      <c r="E1712" s="3">
        <v>30784000</v>
      </c>
      <c r="F1712" s="3">
        <v>18339800</v>
      </c>
      <c r="G1712" t="s">
        <v>11</v>
      </c>
      <c r="H1712" s="5" t="s">
        <v>30</v>
      </c>
      <c r="I1712" t="s">
        <v>13</v>
      </c>
      <c r="J1712" t="s">
        <v>13</v>
      </c>
    </row>
    <row r="1713" spans="1:11" x14ac:dyDescent="0.35">
      <c r="A1713" t="s">
        <v>5</v>
      </c>
      <c r="B1713" t="str">
        <f t="shared" si="35"/>
        <v>59281</v>
      </c>
      <c r="C1713" t="str">
        <f>"019"</f>
        <v>019</v>
      </c>
      <c r="D1713">
        <v>2018</v>
      </c>
      <c r="E1713" s="3">
        <v>7100600</v>
      </c>
      <c r="F1713" s="3">
        <v>3701400</v>
      </c>
      <c r="G1713" t="s">
        <v>11</v>
      </c>
      <c r="H1713" s="5" t="s">
        <v>30</v>
      </c>
      <c r="I1713" t="s">
        <v>13</v>
      </c>
      <c r="J1713" t="s">
        <v>13</v>
      </c>
    </row>
    <row r="1714" spans="1:11" x14ac:dyDescent="0.35">
      <c r="A1714" t="s">
        <v>5</v>
      </c>
      <c r="B1714" t="str">
        <f t="shared" si="35"/>
        <v>59281</v>
      </c>
      <c r="C1714" t="str">
        <f>"020"</f>
        <v>020</v>
      </c>
      <c r="D1714">
        <v>2020</v>
      </c>
      <c r="E1714" s="3">
        <v>25616400</v>
      </c>
      <c r="F1714" s="3">
        <v>24207900</v>
      </c>
      <c r="G1714" t="s">
        <v>11</v>
      </c>
      <c r="H1714" s="5" t="s">
        <v>30</v>
      </c>
      <c r="I1714" t="s">
        <v>13</v>
      </c>
      <c r="J1714" t="s">
        <v>13</v>
      </c>
    </row>
    <row r="1715" spans="1:11" x14ac:dyDescent="0.35">
      <c r="A1715" t="s">
        <v>31</v>
      </c>
      <c r="B1715" t="s">
        <v>13</v>
      </c>
      <c r="C1715" t="s">
        <v>7</v>
      </c>
      <c r="D1715" t="s">
        <v>8</v>
      </c>
      <c r="E1715" s="3">
        <v>411242700</v>
      </c>
      <c r="F1715" s="3">
        <v>276931500</v>
      </c>
      <c r="G1715" t="s">
        <v>11</v>
      </c>
      <c r="H1715" s="5">
        <v>3860866200</v>
      </c>
      <c r="I1715" t="s">
        <v>13</v>
      </c>
      <c r="J1715" t="s">
        <v>13</v>
      </c>
      <c r="K1715">
        <v>7.17</v>
      </c>
    </row>
    <row r="1717" spans="1:11" x14ac:dyDescent="0.35">
      <c r="A1717" t="s">
        <v>356</v>
      </c>
      <c r="B1717" t="str">
        <f>"59282"</f>
        <v>59282</v>
      </c>
      <c r="C1717" t="str">
        <f>"003"</f>
        <v>003</v>
      </c>
      <c r="D1717">
        <v>1994</v>
      </c>
      <c r="E1717" s="3">
        <v>28792700</v>
      </c>
      <c r="F1717" s="3">
        <v>22604400</v>
      </c>
      <c r="G1717" t="s">
        <v>11</v>
      </c>
      <c r="H1717" s="5" t="s">
        <v>30</v>
      </c>
      <c r="I1717" t="s">
        <v>13</v>
      </c>
      <c r="J1717" t="s">
        <v>13</v>
      </c>
    </row>
    <row r="1718" spans="1:11" x14ac:dyDescent="0.35">
      <c r="A1718" t="s">
        <v>5</v>
      </c>
      <c r="B1718" t="str">
        <f>"59282"</f>
        <v>59282</v>
      </c>
      <c r="C1718" t="str">
        <f>"004"</f>
        <v>004</v>
      </c>
      <c r="D1718">
        <v>2016</v>
      </c>
      <c r="E1718" s="3">
        <v>19820100</v>
      </c>
      <c r="F1718" s="3">
        <v>17310000</v>
      </c>
      <c r="G1718" t="s">
        <v>11</v>
      </c>
      <c r="H1718" s="5" t="s">
        <v>30</v>
      </c>
      <c r="I1718" t="s">
        <v>13</v>
      </c>
      <c r="J1718" t="s">
        <v>13</v>
      </c>
    </row>
    <row r="1719" spans="1:11" x14ac:dyDescent="0.35">
      <c r="A1719" t="s">
        <v>5</v>
      </c>
      <c r="B1719" t="str">
        <f>"59282"</f>
        <v>59282</v>
      </c>
      <c r="C1719" t="str">
        <f>"005"</f>
        <v>005</v>
      </c>
      <c r="D1719">
        <v>2018</v>
      </c>
      <c r="E1719" s="3">
        <v>36150100</v>
      </c>
      <c r="F1719" s="3">
        <v>25364600</v>
      </c>
      <c r="G1719" t="s">
        <v>11</v>
      </c>
      <c r="H1719" s="5" t="s">
        <v>30</v>
      </c>
      <c r="I1719" t="s">
        <v>13</v>
      </c>
      <c r="J1719" t="s">
        <v>13</v>
      </c>
    </row>
    <row r="1720" spans="1:11" x14ac:dyDescent="0.35">
      <c r="A1720" t="s">
        <v>5</v>
      </c>
      <c r="B1720" t="str">
        <f>"59282"</f>
        <v>59282</v>
      </c>
      <c r="C1720" t="str">
        <f>"006"</f>
        <v>006</v>
      </c>
      <c r="D1720">
        <v>2019</v>
      </c>
      <c r="E1720" s="3">
        <v>963200</v>
      </c>
      <c r="F1720" s="3">
        <v>963200</v>
      </c>
      <c r="G1720" t="s">
        <v>11</v>
      </c>
      <c r="H1720" s="5" t="s">
        <v>30</v>
      </c>
      <c r="I1720" t="s">
        <v>13</v>
      </c>
      <c r="J1720" t="s">
        <v>13</v>
      </c>
    </row>
    <row r="1721" spans="1:11" x14ac:dyDescent="0.35">
      <c r="A1721" t="s">
        <v>5</v>
      </c>
      <c r="B1721" t="str">
        <f>"59282"</f>
        <v>59282</v>
      </c>
      <c r="C1721" t="str">
        <f>"007"</f>
        <v>007</v>
      </c>
      <c r="D1721">
        <v>2019</v>
      </c>
      <c r="E1721" s="3">
        <v>13047400</v>
      </c>
      <c r="F1721" s="3">
        <v>12727900</v>
      </c>
      <c r="G1721" t="s">
        <v>11</v>
      </c>
      <c r="H1721" s="5" t="s">
        <v>30</v>
      </c>
      <c r="I1721" t="s">
        <v>13</v>
      </c>
      <c r="J1721" t="s">
        <v>13</v>
      </c>
    </row>
    <row r="1722" spans="1:11" x14ac:dyDescent="0.35">
      <c r="A1722" t="s">
        <v>31</v>
      </c>
      <c r="B1722" t="s">
        <v>13</v>
      </c>
      <c r="C1722" t="s">
        <v>7</v>
      </c>
      <c r="D1722" t="s">
        <v>8</v>
      </c>
      <c r="E1722" s="3">
        <v>98773500</v>
      </c>
      <c r="F1722" s="3">
        <v>78970100</v>
      </c>
      <c r="G1722" t="s">
        <v>11</v>
      </c>
      <c r="H1722" s="5">
        <v>827033100</v>
      </c>
      <c r="I1722" t="s">
        <v>13</v>
      </c>
      <c r="J1722" t="s">
        <v>13</v>
      </c>
      <c r="K1722">
        <v>9.5500000000000007</v>
      </c>
    </row>
    <row r="1724" spans="1:11" x14ac:dyDescent="0.35">
      <c r="A1724" t="s">
        <v>357</v>
      </c>
      <c r="B1724" t="str">
        <f>"08179"</f>
        <v>08179</v>
      </c>
      <c r="C1724" t="str">
        <f>"002"</f>
        <v>002</v>
      </c>
      <c r="D1724">
        <v>2013</v>
      </c>
      <c r="E1724" s="3">
        <v>5863200</v>
      </c>
      <c r="F1724" s="3">
        <v>3035700</v>
      </c>
      <c r="G1724" t="s">
        <v>11</v>
      </c>
      <c r="H1724" s="5" t="s">
        <v>30</v>
      </c>
      <c r="I1724" t="s">
        <v>13</v>
      </c>
      <c r="J1724" t="s">
        <v>13</v>
      </c>
    </row>
    <row r="1725" spans="1:11" x14ac:dyDescent="0.35">
      <c r="A1725" t="s">
        <v>5</v>
      </c>
      <c r="B1725" t="str">
        <f>"08179"</f>
        <v>08179</v>
      </c>
      <c r="C1725" t="str">
        <f>"003"</f>
        <v>003</v>
      </c>
      <c r="D1725">
        <v>2013</v>
      </c>
      <c r="E1725" s="3">
        <v>14545400</v>
      </c>
      <c r="F1725" s="3">
        <v>5876800</v>
      </c>
      <c r="G1725" t="s">
        <v>11</v>
      </c>
      <c r="H1725" s="5" t="s">
        <v>30</v>
      </c>
      <c r="I1725" t="s">
        <v>13</v>
      </c>
      <c r="J1725" t="s">
        <v>13</v>
      </c>
    </row>
    <row r="1726" spans="1:11" x14ac:dyDescent="0.35">
      <c r="A1726" t="s">
        <v>31</v>
      </c>
      <c r="B1726" t="s">
        <v>13</v>
      </c>
      <c r="C1726" t="s">
        <v>7</v>
      </c>
      <c r="D1726" t="s">
        <v>8</v>
      </c>
      <c r="E1726" s="3">
        <v>20408600</v>
      </c>
      <c r="F1726" s="3">
        <v>8912500</v>
      </c>
      <c r="G1726" t="s">
        <v>11</v>
      </c>
      <c r="H1726" s="5">
        <v>431852200</v>
      </c>
      <c r="I1726" t="s">
        <v>13</v>
      </c>
      <c r="J1726" t="s">
        <v>13</v>
      </c>
      <c r="K1726">
        <v>2.06</v>
      </c>
    </row>
    <row r="1728" spans="1:11" x14ac:dyDescent="0.35">
      <c r="A1728" t="s">
        <v>358</v>
      </c>
      <c r="B1728" t="str">
        <f>"40181"</f>
        <v>40181</v>
      </c>
      <c r="C1728" t="str">
        <f>"003"</f>
        <v>003</v>
      </c>
      <c r="D1728">
        <v>2008</v>
      </c>
      <c r="E1728" s="3">
        <v>38646400</v>
      </c>
      <c r="F1728" s="3">
        <v>30898000</v>
      </c>
      <c r="G1728" t="s">
        <v>11</v>
      </c>
      <c r="H1728" s="5" t="s">
        <v>30</v>
      </c>
      <c r="I1728" t="s">
        <v>13</v>
      </c>
      <c r="J1728" t="s">
        <v>13</v>
      </c>
    </row>
    <row r="1729" spans="1:11" x14ac:dyDescent="0.35">
      <c r="A1729" t="s">
        <v>5</v>
      </c>
      <c r="B1729" t="str">
        <f>"40181"</f>
        <v>40181</v>
      </c>
      <c r="C1729" t="str">
        <f>"004"</f>
        <v>004</v>
      </c>
      <c r="D1729">
        <v>2011</v>
      </c>
      <c r="E1729" s="3">
        <v>20712400</v>
      </c>
      <c r="F1729" s="3">
        <v>19517000</v>
      </c>
      <c r="G1729" t="s">
        <v>11</v>
      </c>
      <c r="H1729" s="5" t="s">
        <v>30</v>
      </c>
      <c r="I1729" t="s">
        <v>13</v>
      </c>
      <c r="J1729" t="s">
        <v>13</v>
      </c>
    </row>
    <row r="1730" spans="1:11" x14ac:dyDescent="0.35">
      <c r="A1730" t="s">
        <v>5</v>
      </c>
      <c r="B1730" t="str">
        <f>"40181"</f>
        <v>40181</v>
      </c>
      <c r="C1730" t="str">
        <f>"005"</f>
        <v>005</v>
      </c>
      <c r="D1730">
        <v>2014</v>
      </c>
      <c r="E1730" s="3">
        <v>69452800</v>
      </c>
      <c r="F1730" s="3">
        <v>61367000</v>
      </c>
      <c r="G1730" t="s">
        <v>11</v>
      </c>
      <c r="H1730" s="5" t="s">
        <v>30</v>
      </c>
      <c r="I1730" t="s">
        <v>13</v>
      </c>
      <c r="J1730" t="s">
        <v>13</v>
      </c>
    </row>
    <row r="1731" spans="1:11" x14ac:dyDescent="0.35">
      <c r="A1731" t="s">
        <v>31</v>
      </c>
      <c r="B1731" t="s">
        <v>13</v>
      </c>
      <c r="C1731" t="s">
        <v>7</v>
      </c>
      <c r="D1731" t="s">
        <v>8</v>
      </c>
      <c r="E1731" s="3">
        <v>128811600</v>
      </c>
      <c r="F1731" s="3">
        <v>111782000</v>
      </c>
      <c r="G1731" t="s">
        <v>11</v>
      </c>
      <c r="H1731" s="5">
        <v>2047163700</v>
      </c>
      <c r="I1731" t="s">
        <v>13</v>
      </c>
      <c r="J1731" t="s">
        <v>13</v>
      </c>
      <c r="K1731">
        <v>5.46</v>
      </c>
    </row>
    <row r="1733" spans="1:11" x14ac:dyDescent="0.35">
      <c r="A1733" t="s">
        <v>359</v>
      </c>
      <c r="B1733" t="str">
        <f>"13181"</f>
        <v>13181</v>
      </c>
      <c r="C1733" t="str">
        <f>"003"</f>
        <v>003</v>
      </c>
      <c r="D1733">
        <v>2008</v>
      </c>
      <c r="E1733" s="3">
        <v>67128800</v>
      </c>
      <c r="F1733" s="3">
        <v>45903400</v>
      </c>
      <c r="G1733" t="s">
        <v>11</v>
      </c>
      <c r="H1733" s="5" t="s">
        <v>30</v>
      </c>
      <c r="I1733" t="s">
        <v>13</v>
      </c>
      <c r="J1733" t="s">
        <v>13</v>
      </c>
    </row>
    <row r="1734" spans="1:11" x14ac:dyDescent="0.35">
      <c r="A1734" t="s">
        <v>5</v>
      </c>
      <c r="B1734" t="str">
        <f>"13181"</f>
        <v>13181</v>
      </c>
      <c r="C1734" t="str">
        <f>"004"</f>
        <v>004</v>
      </c>
      <c r="D1734">
        <v>2010</v>
      </c>
      <c r="E1734" s="3">
        <v>24839700</v>
      </c>
      <c r="F1734" s="3">
        <v>16573900</v>
      </c>
      <c r="G1734" t="s">
        <v>11</v>
      </c>
      <c r="H1734" s="5" t="s">
        <v>30</v>
      </c>
      <c r="I1734" t="s">
        <v>13</v>
      </c>
      <c r="J1734" t="s">
        <v>13</v>
      </c>
    </row>
    <row r="1735" spans="1:11" x14ac:dyDescent="0.35">
      <c r="A1735" t="s">
        <v>5</v>
      </c>
      <c r="B1735" t="str">
        <f>"13181"</f>
        <v>13181</v>
      </c>
      <c r="C1735" t="str">
        <f>"005"</f>
        <v>005</v>
      </c>
      <c r="D1735">
        <v>2016</v>
      </c>
      <c r="E1735" s="3">
        <v>14100000</v>
      </c>
      <c r="F1735" s="3">
        <v>9847400</v>
      </c>
      <c r="G1735" t="s">
        <v>11</v>
      </c>
      <c r="H1735" s="5" t="s">
        <v>30</v>
      </c>
      <c r="I1735" t="s">
        <v>13</v>
      </c>
      <c r="J1735" t="s">
        <v>13</v>
      </c>
    </row>
    <row r="1736" spans="1:11" x14ac:dyDescent="0.35">
      <c r="A1736" t="s">
        <v>31</v>
      </c>
      <c r="B1736" t="s">
        <v>13</v>
      </c>
      <c r="C1736" t="s">
        <v>7</v>
      </c>
      <c r="D1736" t="s">
        <v>8</v>
      </c>
      <c r="E1736" s="3">
        <v>106068500</v>
      </c>
      <c r="F1736" s="3">
        <v>72324700</v>
      </c>
      <c r="G1736" t="s">
        <v>11</v>
      </c>
      <c r="H1736" s="5">
        <v>738470200</v>
      </c>
      <c r="I1736" t="s">
        <v>13</v>
      </c>
      <c r="J1736" t="s">
        <v>13</v>
      </c>
      <c r="K1736">
        <v>9.7899999999999991</v>
      </c>
    </row>
    <row r="1738" spans="1:11" x14ac:dyDescent="0.35">
      <c r="A1738" t="s">
        <v>360</v>
      </c>
      <c r="B1738" t="str">
        <f>"33281"</f>
        <v>33281</v>
      </c>
      <c r="C1738" t="str">
        <f>"003"</f>
        <v>003</v>
      </c>
      <c r="D1738">
        <v>1997</v>
      </c>
      <c r="E1738" s="3">
        <v>5984700</v>
      </c>
      <c r="F1738" s="3">
        <v>4504700</v>
      </c>
      <c r="G1738" t="s">
        <v>11</v>
      </c>
      <c r="H1738" s="5" t="s">
        <v>30</v>
      </c>
      <c r="I1738" t="s">
        <v>13</v>
      </c>
      <c r="J1738" t="s">
        <v>13</v>
      </c>
    </row>
    <row r="1739" spans="1:11" x14ac:dyDescent="0.35">
      <c r="A1739" t="s">
        <v>5</v>
      </c>
      <c r="B1739" t="str">
        <f>"33281"</f>
        <v>33281</v>
      </c>
      <c r="C1739" t="str">
        <f>"004"</f>
        <v>004</v>
      </c>
      <c r="D1739">
        <v>1997</v>
      </c>
      <c r="E1739" s="3">
        <v>982300</v>
      </c>
      <c r="F1739" s="3">
        <v>967300</v>
      </c>
      <c r="G1739" t="s">
        <v>11</v>
      </c>
      <c r="H1739" s="5" t="s">
        <v>30</v>
      </c>
      <c r="I1739" t="s">
        <v>13</v>
      </c>
      <c r="J1739" t="s">
        <v>13</v>
      </c>
    </row>
    <row r="1740" spans="1:11" x14ac:dyDescent="0.35">
      <c r="A1740" t="s">
        <v>5</v>
      </c>
      <c r="B1740" t="str">
        <f>"33281"</f>
        <v>33281</v>
      </c>
      <c r="C1740" t="str">
        <f>"005"</f>
        <v>005</v>
      </c>
      <c r="D1740">
        <v>2005</v>
      </c>
      <c r="E1740" s="3">
        <v>588300</v>
      </c>
      <c r="F1740" s="3">
        <v>426800</v>
      </c>
      <c r="G1740" t="s">
        <v>11</v>
      </c>
      <c r="H1740" s="5" t="s">
        <v>30</v>
      </c>
      <c r="I1740" t="s">
        <v>13</v>
      </c>
      <c r="J1740" t="s">
        <v>13</v>
      </c>
    </row>
    <row r="1741" spans="1:11" x14ac:dyDescent="0.35">
      <c r="A1741" t="s">
        <v>5</v>
      </c>
      <c r="B1741" t="str">
        <f>"33281"</f>
        <v>33281</v>
      </c>
      <c r="C1741" t="str">
        <f>"006"</f>
        <v>006</v>
      </c>
      <c r="D1741">
        <v>2010</v>
      </c>
      <c r="E1741" s="3">
        <v>2791400</v>
      </c>
      <c r="F1741" s="3">
        <v>2779000</v>
      </c>
      <c r="G1741" t="s">
        <v>11</v>
      </c>
      <c r="H1741" s="5" t="s">
        <v>30</v>
      </c>
      <c r="I1741" t="s">
        <v>13</v>
      </c>
      <c r="J1741" t="s">
        <v>13</v>
      </c>
    </row>
    <row r="1742" spans="1:11" x14ac:dyDescent="0.35">
      <c r="A1742" t="s">
        <v>5</v>
      </c>
      <c r="B1742" t="str">
        <f>"33281"</f>
        <v>33281</v>
      </c>
      <c r="C1742" t="str">
        <f>"007"</f>
        <v>007</v>
      </c>
      <c r="D1742">
        <v>2010</v>
      </c>
      <c r="E1742" s="3">
        <v>3844700</v>
      </c>
      <c r="F1742" s="3">
        <v>2774400</v>
      </c>
      <c r="G1742" t="s">
        <v>11</v>
      </c>
      <c r="H1742" s="5" t="s">
        <v>30</v>
      </c>
      <c r="I1742" t="s">
        <v>13</v>
      </c>
      <c r="J1742" t="s">
        <v>13</v>
      </c>
    </row>
    <row r="1743" spans="1:11" x14ac:dyDescent="0.35">
      <c r="A1743" t="s">
        <v>31</v>
      </c>
      <c r="B1743" t="s">
        <v>13</v>
      </c>
      <c r="C1743" t="s">
        <v>7</v>
      </c>
      <c r="D1743" t="s">
        <v>8</v>
      </c>
      <c r="E1743" s="3">
        <v>14191400</v>
      </c>
      <c r="F1743" s="3">
        <v>11452200</v>
      </c>
      <c r="G1743" t="s">
        <v>11</v>
      </c>
      <c r="H1743" s="5">
        <v>75437100</v>
      </c>
      <c r="I1743" t="s">
        <v>13</v>
      </c>
      <c r="J1743" t="s">
        <v>13</v>
      </c>
      <c r="K1743">
        <v>15.18</v>
      </c>
    </row>
    <row r="1745" spans="1:11" x14ac:dyDescent="0.35">
      <c r="A1745" t="s">
        <v>361</v>
      </c>
      <c r="B1745" t="str">
        <f>"07181"</f>
        <v>07181</v>
      </c>
      <c r="C1745" t="str">
        <f>"002"</f>
        <v>002</v>
      </c>
      <c r="D1745">
        <v>2003</v>
      </c>
      <c r="E1745" s="3">
        <v>27780300</v>
      </c>
      <c r="F1745" s="3">
        <v>9017700</v>
      </c>
      <c r="G1745" t="s">
        <v>11</v>
      </c>
      <c r="H1745" s="5" t="s">
        <v>30</v>
      </c>
      <c r="I1745" t="s">
        <v>13</v>
      </c>
      <c r="J1745" t="s">
        <v>13</v>
      </c>
    </row>
    <row r="1746" spans="1:11" x14ac:dyDescent="0.35">
      <c r="A1746" t="s">
        <v>5</v>
      </c>
      <c r="B1746" t="str">
        <f>"07181"</f>
        <v>07181</v>
      </c>
      <c r="C1746" t="str">
        <f>"003"</f>
        <v>003</v>
      </c>
      <c r="D1746">
        <v>2021</v>
      </c>
      <c r="E1746" s="3">
        <v>587000</v>
      </c>
      <c r="F1746" s="3">
        <v>-1100</v>
      </c>
      <c r="G1746" t="s">
        <v>52</v>
      </c>
      <c r="H1746" s="5" t="s">
        <v>30</v>
      </c>
      <c r="I1746" t="s">
        <v>13</v>
      </c>
      <c r="J1746" t="s">
        <v>13</v>
      </c>
    </row>
    <row r="1747" spans="1:11" x14ac:dyDescent="0.35">
      <c r="A1747" t="s">
        <v>31</v>
      </c>
      <c r="B1747" t="s">
        <v>13</v>
      </c>
      <c r="C1747" t="s">
        <v>7</v>
      </c>
      <c r="D1747" t="s">
        <v>8</v>
      </c>
      <c r="E1747" s="3">
        <v>28367300</v>
      </c>
      <c r="F1747" s="3">
        <v>9017700</v>
      </c>
      <c r="G1747" t="s">
        <v>11</v>
      </c>
      <c r="H1747" s="5">
        <v>83035700</v>
      </c>
      <c r="I1747" t="s">
        <v>13</v>
      </c>
      <c r="J1747" t="s">
        <v>13</v>
      </c>
      <c r="K1747">
        <v>10.86</v>
      </c>
    </row>
    <row r="1749" spans="1:11" x14ac:dyDescent="0.35">
      <c r="A1749" t="s">
        <v>362</v>
      </c>
      <c r="B1749" t="str">
        <f>"15181"</f>
        <v>15181</v>
      </c>
      <c r="C1749" t="str">
        <f>"001"</f>
        <v>001</v>
      </c>
      <c r="D1749">
        <v>2008</v>
      </c>
      <c r="E1749" s="3">
        <v>116602700</v>
      </c>
      <c r="F1749" s="3">
        <v>71884400</v>
      </c>
      <c r="G1749" t="s">
        <v>11</v>
      </c>
      <c r="H1749" s="5" t="s">
        <v>30</v>
      </c>
      <c r="I1749" t="s">
        <v>13</v>
      </c>
      <c r="J1749" t="s">
        <v>13</v>
      </c>
    </row>
    <row r="1750" spans="1:11" x14ac:dyDescent="0.35">
      <c r="A1750" t="s">
        <v>5</v>
      </c>
      <c r="B1750" t="str">
        <f>"15181"</f>
        <v>15181</v>
      </c>
      <c r="C1750" t="str">
        <f>"002"</f>
        <v>002</v>
      </c>
      <c r="D1750">
        <v>2018</v>
      </c>
      <c r="E1750" s="3">
        <v>14768200</v>
      </c>
      <c r="F1750" s="3">
        <v>5118700</v>
      </c>
      <c r="G1750" t="s">
        <v>11</v>
      </c>
      <c r="H1750" s="5" t="s">
        <v>30</v>
      </c>
      <c r="I1750" t="s">
        <v>13</v>
      </c>
      <c r="J1750" t="s">
        <v>13</v>
      </c>
    </row>
    <row r="1751" spans="1:11" x14ac:dyDescent="0.35">
      <c r="A1751" t="s">
        <v>31</v>
      </c>
      <c r="B1751" t="s">
        <v>13</v>
      </c>
      <c r="C1751" t="s">
        <v>7</v>
      </c>
      <c r="D1751" t="s">
        <v>8</v>
      </c>
      <c r="E1751" s="3">
        <v>131370900</v>
      </c>
      <c r="F1751" s="3">
        <v>77003100</v>
      </c>
      <c r="G1751" t="s">
        <v>11</v>
      </c>
      <c r="H1751" s="5">
        <v>616805200</v>
      </c>
      <c r="I1751" t="s">
        <v>13</v>
      </c>
      <c r="J1751" t="s">
        <v>13</v>
      </c>
      <c r="K1751">
        <v>12.48</v>
      </c>
    </row>
    <row r="1753" spans="1:11" x14ac:dyDescent="0.35">
      <c r="A1753" t="s">
        <v>363</v>
      </c>
      <c r="B1753" t="str">
        <f>"66181"</f>
        <v>66181</v>
      </c>
      <c r="C1753" t="str">
        <f>"004"</f>
        <v>004</v>
      </c>
      <c r="D1753">
        <v>2015</v>
      </c>
      <c r="E1753" s="3">
        <v>26858600</v>
      </c>
      <c r="F1753" s="3">
        <v>23312400</v>
      </c>
      <c r="G1753" t="s">
        <v>11</v>
      </c>
      <c r="H1753" s="5" t="s">
        <v>30</v>
      </c>
      <c r="I1753" t="s">
        <v>13</v>
      </c>
      <c r="J1753" t="s">
        <v>13</v>
      </c>
    </row>
    <row r="1754" spans="1:11" x14ac:dyDescent="0.35">
      <c r="A1754" t="s">
        <v>5</v>
      </c>
      <c r="B1754" t="str">
        <f>"66181"</f>
        <v>66181</v>
      </c>
      <c r="C1754" t="str">
        <f>"005"</f>
        <v>005</v>
      </c>
      <c r="D1754">
        <v>2016</v>
      </c>
      <c r="E1754" s="3">
        <v>6353500</v>
      </c>
      <c r="F1754" s="3">
        <v>5569100</v>
      </c>
      <c r="G1754" t="s">
        <v>11</v>
      </c>
      <c r="H1754" s="5" t="s">
        <v>30</v>
      </c>
      <c r="I1754" t="s">
        <v>13</v>
      </c>
      <c r="J1754" t="s">
        <v>13</v>
      </c>
    </row>
    <row r="1755" spans="1:11" x14ac:dyDescent="0.35">
      <c r="A1755" t="s">
        <v>5</v>
      </c>
      <c r="B1755" t="str">
        <f>"66181"</f>
        <v>66181</v>
      </c>
      <c r="C1755" t="str">
        <f>"006"</f>
        <v>006</v>
      </c>
      <c r="D1755">
        <v>2021</v>
      </c>
      <c r="E1755" s="3">
        <v>21196700</v>
      </c>
      <c r="F1755" s="3">
        <v>2267400</v>
      </c>
      <c r="G1755" t="s">
        <v>11</v>
      </c>
      <c r="H1755" s="5" t="s">
        <v>30</v>
      </c>
      <c r="I1755" t="s">
        <v>13</v>
      </c>
      <c r="J1755" t="s">
        <v>13</v>
      </c>
    </row>
    <row r="1756" spans="1:11" x14ac:dyDescent="0.35">
      <c r="A1756" t="s">
        <v>31</v>
      </c>
      <c r="B1756" t="s">
        <v>13</v>
      </c>
      <c r="C1756" t="s">
        <v>7</v>
      </c>
      <c r="D1756" t="s">
        <v>8</v>
      </c>
      <c r="E1756" s="3">
        <v>54408800</v>
      </c>
      <c r="F1756" s="3">
        <v>31148900</v>
      </c>
      <c r="G1756" t="s">
        <v>11</v>
      </c>
      <c r="H1756" s="5">
        <v>871809200</v>
      </c>
      <c r="I1756" t="s">
        <v>13</v>
      </c>
      <c r="J1756" t="s">
        <v>13</v>
      </c>
      <c r="K1756">
        <v>3.57</v>
      </c>
    </row>
    <row r="1758" spans="1:11" x14ac:dyDescent="0.35">
      <c r="A1758" t="s">
        <v>364</v>
      </c>
      <c r="B1758" t="str">
        <f>"16181"</f>
        <v>16181</v>
      </c>
      <c r="C1758" t="str">
        <f>"002"</f>
        <v>002</v>
      </c>
      <c r="D1758">
        <v>1999</v>
      </c>
      <c r="E1758" s="3">
        <v>3359700</v>
      </c>
      <c r="F1758" s="3">
        <v>3046800</v>
      </c>
      <c r="G1758" t="s">
        <v>11</v>
      </c>
      <c r="H1758" s="5" t="s">
        <v>30</v>
      </c>
      <c r="I1758" t="s">
        <v>13</v>
      </c>
      <c r="J1758" t="s">
        <v>13</v>
      </c>
    </row>
    <row r="1759" spans="1:11" x14ac:dyDescent="0.35">
      <c r="A1759" t="s">
        <v>5</v>
      </c>
      <c r="B1759" t="str">
        <f>"16181"</f>
        <v>16181</v>
      </c>
      <c r="C1759" t="str">
        <f>"003"</f>
        <v>003</v>
      </c>
      <c r="D1759">
        <v>2011</v>
      </c>
      <c r="E1759" s="3">
        <v>1935200</v>
      </c>
      <c r="F1759" s="3">
        <v>1881300</v>
      </c>
      <c r="G1759" t="s">
        <v>11</v>
      </c>
      <c r="H1759" s="5" t="s">
        <v>30</v>
      </c>
      <c r="I1759" t="s">
        <v>13</v>
      </c>
      <c r="J1759" t="s">
        <v>13</v>
      </c>
    </row>
    <row r="1760" spans="1:11" x14ac:dyDescent="0.35">
      <c r="A1760" t="s">
        <v>31</v>
      </c>
      <c r="B1760" t="s">
        <v>13</v>
      </c>
      <c r="C1760" t="s">
        <v>7</v>
      </c>
      <c r="D1760" t="s">
        <v>8</v>
      </c>
      <c r="E1760" s="3">
        <v>5294900</v>
      </c>
      <c r="F1760" s="3">
        <v>4928100</v>
      </c>
      <c r="G1760" t="s">
        <v>11</v>
      </c>
      <c r="H1760" s="5">
        <v>76904300</v>
      </c>
      <c r="I1760" t="s">
        <v>13</v>
      </c>
      <c r="J1760" t="s">
        <v>13</v>
      </c>
      <c r="K1760">
        <v>6.41</v>
      </c>
    </row>
    <row r="1762" spans="1:11" x14ac:dyDescent="0.35">
      <c r="A1762" t="s">
        <v>365</v>
      </c>
      <c r="B1762" t="str">
        <f t="shared" ref="B1762:B1772" si="36">"30182"</f>
        <v>30182</v>
      </c>
      <c r="C1762" t="str">
        <f>"001"</f>
        <v>001</v>
      </c>
      <c r="D1762">
        <v>2015</v>
      </c>
      <c r="E1762" s="3">
        <v>60167800</v>
      </c>
      <c r="F1762" s="3">
        <v>59691500</v>
      </c>
      <c r="G1762" t="s">
        <v>11</v>
      </c>
      <c r="H1762" s="5" t="s">
        <v>30</v>
      </c>
      <c r="I1762" t="s">
        <v>13</v>
      </c>
      <c r="J1762" t="s">
        <v>13</v>
      </c>
    </row>
    <row r="1763" spans="1:11" x14ac:dyDescent="0.35">
      <c r="A1763" t="s">
        <v>5</v>
      </c>
      <c r="B1763" t="str">
        <f t="shared" si="36"/>
        <v>30182</v>
      </c>
      <c r="C1763" t="str">
        <f>"002"</f>
        <v>002</v>
      </c>
      <c r="D1763">
        <v>2015</v>
      </c>
      <c r="E1763" s="3">
        <v>87115400</v>
      </c>
      <c r="F1763" s="3">
        <v>81304600</v>
      </c>
      <c r="G1763" t="s">
        <v>11</v>
      </c>
      <c r="H1763" s="5" t="s">
        <v>30</v>
      </c>
      <c r="I1763" t="s">
        <v>13</v>
      </c>
      <c r="J1763" t="s">
        <v>13</v>
      </c>
    </row>
    <row r="1764" spans="1:11" x14ac:dyDescent="0.35">
      <c r="A1764" t="s">
        <v>5</v>
      </c>
      <c r="B1764" t="str">
        <f t="shared" si="36"/>
        <v>30182</v>
      </c>
      <c r="C1764" t="str">
        <f>"003"</f>
        <v>003</v>
      </c>
      <c r="D1764">
        <v>2018</v>
      </c>
      <c r="E1764" s="3">
        <v>3439900</v>
      </c>
      <c r="F1764" s="3">
        <v>1660100</v>
      </c>
      <c r="G1764" t="s">
        <v>11</v>
      </c>
      <c r="H1764" s="5" t="s">
        <v>30</v>
      </c>
      <c r="I1764" t="s">
        <v>13</v>
      </c>
      <c r="J1764" t="s">
        <v>13</v>
      </c>
    </row>
    <row r="1765" spans="1:11" x14ac:dyDescent="0.35">
      <c r="A1765" t="s">
        <v>5</v>
      </c>
      <c r="B1765" t="str">
        <f t="shared" si="36"/>
        <v>30182</v>
      </c>
      <c r="C1765" t="str">
        <f>"004"</f>
        <v>004</v>
      </c>
      <c r="D1765">
        <v>2018</v>
      </c>
      <c r="E1765" s="3">
        <v>42884800</v>
      </c>
      <c r="F1765" s="3">
        <v>41117300</v>
      </c>
      <c r="G1765" t="s">
        <v>11</v>
      </c>
      <c r="H1765" s="5" t="s">
        <v>30</v>
      </c>
      <c r="I1765" t="s">
        <v>13</v>
      </c>
      <c r="J1765" t="s">
        <v>13</v>
      </c>
    </row>
    <row r="1766" spans="1:11" x14ac:dyDescent="0.35">
      <c r="A1766" t="s">
        <v>5</v>
      </c>
      <c r="B1766" t="str">
        <f t="shared" si="36"/>
        <v>30182</v>
      </c>
      <c r="C1766" t="str">
        <f>"005"</f>
        <v>005</v>
      </c>
      <c r="D1766">
        <v>2018</v>
      </c>
      <c r="E1766" s="3">
        <v>1546300</v>
      </c>
      <c r="F1766" s="3">
        <v>397900</v>
      </c>
      <c r="G1766" t="s">
        <v>11</v>
      </c>
      <c r="H1766" s="5" t="s">
        <v>30</v>
      </c>
      <c r="I1766" t="s">
        <v>13</v>
      </c>
      <c r="J1766" t="s">
        <v>13</v>
      </c>
    </row>
    <row r="1767" spans="1:11" x14ac:dyDescent="0.35">
      <c r="A1767" t="s">
        <v>5</v>
      </c>
      <c r="B1767" t="str">
        <f t="shared" si="36"/>
        <v>30182</v>
      </c>
      <c r="C1767" t="str">
        <f>"006"</f>
        <v>006</v>
      </c>
      <c r="D1767">
        <v>2018</v>
      </c>
      <c r="E1767" s="3">
        <v>3896400</v>
      </c>
      <c r="F1767" s="3">
        <v>1002400</v>
      </c>
      <c r="G1767" t="s">
        <v>11</v>
      </c>
      <c r="H1767" s="5" t="s">
        <v>30</v>
      </c>
      <c r="I1767" t="s">
        <v>13</v>
      </c>
      <c r="J1767" t="s">
        <v>13</v>
      </c>
    </row>
    <row r="1768" spans="1:11" x14ac:dyDescent="0.35">
      <c r="A1768" t="s">
        <v>5</v>
      </c>
      <c r="B1768" t="str">
        <f t="shared" si="36"/>
        <v>30182</v>
      </c>
      <c r="C1768" t="str">
        <f>"007"</f>
        <v>007</v>
      </c>
      <c r="D1768">
        <v>2018</v>
      </c>
      <c r="E1768" s="3">
        <v>11061700</v>
      </c>
      <c r="F1768" s="3">
        <v>2696900</v>
      </c>
      <c r="G1768" t="s">
        <v>11</v>
      </c>
      <c r="H1768" s="5" t="s">
        <v>30</v>
      </c>
      <c r="I1768" t="s">
        <v>13</v>
      </c>
      <c r="J1768" t="s">
        <v>13</v>
      </c>
    </row>
    <row r="1769" spans="1:11" x14ac:dyDescent="0.35">
      <c r="A1769" t="s">
        <v>5</v>
      </c>
      <c r="B1769" t="str">
        <f t="shared" si="36"/>
        <v>30182</v>
      </c>
      <c r="C1769" t="str">
        <f>"008"</f>
        <v>008</v>
      </c>
      <c r="D1769">
        <v>2018</v>
      </c>
      <c r="E1769" s="3">
        <v>431000</v>
      </c>
      <c r="F1769" s="3">
        <v>68900</v>
      </c>
      <c r="G1769" t="s">
        <v>11</v>
      </c>
      <c r="H1769" s="5" t="s">
        <v>30</v>
      </c>
      <c r="I1769" t="s">
        <v>13</v>
      </c>
      <c r="J1769" t="s">
        <v>13</v>
      </c>
    </row>
    <row r="1770" spans="1:11" x14ac:dyDescent="0.35">
      <c r="A1770" t="s">
        <v>5</v>
      </c>
      <c r="B1770" t="str">
        <f t="shared" si="36"/>
        <v>30182</v>
      </c>
      <c r="C1770" t="str">
        <f>"009"</f>
        <v>009</v>
      </c>
      <c r="D1770">
        <v>2018</v>
      </c>
      <c r="E1770" s="3">
        <v>2308000</v>
      </c>
      <c r="F1770" s="3">
        <v>226300</v>
      </c>
      <c r="G1770" t="s">
        <v>11</v>
      </c>
      <c r="H1770" s="5" t="s">
        <v>30</v>
      </c>
      <c r="I1770" t="s">
        <v>13</v>
      </c>
      <c r="J1770" t="s">
        <v>13</v>
      </c>
    </row>
    <row r="1771" spans="1:11" x14ac:dyDescent="0.35">
      <c r="A1771" t="s">
        <v>5</v>
      </c>
      <c r="B1771" t="str">
        <f t="shared" si="36"/>
        <v>30182</v>
      </c>
      <c r="C1771" t="str">
        <f>"010"</f>
        <v>010</v>
      </c>
      <c r="D1771">
        <v>2018</v>
      </c>
      <c r="E1771" s="3">
        <v>4737700</v>
      </c>
      <c r="F1771" s="3">
        <v>1518500</v>
      </c>
      <c r="G1771" t="s">
        <v>11</v>
      </c>
      <c r="H1771" s="5" t="s">
        <v>30</v>
      </c>
      <c r="I1771" t="s">
        <v>13</v>
      </c>
      <c r="J1771" t="s">
        <v>13</v>
      </c>
    </row>
    <row r="1772" spans="1:11" x14ac:dyDescent="0.35">
      <c r="A1772" t="s">
        <v>5</v>
      </c>
      <c r="B1772" t="str">
        <f t="shared" si="36"/>
        <v>30182</v>
      </c>
      <c r="C1772" t="str">
        <f>"011"</f>
        <v>011</v>
      </c>
      <c r="D1772">
        <v>2018</v>
      </c>
      <c r="E1772" s="3">
        <v>253000</v>
      </c>
      <c r="F1772" s="3">
        <v>57900</v>
      </c>
      <c r="G1772" t="s">
        <v>11</v>
      </c>
      <c r="H1772" s="5" t="s">
        <v>30</v>
      </c>
      <c r="I1772" t="s">
        <v>13</v>
      </c>
      <c r="J1772" t="s">
        <v>13</v>
      </c>
    </row>
    <row r="1773" spans="1:11" x14ac:dyDescent="0.35">
      <c r="A1773" t="s">
        <v>31</v>
      </c>
      <c r="B1773" t="s">
        <v>13</v>
      </c>
      <c r="C1773" t="s">
        <v>7</v>
      </c>
      <c r="D1773" t="s">
        <v>8</v>
      </c>
      <c r="E1773" s="3">
        <v>217842000</v>
      </c>
      <c r="F1773" s="3">
        <v>189742300</v>
      </c>
      <c r="G1773" t="s">
        <v>11</v>
      </c>
      <c r="H1773" s="5">
        <v>1155365200</v>
      </c>
      <c r="I1773" t="s">
        <v>13</v>
      </c>
      <c r="J1773" t="s">
        <v>13</v>
      </c>
      <c r="K1773">
        <v>16.420000000000002</v>
      </c>
    </row>
    <row r="1775" spans="1:11" x14ac:dyDescent="0.35">
      <c r="A1775" t="s">
        <v>366</v>
      </c>
      <c r="B1775" t="str">
        <f>"55181"</f>
        <v>55181</v>
      </c>
      <c r="C1775" t="str">
        <f>"003"</f>
        <v>003</v>
      </c>
      <c r="D1775">
        <v>2005</v>
      </c>
      <c r="E1775" s="3">
        <v>1394700</v>
      </c>
      <c r="F1775" s="3">
        <v>259200</v>
      </c>
      <c r="G1775" t="s">
        <v>11</v>
      </c>
      <c r="H1775" s="5" t="s">
        <v>30</v>
      </c>
      <c r="I1775" t="s">
        <v>13</v>
      </c>
      <c r="J1775" t="s">
        <v>13</v>
      </c>
    </row>
    <row r="1776" spans="1:11" x14ac:dyDescent="0.35">
      <c r="A1776" t="s">
        <v>5</v>
      </c>
      <c r="B1776" t="str">
        <f>"55181"</f>
        <v>55181</v>
      </c>
      <c r="C1776" t="str">
        <f>"004"</f>
        <v>004</v>
      </c>
      <c r="D1776">
        <v>2008</v>
      </c>
      <c r="E1776" s="3">
        <v>5127700</v>
      </c>
      <c r="F1776" s="3">
        <v>4042000</v>
      </c>
      <c r="G1776" t="s">
        <v>11</v>
      </c>
      <c r="H1776" s="5" t="s">
        <v>30</v>
      </c>
      <c r="I1776" t="s">
        <v>13</v>
      </c>
      <c r="J1776" t="s">
        <v>13</v>
      </c>
    </row>
    <row r="1777" spans="1:11" x14ac:dyDescent="0.35">
      <c r="A1777" t="s">
        <v>5</v>
      </c>
      <c r="B1777" t="str">
        <f>"55181"</f>
        <v>55181</v>
      </c>
      <c r="C1777" t="str">
        <f>"005"</f>
        <v>005</v>
      </c>
      <c r="D1777">
        <v>2020</v>
      </c>
      <c r="E1777" s="3">
        <v>616500</v>
      </c>
      <c r="F1777" s="3">
        <v>-185200</v>
      </c>
      <c r="G1777" t="s">
        <v>52</v>
      </c>
      <c r="H1777" s="5" t="s">
        <v>30</v>
      </c>
      <c r="I1777" t="s">
        <v>13</v>
      </c>
      <c r="J1777" t="s">
        <v>13</v>
      </c>
    </row>
    <row r="1778" spans="1:11" x14ac:dyDescent="0.35">
      <c r="A1778" t="s">
        <v>31</v>
      </c>
      <c r="B1778" t="s">
        <v>13</v>
      </c>
      <c r="C1778" t="s">
        <v>7</v>
      </c>
      <c r="D1778" t="s">
        <v>8</v>
      </c>
      <c r="E1778" s="3">
        <v>7138900</v>
      </c>
      <c r="F1778" s="3">
        <v>4301200</v>
      </c>
      <c r="G1778" t="s">
        <v>11</v>
      </c>
      <c r="H1778" s="5">
        <v>339138300</v>
      </c>
      <c r="I1778" t="s">
        <v>13</v>
      </c>
      <c r="J1778" t="s">
        <v>13</v>
      </c>
      <c r="K1778">
        <v>1.27</v>
      </c>
    </row>
    <row r="1780" spans="1:11" x14ac:dyDescent="0.35">
      <c r="A1780" t="s">
        <v>367</v>
      </c>
      <c r="B1780" t="str">
        <f>"40282"</f>
        <v>40282</v>
      </c>
      <c r="C1780" t="str">
        <f>"001"</f>
        <v>001</v>
      </c>
      <c r="D1780">
        <v>2000</v>
      </c>
      <c r="E1780" s="3">
        <v>28564800</v>
      </c>
      <c r="F1780" s="3">
        <v>20167100</v>
      </c>
      <c r="G1780" t="s">
        <v>11</v>
      </c>
      <c r="H1780" s="5" t="s">
        <v>30</v>
      </c>
      <c r="I1780" t="s">
        <v>13</v>
      </c>
      <c r="J1780" t="s">
        <v>13</v>
      </c>
    </row>
    <row r="1781" spans="1:11" x14ac:dyDescent="0.35">
      <c r="A1781" t="s">
        <v>5</v>
      </c>
      <c r="B1781" t="str">
        <f>"40282"</f>
        <v>40282</v>
      </c>
      <c r="C1781" t="str">
        <f>"002"</f>
        <v>002</v>
      </c>
      <c r="D1781">
        <v>2000</v>
      </c>
      <c r="E1781" s="3">
        <v>39521300</v>
      </c>
      <c r="F1781" s="3">
        <v>33126900</v>
      </c>
      <c r="G1781" t="s">
        <v>11</v>
      </c>
      <c r="H1781" s="5" t="s">
        <v>30</v>
      </c>
      <c r="I1781" t="s">
        <v>13</v>
      </c>
      <c r="J1781" t="s">
        <v>13</v>
      </c>
    </row>
    <row r="1782" spans="1:11" x14ac:dyDescent="0.35">
      <c r="A1782" t="s">
        <v>5</v>
      </c>
      <c r="B1782" t="str">
        <f>"40282"</f>
        <v>40282</v>
      </c>
      <c r="C1782" t="str">
        <f>"003"</f>
        <v>003</v>
      </c>
      <c r="D1782">
        <v>2005</v>
      </c>
      <c r="E1782" s="3">
        <v>46072900</v>
      </c>
      <c r="F1782" s="3">
        <v>29612400</v>
      </c>
      <c r="G1782" t="s">
        <v>11</v>
      </c>
      <c r="H1782" s="5" t="s">
        <v>30</v>
      </c>
      <c r="I1782" t="s">
        <v>13</v>
      </c>
      <c r="J1782" t="s">
        <v>13</v>
      </c>
    </row>
    <row r="1783" spans="1:11" x14ac:dyDescent="0.35">
      <c r="A1783" t="s">
        <v>5</v>
      </c>
      <c r="B1783" t="str">
        <f>"40282"</f>
        <v>40282</v>
      </c>
      <c r="C1783" t="str">
        <f>"005"</f>
        <v>005</v>
      </c>
      <c r="D1783">
        <v>2018</v>
      </c>
      <c r="E1783" s="3">
        <v>21798100</v>
      </c>
      <c r="F1783" s="3">
        <v>-1600700</v>
      </c>
      <c r="G1783" t="s">
        <v>52</v>
      </c>
      <c r="H1783" s="5" t="s">
        <v>30</v>
      </c>
      <c r="I1783" t="s">
        <v>13</v>
      </c>
      <c r="J1783" t="s">
        <v>13</v>
      </c>
    </row>
    <row r="1784" spans="1:11" x14ac:dyDescent="0.35">
      <c r="A1784" t="s">
        <v>31</v>
      </c>
      <c r="B1784" t="s">
        <v>13</v>
      </c>
      <c r="C1784" t="s">
        <v>7</v>
      </c>
      <c r="D1784" t="s">
        <v>8</v>
      </c>
      <c r="E1784" s="3">
        <v>135957100</v>
      </c>
      <c r="F1784" s="3">
        <v>82906400</v>
      </c>
      <c r="G1784" t="s">
        <v>11</v>
      </c>
      <c r="H1784" s="5">
        <v>1713241100</v>
      </c>
      <c r="I1784" t="s">
        <v>13</v>
      </c>
      <c r="J1784" t="s">
        <v>13</v>
      </c>
      <c r="K1784">
        <v>4.84</v>
      </c>
    </row>
    <row r="1786" spans="1:11" x14ac:dyDescent="0.35">
      <c r="A1786" t="s">
        <v>368</v>
      </c>
      <c r="B1786" t="str">
        <f>"41281"</f>
        <v>41281</v>
      </c>
      <c r="C1786" t="str">
        <f>"006"</f>
        <v>006</v>
      </c>
      <c r="D1786">
        <v>2005</v>
      </c>
      <c r="E1786" s="3">
        <v>11838300</v>
      </c>
      <c r="F1786" s="3">
        <v>11592800</v>
      </c>
      <c r="G1786" t="s">
        <v>11</v>
      </c>
      <c r="H1786" s="5" t="s">
        <v>30</v>
      </c>
      <c r="I1786" t="s">
        <v>13</v>
      </c>
      <c r="J1786" t="s">
        <v>13</v>
      </c>
    </row>
    <row r="1787" spans="1:11" x14ac:dyDescent="0.35">
      <c r="A1787" t="s">
        <v>5</v>
      </c>
      <c r="B1787" t="str">
        <f>"41281"</f>
        <v>41281</v>
      </c>
      <c r="C1787" t="str">
        <f>"008"</f>
        <v>008</v>
      </c>
      <c r="D1787">
        <v>2010</v>
      </c>
      <c r="E1787" s="3">
        <v>1927400</v>
      </c>
      <c r="F1787" s="3">
        <v>895700</v>
      </c>
      <c r="G1787" t="s">
        <v>11</v>
      </c>
      <c r="H1787" s="5" t="s">
        <v>30</v>
      </c>
      <c r="I1787" t="s">
        <v>13</v>
      </c>
      <c r="J1787" t="s">
        <v>13</v>
      </c>
    </row>
    <row r="1788" spans="1:11" x14ac:dyDescent="0.35">
      <c r="A1788" t="s">
        <v>5</v>
      </c>
      <c r="B1788" t="str">
        <f>"41281"</f>
        <v>41281</v>
      </c>
      <c r="C1788" t="str">
        <f>"009"</f>
        <v>009</v>
      </c>
      <c r="D1788">
        <v>2018</v>
      </c>
      <c r="E1788" s="3">
        <v>11910900</v>
      </c>
      <c r="F1788" s="3">
        <v>11714600</v>
      </c>
      <c r="G1788" t="s">
        <v>11</v>
      </c>
      <c r="H1788" s="5" t="s">
        <v>30</v>
      </c>
      <c r="I1788" t="s">
        <v>13</v>
      </c>
      <c r="J1788" t="s">
        <v>13</v>
      </c>
    </row>
    <row r="1789" spans="1:11" x14ac:dyDescent="0.35">
      <c r="A1789" t="s">
        <v>31</v>
      </c>
      <c r="B1789" t="s">
        <v>13</v>
      </c>
      <c r="C1789" t="s">
        <v>7</v>
      </c>
      <c r="D1789" t="s">
        <v>8</v>
      </c>
      <c r="E1789" s="3">
        <v>25676600</v>
      </c>
      <c r="F1789" s="3">
        <v>24203100</v>
      </c>
      <c r="G1789" t="s">
        <v>11</v>
      </c>
      <c r="H1789" s="5">
        <v>813190500</v>
      </c>
      <c r="I1789" t="s">
        <v>13</v>
      </c>
      <c r="J1789" t="s">
        <v>13</v>
      </c>
      <c r="K1789">
        <v>2.98</v>
      </c>
    </row>
    <row r="1791" spans="1:11" x14ac:dyDescent="0.35">
      <c r="A1791" t="s">
        <v>369</v>
      </c>
      <c r="B1791" t="str">
        <f>"37181"</f>
        <v>37181</v>
      </c>
      <c r="C1791" t="str">
        <f>"002"</f>
        <v>002</v>
      </c>
      <c r="D1791">
        <v>1999</v>
      </c>
      <c r="E1791" s="3">
        <v>8891300</v>
      </c>
      <c r="F1791" s="3">
        <v>5936700</v>
      </c>
      <c r="G1791" t="s">
        <v>11</v>
      </c>
      <c r="H1791" s="5" t="s">
        <v>30</v>
      </c>
      <c r="I1791" t="s">
        <v>13</v>
      </c>
      <c r="J1791" t="s">
        <v>13</v>
      </c>
    </row>
    <row r="1792" spans="1:11" x14ac:dyDescent="0.35">
      <c r="A1792" t="s">
        <v>5</v>
      </c>
      <c r="B1792" t="str">
        <f>"37181"</f>
        <v>37181</v>
      </c>
      <c r="C1792" t="str">
        <f>"003"</f>
        <v>003</v>
      </c>
      <c r="D1792">
        <v>2013</v>
      </c>
      <c r="E1792" s="3">
        <v>3793700</v>
      </c>
      <c r="F1792" s="3">
        <v>3274200</v>
      </c>
      <c r="G1792" t="s">
        <v>11</v>
      </c>
      <c r="H1792" s="5" t="s">
        <v>30</v>
      </c>
      <c r="I1792" t="s">
        <v>13</v>
      </c>
      <c r="J1792" t="s">
        <v>13</v>
      </c>
    </row>
    <row r="1793" spans="1:11" x14ac:dyDescent="0.35">
      <c r="A1793" t="s">
        <v>5</v>
      </c>
      <c r="B1793" t="str">
        <f>"37181"</f>
        <v>37181</v>
      </c>
      <c r="C1793" t="str">
        <f>"004"</f>
        <v>004</v>
      </c>
      <c r="D1793">
        <v>2016</v>
      </c>
      <c r="E1793" s="3">
        <v>6694600</v>
      </c>
      <c r="F1793" s="3">
        <v>-350300</v>
      </c>
      <c r="G1793" t="s">
        <v>52</v>
      </c>
      <c r="H1793" s="5" t="s">
        <v>30</v>
      </c>
      <c r="I1793" t="s">
        <v>13</v>
      </c>
      <c r="J1793" t="s">
        <v>13</v>
      </c>
    </row>
    <row r="1794" spans="1:11" x14ac:dyDescent="0.35">
      <c r="A1794" t="s">
        <v>31</v>
      </c>
      <c r="B1794" t="s">
        <v>13</v>
      </c>
      <c r="C1794" t="s">
        <v>7</v>
      </c>
      <c r="D1794" t="s">
        <v>8</v>
      </c>
      <c r="E1794" s="3">
        <v>19379600</v>
      </c>
      <c r="F1794" s="3">
        <v>9210900</v>
      </c>
      <c r="G1794" t="s">
        <v>11</v>
      </c>
      <c r="H1794" s="5">
        <v>131796600</v>
      </c>
      <c r="I1794" t="s">
        <v>13</v>
      </c>
      <c r="J1794" t="s">
        <v>13</v>
      </c>
      <c r="K1794">
        <v>6.99</v>
      </c>
    </row>
    <row r="1796" spans="1:11" x14ac:dyDescent="0.35">
      <c r="A1796" t="s">
        <v>370</v>
      </c>
      <c r="B1796" t="str">
        <f>"65281"</f>
        <v>65281</v>
      </c>
      <c r="C1796" t="str">
        <f>"003"</f>
        <v>003</v>
      </c>
      <c r="D1796">
        <v>1996</v>
      </c>
      <c r="E1796" s="3">
        <v>19953500</v>
      </c>
      <c r="F1796" s="3">
        <v>19334800</v>
      </c>
      <c r="G1796" t="s">
        <v>11</v>
      </c>
      <c r="H1796" s="5" t="s">
        <v>30</v>
      </c>
      <c r="I1796" t="s">
        <v>13</v>
      </c>
      <c r="J1796" t="s">
        <v>13</v>
      </c>
    </row>
    <row r="1797" spans="1:11" x14ac:dyDescent="0.35">
      <c r="A1797" t="s">
        <v>5</v>
      </c>
      <c r="B1797" t="str">
        <f>"65281"</f>
        <v>65281</v>
      </c>
      <c r="C1797" t="str">
        <f>"004"</f>
        <v>004</v>
      </c>
      <c r="D1797">
        <v>2003</v>
      </c>
      <c r="E1797" s="3">
        <v>12296600</v>
      </c>
      <c r="F1797" s="3">
        <v>12118600</v>
      </c>
      <c r="G1797" t="s">
        <v>11</v>
      </c>
      <c r="H1797" s="5" t="s">
        <v>30</v>
      </c>
      <c r="I1797" t="s">
        <v>13</v>
      </c>
      <c r="J1797" t="s">
        <v>13</v>
      </c>
    </row>
    <row r="1798" spans="1:11" x14ac:dyDescent="0.35">
      <c r="A1798" t="s">
        <v>31</v>
      </c>
      <c r="B1798" t="s">
        <v>13</v>
      </c>
      <c r="C1798" t="s">
        <v>7</v>
      </c>
      <c r="D1798" t="s">
        <v>8</v>
      </c>
      <c r="E1798" s="3">
        <v>32250100</v>
      </c>
      <c r="F1798" s="3">
        <v>31453400</v>
      </c>
      <c r="G1798" t="s">
        <v>11</v>
      </c>
      <c r="H1798" s="5">
        <v>206687100</v>
      </c>
      <c r="I1798" t="s">
        <v>13</v>
      </c>
      <c r="J1798" t="s">
        <v>13</v>
      </c>
      <c r="K1798">
        <v>15.22</v>
      </c>
    </row>
    <row r="1800" spans="1:11" x14ac:dyDescent="0.35">
      <c r="A1800" t="s">
        <v>371</v>
      </c>
      <c r="B1800" t="str">
        <f>"56182"</f>
        <v>56182</v>
      </c>
      <c r="C1800" t="str">
        <f>"006"</f>
        <v>006</v>
      </c>
      <c r="D1800">
        <v>2017</v>
      </c>
      <c r="E1800" s="3">
        <v>27521000</v>
      </c>
      <c r="F1800" s="3">
        <v>9182500</v>
      </c>
      <c r="G1800" t="s">
        <v>11</v>
      </c>
      <c r="H1800" s="5" t="s">
        <v>30</v>
      </c>
      <c r="I1800" t="s">
        <v>13</v>
      </c>
      <c r="J1800" t="s">
        <v>13</v>
      </c>
    </row>
    <row r="1801" spans="1:11" x14ac:dyDescent="0.35">
      <c r="A1801" t="s">
        <v>31</v>
      </c>
      <c r="B1801" t="s">
        <v>13</v>
      </c>
      <c r="C1801" t="s">
        <v>7</v>
      </c>
      <c r="D1801" t="s">
        <v>8</v>
      </c>
      <c r="E1801" s="3">
        <v>27521000</v>
      </c>
      <c r="F1801" s="3">
        <v>9182500</v>
      </c>
      <c r="G1801" t="s">
        <v>11</v>
      </c>
      <c r="H1801" s="5">
        <v>215239700</v>
      </c>
      <c r="I1801" t="s">
        <v>13</v>
      </c>
      <c r="J1801" t="s">
        <v>13</v>
      </c>
      <c r="K1801">
        <v>4.2699999999999996</v>
      </c>
    </row>
    <row r="1803" spans="1:11" x14ac:dyDescent="0.35">
      <c r="A1803" t="s">
        <v>372</v>
      </c>
      <c r="B1803" t="str">
        <f>"47181"</f>
        <v>47181</v>
      </c>
      <c r="C1803" t="str">
        <f>"002"</f>
        <v>002</v>
      </c>
      <c r="D1803">
        <v>1995</v>
      </c>
      <c r="E1803" s="3">
        <v>9906300</v>
      </c>
      <c r="F1803" s="3">
        <v>9823000</v>
      </c>
      <c r="G1803" t="s">
        <v>11</v>
      </c>
      <c r="H1803" s="5" t="s">
        <v>30</v>
      </c>
      <c r="I1803" t="s">
        <v>13</v>
      </c>
      <c r="J1803" t="s">
        <v>13</v>
      </c>
    </row>
    <row r="1804" spans="1:11" x14ac:dyDescent="0.35">
      <c r="A1804" t="s">
        <v>5</v>
      </c>
      <c r="B1804" t="str">
        <f>"47181"</f>
        <v>47181</v>
      </c>
      <c r="C1804" t="str">
        <f>"003"</f>
        <v>003</v>
      </c>
      <c r="D1804">
        <v>2007</v>
      </c>
      <c r="E1804" s="3">
        <v>4289000</v>
      </c>
      <c r="F1804" s="3">
        <v>1786300</v>
      </c>
      <c r="G1804" t="s">
        <v>11</v>
      </c>
      <c r="H1804" s="5" t="s">
        <v>30</v>
      </c>
      <c r="I1804" t="s">
        <v>13</v>
      </c>
      <c r="J1804" t="s">
        <v>13</v>
      </c>
    </row>
    <row r="1805" spans="1:11" x14ac:dyDescent="0.35">
      <c r="A1805" t="s">
        <v>31</v>
      </c>
      <c r="B1805" t="s">
        <v>13</v>
      </c>
      <c r="C1805" t="s">
        <v>7</v>
      </c>
      <c r="D1805" t="s">
        <v>8</v>
      </c>
      <c r="E1805" s="3">
        <v>14195300</v>
      </c>
      <c r="F1805" s="3">
        <v>11609300</v>
      </c>
      <c r="G1805" t="s">
        <v>11</v>
      </c>
      <c r="H1805" s="5">
        <v>106142000</v>
      </c>
      <c r="I1805" t="s">
        <v>13</v>
      </c>
      <c r="J1805" t="s">
        <v>13</v>
      </c>
      <c r="K1805">
        <v>10.94</v>
      </c>
    </row>
    <row r="1807" spans="1:11" x14ac:dyDescent="0.35">
      <c r="A1807" t="s">
        <v>373</v>
      </c>
      <c r="B1807" t="str">
        <f>"09281"</f>
        <v>09281</v>
      </c>
      <c r="C1807" t="str">
        <f>"003"</f>
        <v>003</v>
      </c>
      <c r="D1807">
        <v>2001</v>
      </c>
      <c r="E1807" s="3">
        <v>30626700</v>
      </c>
      <c r="F1807" s="3">
        <v>26421500</v>
      </c>
      <c r="G1807" t="s">
        <v>11</v>
      </c>
      <c r="H1807" s="5" t="s">
        <v>30</v>
      </c>
      <c r="I1807" t="s">
        <v>13</v>
      </c>
      <c r="J1807" t="s">
        <v>13</v>
      </c>
    </row>
    <row r="1808" spans="1:11" x14ac:dyDescent="0.35">
      <c r="A1808" t="s">
        <v>31</v>
      </c>
      <c r="B1808" t="s">
        <v>13</v>
      </c>
      <c r="C1808" t="s">
        <v>7</v>
      </c>
      <c r="D1808" t="s">
        <v>8</v>
      </c>
      <c r="E1808" s="3">
        <v>30626700</v>
      </c>
      <c r="F1808" s="3">
        <v>26421500</v>
      </c>
      <c r="G1808" t="s">
        <v>11</v>
      </c>
      <c r="H1808" s="5">
        <v>167277500</v>
      </c>
      <c r="I1808" t="s">
        <v>13</v>
      </c>
      <c r="J1808" t="s">
        <v>13</v>
      </c>
      <c r="K1808">
        <v>15.8</v>
      </c>
    </row>
    <row r="1810" spans="1:11" x14ac:dyDescent="0.35">
      <c r="A1810" t="s">
        <v>374</v>
      </c>
      <c r="B1810" t="str">
        <f>"60181"</f>
        <v>60181</v>
      </c>
      <c r="C1810" t="str">
        <f>"001"</f>
        <v>001</v>
      </c>
      <c r="D1810">
        <v>2013</v>
      </c>
      <c r="E1810" s="3">
        <v>2808400</v>
      </c>
      <c r="F1810" s="3">
        <v>1805400</v>
      </c>
      <c r="G1810" t="s">
        <v>11</v>
      </c>
      <c r="H1810" s="5" t="s">
        <v>30</v>
      </c>
      <c r="I1810" t="s">
        <v>13</v>
      </c>
      <c r="J1810" t="s">
        <v>13</v>
      </c>
    </row>
    <row r="1811" spans="1:11" x14ac:dyDescent="0.35">
      <c r="A1811" t="s">
        <v>31</v>
      </c>
      <c r="B1811" t="s">
        <v>13</v>
      </c>
      <c r="C1811" t="s">
        <v>7</v>
      </c>
      <c r="D1811" t="s">
        <v>8</v>
      </c>
      <c r="E1811" s="3">
        <v>2808400</v>
      </c>
      <c r="F1811" s="3">
        <v>1805400</v>
      </c>
      <c r="G1811" t="s">
        <v>11</v>
      </c>
      <c r="H1811" s="5">
        <v>30263900</v>
      </c>
      <c r="I1811" t="s">
        <v>13</v>
      </c>
      <c r="J1811" t="s">
        <v>13</v>
      </c>
      <c r="K1811">
        <v>5.97</v>
      </c>
    </row>
    <row r="1813" spans="1:11" x14ac:dyDescent="0.35">
      <c r="A1813" t="s">
        <v>375</v>
      </c>
      <c r="B1813" t="str">
        <f t="shared" ref="B1813:B1821" si="37">"49281"</f>
        <v>49281</v>
      </c>
      <c r="C1813" t="str">
        <f>"005"</f>
        <v>005</v>
      </c>
      <c r="D1813">
        <v>2005</v>
      </c>
      <c r="E1813" s="3">
        <v>166972500</v>
      </c>
      <c r="F1813" s="3">
        <v>129031800</v>
      </c>
      <c r="G1813" t="s">
        <v>11</v>
      </c>
      <c r="H1813" s="5" t="s">
        <v>30</v>
      </c>
      <c r="I1813" t="s">
        <v>13</v>
      </c>
      <c r="J1813" t="s">
        <v>13</v>
      </c>
    </row>
    <row r="1814" spans="1:11" x14ac:dyDescent="0.35">
      <c r="A1814" t="s">
        <v>5</v>
      </c>
      <c r="B1814" t="str">
        <f t="shared" si="37"/>
        <v>49281</v>
      </c>
      <c r="C1814" t="str">
        <f>"006"</f>
        <v>006</v>
      </c>
      <c r="D1814">
        <v>2006</v>
      </c>
      <c r="E1814" s="3">
        <v>66103600</v>
      </c>
      <c r="F1814" s="3">
        <v>19798000</v>
      </c>
      <c r="G1814" t="s">
        <v>11</v>
      </c>
      <c r="H1814" s="5" t="s">
        <v>30</v>
      </c>
      <c r="I1814" t="s">
        <v>13</v>
      </c>
      <c r="J1814" t="s">
        <v>13</v>
      </c>
    </row>
    <row r="1815" spans="1:11" x14ac:dyDescent="0.35">
      <c r="A1815" t="s">
        <v>5</v>
      </c>
      <c r="B1815" t="str">
        <f t="shared" si="37"/>
        <v>49281</v>
      </c>
      <c r="C1815" t="str">
        <f>"007"</f>
        <v>007</v>
      </c>
      <c r="D1815">
        <v>2008</v>
      </c>
      <c r="E1815" s="3">
        <v>39101000</v>
      </c>
      <c r="F1815" s="3">
        <v>28187100</v>
      </c>
      <c r="G1815" t="s">
        <v>11</v>
      </c>
      <c r="H1815" s="5" t="s">
        <v>30</v>
      </c>
      <c r="I1815" t="s">
        <v>13</v>
      </c>
      <c r="J1815" t="s">
        <v>13</v>
      </c>
    </row>
    <row r="1816" spans="1:11" x14ac:dyDescent="0.35">
      <c r="A1816" t="s">
        <v>5</v>
      </c>
      <c r="B1816" t="str">
        <f t="shared" si="37"/>
        <v>49281</v>
      </c>
      <c r="C1816" t="str">
        <f>"008"</f>
        <v>008</v>
      </c>
      <c r="D1816">
        <v>2010</v>
      </c>
      <c r="E1816" s="3">
        <v>38669800</v>
      </c>
      <c r="F1816" s="3">
        <v>18884500</v>
      </c>
      <c r="G1816" t="s">
        <v>11</v>
      </c>
      <c r="H1816" s="5" t="s">
        <v>30</v>
      </c>
      <c r="I1816" t="s">
        <v>13</v>
      </c>
      <c r="J1816" t="s">
        <v>13</v>
      </c>
    </row>
    <row r="1817" spans="1:11" x14ac:dyDescent="0.35">
      <c r="A1817" t="s">
        <v>5</v>
      </c>
      <c r="B1817" t="str">
        <f t="shared" si="37"/>
        <v>49281</v>
      </c>
      <c r="C1817" t="str">
        <f>"009"</f>
        <v>009</v>
      </c>
      <c r="D1817">
        <v>2013</v>
      </c>
      <c r="E1817" s="3">
        <v>254500100</v>
      </c>
      <c r="F1817" s="3">
        <v>196270700</v>
      </c>
      <c r="G1817" t="s">
        <v>11</v>
      </c>
      <c r="H1817" s="5" t="s">
        <v>30</v>
      </c>
      <c r="I1817" t="s">
        <v>13</v>
      </c>
      <c r="J1817" t="s">
        <v>13</v>
      </c>
    </row>
    <row r="1818" spans="1:11" x14ac:dyDescent="0.35">
      <c r="A1818" t="s">
        <v>5</v>
      </c>
      <c r="B1818" t="str">
        <f t="shared" si="37"/>
        <v>49281</v>
      </c>
      <c r="C1818" t="str">
        <f>"010"</f>
        <v>010</v>
      </c>
      <c r="D1818">
        <v>2019</v>
      </c>
      <c r="E1818" s="3">
        <v>76824100</v>
      </c>
      <c r="F1818" s="3">
        <v>27691800</v>
      </c>
      <c r="G1818" t="s">
        <v>11</v>
      </c>
      <c r="H1818" s="5" t="s">
        <v>30</v>
      </c>
      <c r="I1818" t="s">
        <v>13</v>
      </c>
      <c r="J1818" t="s">
        <v>13</v>
      </c>
    </row>
    <row r="1819" spans="1:11" x14ac:dyDescent="0.35">
      <c r="A1819" t="s">
        <v>5</v>
      </c>
      <c r="B1819" t="str">
        <f t="shared" si="37"/>
        <v>49281</v>
      </c>
      <c r="C1819" t="str">
        <f>"011"</f>
        <v>011</v>
      </c>
      <c r="D1819">
        <v>2020</v>
      </c>
      <c r="E1819" s="3">
        <v>27527800</v>
      </c>
      <c r="F1819" s="3">
        <v>3411400</v>
      </c>
      <c r="G1819" t="s">
        <v>11</v>
      </c>
      <c r="H1819" s="5" t="s">
        <v>30</v>
      </c>
      <c r="I1819" t="s">
        <v>13</v>
      </c>
      <c r="J1819" t="s">
        <v>13</v>
      </c>
    </row>
    <row r="1820" spans="1:11" x14ac:dyDescent="0.35">
      <c r="A1820" t="s">
        <v>5</v>
      </c>
      <c r="B1820" t="str">
        <f t="shared" si="37"/>
        <v>49281</v>
      </c>
      <c r="C1820" t="str">
        <f>"012"</f>
        <v>012</v>
      </c>
      <c r="D1820">
        <v>2020</v>
      </c>
      <c r="E1820" s="3">
        <v>23521300</v>
      </c>
      <c r="F1820" s="3">
        <v>3029000</v>
      </c>
      <c r="G1820" t="s">
        <v>11</v>
      </c>
      <c r="H1820" s="5" t="s">
        <v>30</v>
      </c>
      <c r="I1820" t="s">
        <v>13</v>
      </c>
      <c r="J1820" t="s">
        <v>13</v>
      </c>
    </row>
    <row r="1821" spans="1:11" x14ac:dyDescent="0.35">
      <c r="A1821" t="s">
        <v>5</v>
      </c>
      <c r="B1821" t="str">
        <f t="shared" si="37"/>
        <v>49281</v>
      </c>
      <c r="C1821" t="str">
        <f>"013"</f>
        <v>013</v>
      </c>
      <c r="D1821">
        <v>2020</v>
      </c>
      <c r="E1821" s="3">
        <v>7472800</v>
      </c>
      <c r="F1821" s="3">
        <v>945900</v>
      </c>
      <c r="G1821" t="s">
        <v>11</v>
      </c>
      <c r="H1821" s="5" t="s">
        <v>30</v>
      </c>
      <c r="I1821" t="s">
        <v>13</v>
      </c>
      <c r="J1821" t="s">
        <v>13</v>
      </c>
    </row>
    <row r="1822" spans="1:11" x14ac:dyDescent="0.35">
      <c r="A1822" t="s">
        <v>31</v>
      </c>
      <c r="B1822" t="s">
        <v>13</v>
      </c>
      <c r="C1822" t="s">
        <v>7</v>
      </c>
      <c r="D1822" t="s">
        <v>8</v>
      </c>
      <c r="E1822" s="3">
        <v>700693000</v>
      </c>
      <c r="F1822" s="3">
        <v>427250200</v>
      </c>
      <c r="G1822" t="s">
        <v>11</v>
      </c>
      <c r="H1822" s="5">
        <v>2635324300</v>
      </c>
      <c r="I1822" t="s">
        <v>13</v>
      </c>
      <c r="J1822" t="s">
        <v>13</v>
      </c>
      <c r="K1822">
        <v>16.21</v>
      </c>
    </row>
    <row r="1824" spans="1:11" x14ac:dyDescent="0.35">
      <c r="A1824" t="s">
        <v>376</v>
      </c>
      <c r="B1824" t="str">
        <f>"13281"</f>
        <v>13281</v>
      </c>
      <c r="C1824" t="str">
        <f>"004"</f>
        <v>004</v>
      </c>
      <c r="D1824">
        <v>1999</v>
      </c>
      <c r="E1824" s="3">
        <v>19504000</v>
      </c>
      <c r="F1824" s="3">
        <v>9738700</v>
      </c>
      <c r="G1824" t="s">
        <v>11</v>
      </c>
      <c r="H1824" s="5" t="s">
        <v>30</v>
      </c>
      <c r="I1824" t="s">
        <v>13</v>
      </c>
      <c r="J1824" t="s">
        <v>13</v>
      </c>
    </row>
    <row r="1825" spans="1:11" x14ac:dyDescent="0.35">
      <c r="A1825" t="s">
        <v>5</v>
      </c>
      <c r="B1825" t="str">
        <f>"13281"</f>
        <v>13281</v>
      </c>
      <c r="C1825" t="str">
        <f>"005"</f>
        <v>005</v>
      </c>
      <c r="D1825">
        <v>2010</v>
      </c>
      <c r="E1825" s="3">
        <v>13578300</v>
      </c>
      <c r="F1825" s="3">
        <v>3309100</v>
      </c>
      <c r="G1825" t="s">
        <v>11</v>
      </c>
      <c r="H1825" s="5" t="s">
        <v>30</v>
      </c>
      <c r="I1825" t="s">
        <v>13</v>
      </c>
      <c r="J1825" t="s">
        <v>13</v>
      </c>
    </row>
    <row r="1826" spans="1:11" x14ac:dyDescent="0.35">
      <c r="A1826" t="s">
        <v>5</v>
      </c>
      <c r="B1826" t="str">
        <f>"13281"</f>
        <v>13281</v>
      </c>
      <c r="C1826" t="str">
        <f>"006"</f>
        <v>006</v>
      </c>
      <c r="D1826">
        <v>2015</v>
      </c>
      <c r="E1826" s="3">
        <v>4196300</v>
      </c>
      <c r="F1826" s="3">
        <v>4186300</v>
      </c>
      <c r="G1826" t="s">
        <v>11</v>
      </c>
      <c r="H1826" s="5" t="s">
        <v>30</v>
      </c>
      <c r="I1826" t="s">
        <v>13</v>
      </c>
      <c r="J1826" t="s">
        <v>13</v>
      </c>
    </row>
    <row r="1827" spans="1:11" x14ac:dyDescent="0.35">
      <c r="A1827" t="s">
        <v>5</v>
      </c>
      <c r="B1827" t="str">
        <f>"13281"</f>
        <v>13281</v>
      </c>
      <c r="C1827" t="str">
        <f>"007"</f>
        <v>007</v>
      </c>
      <c r="D1827">
        <v>2015</v>
      </c>
      <c r="E1827" s="3">
        <v>50998100</v>
      </c>
      <c r="F1827" s="3">
        <v>49886300</v>
      </c>
      <c r="G1827" t="s">
        <v>11</v>
      </c>
      <c r="H1827" s="5" t="s">
        <v>30</v>
      </c>
      <c r="I1827" t="s">
        <v>13</v>
      </c>
      <c r="J1827" t="s">
        <v>13</v>
      </c>
    </row>
    <row r="1828" spans="1:11" x14ac:dyDescent="0.35">
      <c r="A1828" t="s">
        <v>5</v>
      </c>
      <c r="B1828" t="str">
        <f>"13281"</f>
        <v>13281</v>
      </c>
      <c r="C1828" t="str">
        <f>"008"</f>
        <v>008</v>
      </c>
      <c r="D1828">
        <v>2018</v>
      </c>
      <c r="E1828" s="3">
        <v>8596700</v>
      </c>
      <c r="F1828" s="3">
        <v>1220100</v>
      </c>
      <c r="G1828" t="s">
        <v>11</v>
      </c>
      <c r="H1828" s="5" t="s">
        <v>30</v>
      </c>
      <c r="I1828" t="s">
        <v>13</v>
      </c>
      <c r="J1828" t="s">
        <v>13</v>
      </c>
    </row>
    <row r="1829" spans="1:11" x14ac:dyDescent="0.35">
      <c r="A1829" t="s">
        <v>31</v>
      </c>
      <c r="B1829" t="s">
        <v>13</v>
      </c>
      <c r="C1829" t="s">
        <v>7</v>
      </c>
      <c r="D1829" t="s">
        <v>8</v>
      </c>
      <c r="E1829" s="3">
        <v>96873400</v>
      </c>
      <c r="F1829" s="3">
        <v>68340500</v>
      </c>
      <c r="G1829" t="s">
        <v>11</v>
      </c>
      <c r="H1829" s="5">
        <v>1567793700</v>
      </c>
      <c r="I1829" t="s">
        <v>13</v>
      </c>
      <c r="J1829" t="s">
        <v>13</v>
      </c>
      <c r="K1829">
        <v>4.3600000000000003</v>
      </c>
    </row>
    <row r="1831" spans="1:11" x14ac:dyDescent="0.35">
      <c r="A1831" t="s">
        <v>377</v>
      </c>
      <c r="B1831" t="str">
        <f>"37182"</f>
        <v>37182</v>
      </c>
      <c r="C1831" t="str">
        <f>"003"</f>
        <v>003</v>
      </c>
      <c r="D1831">
        <v>2006</v>
      </c>
      <c r="E1831" s="3">
        <v>10923400</v>
      </c>
      <c r="F1831" s="3">
        <v>8510000</v>
      </c>
      <c r="G1831" t="s">
        <v>11</v>
      </c>
      <c r="H1831" s="5" t="s">
        <v>30</v>
      </c>
      <c r="I1831" t="s">
        <v>13</v>
      </c>
      <c r="J1831" t="s">
        <v>13</v>
      </c>
    </row>
    <row r="1832" spans="1:11" x14ac:dyDescent="0.35">
      <c r="A1832" t="s">
        <v>5</v>
      </c>
      <c r="B1832" t="str">
        <f>"37182"</f>
        <v>37182</v>
      </c>
      <c r="C1832" t="str">
        <f>"004"</f>
        <v>004</v>
      </c>
      <c r="D1832">
        <v>2015</v>
      </c>
      <c r="E1832" s="3">
        <v>28406500</v>
      </c>
      <c r="F1832" s="3">
        <v>19351000</v>
      </c>
      <c r="G1832" t="s">
        <v>11</v>
      </c>
      <c r="H1832" s="5" t="s">
        <v>30</v>
      </c>
      <c r="I1832" t="s">
        <v>13</v>
      </c>
      <c r="J1832" t="s">
        <v>13</v>
      </c>
    </row>
    <row r="1833" spans="1:11" x14ac:dyDescent="0.35">
      <c r="A1833" t="s">
        <v>31</v>
      </c>
      <c r="B1833" t="s">
        <v>13</v>
      </c>
      <c r="C1833" t="s">
        <v>7</v>
      </c>
      <c r="D1833" t="s">
        <v>8</v>
      </c>
      <c r="E1833" s="3">
        <v>39329900</v>
      </c>
      <c r="F1833" s="3">
        <v>27861000</v>
      </c>
      <c r="G1833" t="s">
        <v>11</v>
      </c>
      <c r="H1833" s="5">
        <v>138337600</v>
      </c>
      <c r="I1833" t="s">
        <v>13</v>
      </c>
      <c r="J1833" t="s">
        <v>13</v>
      </c>
      <c r="K1833">
        <v>20.14</v>
      </c>
    </row>
    <row r="1835" spans="1:11" x14ac:dyDescent="0.35">
      <c r="A1835" t="s">
        <v>378</v>
      </c>
      <c r="B1835" t="str">
        <f>"61181"</f>
        <v>61181</v>
      </c>
      <c r="C1835" t="str">
        <f>"001"</f>
        <v>001</v>
      </c>
      <c r="D1835">
        <v>2009</v>
      </c>
      <c r="E1835" s="3">
        <v>9400</v>
      </c>
      <c r="F1835" s="3">
        <v>3800</v>
      </c>
      <c r="G1835" t="s">
        <v>11</v>
      </c>
      <c r="H1835" s="5" t="s">
        <v>30</v>
      </c>
      <c r="I1835" t="s">
        <v>13</v>
      </c>
      <c r="J1835" t="s">
        <v>13</v>
      </c>
    </row>
    <row r="1836" spans="1:11" x14ac:dyDescent="0.35">
      <c r="A1836" t="s">
        <v>31</v>
      </c>
      <c r="B1836" t="s">
        <v>13</v>
      </c>
      <c r="C1836" t="s">
        <v>7</v>
      </c>
      <c r="D1836" t="s">
        <v>8</v>
      </c>
      <c r="E1836" s="3">
        <v>9400</v>
      </c>
      <c r="F1836" s="3">
        <v>3800</v>
      </c>
      <c r="G1836" t="s">
        <v>11</v>
      </c>
      <c r="H1836" s="5">
        <v>74794700</v>
      </c>
      <c r="I1836" t="s">
        <v>13</v>
      </c>
      <c r="J1836" t="s">
        <v>13</v>
      </c>
      <c r="K1836">
        <v>0.01</v>
      </c>
    </row>
    <row r="1838" spans="1:11" x14ac:dyDescent="0.35">
      <c r="A1838" t="s">
        <v>379</v>
      </c>
      <c r="B1838" t="str">
        <f>"15281"</f>
        <v>15281</v>
      </c>
      <c r="C1838" t="str">
        <f>"001"</f>
        <v>001</v>
      </c>
      <c r="D1838">
        <v>1991</v>
      </c>
      <c r="E1838" s="3">
        <v>50629100</v>
      </c>
      <c r="F1838" s="3">
        <v>40994900</v>
      </c>
      <c r="G1838" t="s">
        <v>11</v>
      </c>
      <c r="H1838" s="5" t="s">
        <v>30</v>
      </c>
      <c r="I1838" t="s">
        <v>13</v>
      </c>
      <c r="J1838" t="s">
        <v>13</v>
      </c>
    </row>
    <row r="1839" spans="1:11" x14ac:dyDescent="0.35">
      <c r="A1839" t="s">
        <v>5</v>
      </c>
      <c r="B1839" t="str">
        <f>"15281"</f>
        <v>15281</v>
      </c>
      <c r="C1839" t="str">
        <f>"002"</f>
        <v>002</v>
      </c>
      <c r="D1839">
        <v>1994</v>
      </c>
      <c r="E1839" s="3">
        <v>85234500</v>
      </c>
      <c r="F1839" s="3">
        <v>69111500</v>
      </c>
      <c r="G1839" t="s">
        <v>11</v>
      </c>
      <c r="H1839" s="5" t="s">
        <v>30</v>
      </c>
      <c r="I1839" t="s">
        <v>13</v>
      </c>
      <c r="J1839" t="s">
        <v>13</v>
      </c>
    </row>
    <row r="1840" spans="1:11" x14ac:dyDescent="0.35">
      <c r="A1840" t="s">
        <v>5</v>
      </c>
      <c r="B1840" t="str">
        <f>"15281"</f>
        <v>15281</v>
      </c>
      <c r="C1840" t="str">
        <f>"003"</f>
        <v>003</v>
      </c>
      <c r="D1840">
        <v>2008</v>
      </c>
      <c r="E1840" s="3">
        <v>4688000</v>
      </c>
      <c r="F1840" s="3">
        <v>3771100</v>
      </c>
      <c r="G1840" t="s">
        <v>11</v>
      </c>
      <c r="H1840" s="5" t="s">
        <v>30</v>
      </c>
      <c r="I1840" t="s">
        <v>13</v>
      </c>
      <c r="J1840" t="s">
        <v>13</v>
      </c>
    </row>
    <row r="1841" spans="1:11" x14ac:dyDescent="0.35">
      <c r="A1841" t="s">
        <v>5</v>
      </c>
      <c r="B1841" t="str">
        <f>"15281"</f>
        <v>15281</v>
      </c>
      <c r="C1841" t="str">
        <f>"004"</f>
        <v>004</v>
      </c>
      <c r="D1841">
        <v>2013</v>
      </c>
      <c r="E1841" s="3">
        <v>6732200</v>
      </c>
      <c r="F1841" s="3">
        <v>6316300</v>
      </c>
      <c r="G1841" t="s">
        <v>11</v>
      </c>
      <c r="H1841" s="5" t="s">
        <v>30</v>
      </c>
      <c r="I1841" t="s">
        <v>13</v>
      </c>
      <c r="J1841" t="s">
        <v>13</v>
      </c>
    </row>
    <row r="1842" spans="1:11" x14ac:dyDescent="0.35">
      <c r="A1842" t="s">
        <v>5</v>
      </c>
      <c r="B1842" t="str">
        <f>"15281"</f>
        <v>15281</v>
      </c>
      <c r="C1842" t="str">
        <f>"005"</f>
        <v>005</v>
      </c>
      <c r="D1842">
        <v>2021</v>
      </c>
      <c r="E1842" s="3">
        <v>480200</v>
      </c>
      <c r="F1842" s="3">
        <v>480200</v>
      </c>
      <c r="G1842" t="s">
        <v>11</v>
      </c>
      <c r="H1842" s="5" t="s">
        <v>30</v>
      </c>
      <c r="I1842" t="s">
        <v>13</v>
      </c>
      <c r="J1842" t="s">
        <v>13</v>
      </c>
    </row>
    <row r="1843" spans="1:11" x14ac:dyDescent="0.35">
      <c r="A1843" t="s">
        <v>31</v>
      </c>
      <c r="B1843" t="s">
        <v>13</v>
      </c>
      <c r="C1843" t="s">
        <v>7</v>
      </c>
      <c r="D1843" t="s">
        <v>8</v>
      </c>
      <c r="E1843" s="3">
        <v>147764000</v>
      </c>
      <c r="F1843" s="3">
        <v>120674000</v>
      </c>
      <c r="G1843" t="s">
        <v>11</v>
      </c>
      <c r="H1843" s="5">
        <v>1224724100</v>
      </c>
      <c r="I1843" t="s">
        <v>13</v>
      </c>
      <c r="J1843" t="s">
        <v>13</v>
      </c>
      <c r="K1843">
        <v>9.85</v>
      </c>
    </row>
    <row r="1845" spans="1:11" x14ac:dyDescent="0.35">
      <c r="A1845" t="s">
        <v>380</v>
      </c>
      <c r="B1845" t="str">
        <f>"51181"</f>
        <v>51181</v>
      </c>
      <c r="C1845" t="str">
        <f>"004"</f>
        <v>004</v>
      </c>
      <c r="D1845">
        <v>2016</v>
      </c>
      <c r="E1845" s="3">
        <v>220597600</v>
      </c>
      <c r="F1845" s="3">
        <v>165274000</v>
      </c>
      <c r="G1845" t="s">
        <v>11</v>
      </c>
      <c r="H1845" s="5" t="s">
        <v>30</v>
      </c>
      <c r="I1845" t="s">
        <v>13</v>
      </c>
      <c r="J1845" t="s">
        <v>13</v>
      </c>
    </row>
    <row r="1846" spans="1:11" x14ac:dyDescent="0.35">
      <c r="A1846" t="s">
        <v>31</v>
      </c>
      <c r="B1846" t="s">
        <v>13</v>
      </c>
      <c r="C1846" t="s">
        <v>7</v>
      </c>
      <c r="D1846" t="s">
        <v>8</v>
      </c>
      <c r="E1846" s="3">
        <v>220597600</v>
      </c>
      <c r="F1846" s="3">
        <v>165274000</v>
      </c>
      <c r="G1846" t="s">
        <v>11</v>
      </c>
      <c r="H1846" s="5">
        <v>888848300</v>
      </c>
      <c r="I1846" t="s">
        <v>13</v>
      </c>
      <c r="J1846" t="s">
        <v>13</v>
      </c>
      <c r="K1846">
        <v>18.59</v>
      </c>
    </row>
    <row r="1848" spans="1:11" x14ac:dyDescent="0.35">
      <c r="A1848" t="s">
        <v>381</v>
      </c>
      <c r="B1848" t="str">
        <f>"05178"</f>
        <v>05178</v>
      </c>
      <c r="C1848" t="str">
        <f>"001"</f>
        <v>001</v>
      </c>
      <c r="D1848">
        <v>2004</v>
      </c>
      <c r="E1848" s="3">
        <v>76628200</v>
      </c>
      <c r="F1848" s="3">
        <v>66157500</v>
      </c>
      <c r="G1848" t="s">
        <v>11</v>
      </c>
      <c r="H1848" s="5" t="s">
        <v>30</v>
      </c>
      <c r="I1848" t="s">
        <v>13</v>
      </c>
      <c r="J1848" t="s">
        <v>13</v>
      </c>
    </row>
    <row r="1849" spans="1:11" x14ac:dyDescent="0.35">
      <c r="A1849" t="s">
        <v>5</v>
      </c>
      <c r="B1849" t="str">
        <f>"05178"</f>
        <v>05178</v>
      </c>
      <c r="C1849" t="str">
        <f>"002"</f>
        <v>002</v>
      </c>
      <c r="D1849">
        <v>2006</v>
      </c>
      <c r="E1849" s="3">
        <v>29632400</v>
      </c>
      <c r="F1849" s="3">
        <v>19106200</v>
      </c>
      <c r="G1849" t="s">
        <v>11</v>
      </c>
      <c r="H1849" s="5" t="s">
        <v>30</v>
      </c>
      <c r="I1849" t="s">
        <v>13</v>
      </c>
      <c r="J1849" t="s">
        <v>13</v>
      </c>
    </row>
    <row r="1850" spans="1:11" x14ac:dyDescent="0.35">
      <c r="A1850" t="s">
        <v>5</v>
      </c>
      <c r="B1850" t="str">
        <f>"05178"</f>
        <v>05178</v>
      </c>
      <c r="C1850" t="str">
        <f>"004"</f>
        <v>004</v>
      </c>
      <c r="D1850">
        <v>2014</v>
      </c>
      <c r="E1850" s="3">
        <v>78504800</v>
      </c>
      <c r="F1850" s="3">
        <v>44496100</v>
      </c>
      <c r="G1850" t="s">
        <v>11</v>
      </c>
      <c r="H1850" s="5" t="s">
        <v>30</v>
      </c>
      <c r="I1850" t="s">
        <v>13</v>
      </c>
      <c r="J1850" t="s">
        <v>13</v>
      </c>
    </row>
    <row r="1851" spans="1:11" x14ac:dyDescent="0.35">
      <c r="A1851" t="s">
        <v>31</v>
      </c>
      <c r="B1851" t="s">
        <v>13</v>
      </c>
      <c r="C1851" t="s">
        <v>7</v>
      </c>
      <c r="D1851" t="s">
        <v>8</v>
      </c>
      <c r="E1851" s="3">
        <v>184765400</v>
      </c>
      <c r="F1851" s="3">
        <v>129759800</v>
      </c>
      <c r="G1851" t="s">
        <v>11</v>
      </c>
      <c r="H1851" s="5">
        <v>1857330500</v>
      </c>
      <c r="I1851" t="s">
        <v>13</v>
      </c>
      <c r="J1851" t="s">
        <v>13</v>
      </c>
      <c r="K1851">
        <v>6.99</v>
      </c>
    </row>
    <row r="1853" spans="1:11" x14ac:dyDescent="0.35">
      <c r="A1853" t="s">
        <v>382</v>
      </c>
      <c r="B1853" t="str">
        <f t="shared" ref="B1853:B1858" si="38">"13282"</f>
        <v>13282</v>
      </c>
      <c r="C1853" t="str">
        <f>"008"</f>
        <v>008</v>
      </c>
      <c r="D1853">
        <v>2002</v>
      </c>
      <c r="E1853" s="3">
        <v>129481900</v>
      </c>
      <c r="F1853" s="3">
        <v>107202900</v>
      </c>
      <c r="G1853" t="s">
        <v>11</v>
      </c>
      <c r="H1853" s="5" t="s">
        <v>30</v>
      </c>
      <c r="I1853" t="s">
        <v>13</v>
      </c>
      <c r="J1853" t="s">
        <v>13</v>
      </c>
    </row>
    <row r="1854" spans="1:11" x14ac:dyDescent="0.35">
      <c r="A1854" t="s">
        <v>5</v>
      </c>
      <c r="B1854" t="str">
        <f t="shared" si="38"/>
        <v>13282</v>
      </c>
      <c r="C1854" t="str">
        <f>"009"</f>
        <v>009</v>
      </c>
      <c r="D1854">
        <v>2007</v>
      </c>
      <c r="E1854" s="3">
        <v>104462200</v>
      </c>
      <c r="F1854" s="3">
        <v>92167300</v>
      </c>
      <c r="G1854" t="s">
        <v>11</v>
      </c>
      <c r="H1854" s="5" t="s">
        <v>30</v>
      </c>
      <c r="I1854" t="s">
        <v>13</v>
      </c>
      <c r="J1854" t="s">
        <v>13</v>
      </c>
    </row>
    <row r="1855" spans="1:11" x14ac:dyDescent="0.35">
      <c r="A1855" t="s">
        <v>5</v>
      </c>
      <c r="B1855" t="str">
        <f t="shared" si="38"/>
        <v>13282</v>
      </c>
      <c r="C1855" t="str">
        <f>"011"</f>
        <v>011</v>
      </c>
      <c r="D1855">
        <v>2015</v>
      </c>
      <c r="E1855" s="3">
        <v>88684900</v>
      </c>
      <c r="F1855" s="3">
        <v>56185600</v>
      </c>
      <c r="G1855" t="s">
        <v>11</v>
      </c>
      <c r="H1855" s="5" t="s">
        <v>30</v>
      </c>
      <c r="I1855" t="s">
        <v>13</v>
      </c>
      <c r="J1855" t="s">
        <v>13</v>
      </c>
    </row>
    <row r="1856" spans="1:11" x14ac:dyDescent="0.35">
      <c r="A1856" t="s">
        <v>5</v>
      </c>
      <c r="B1856" t="str">
        <f t="shared" si="38"/>
        <v>13282</v>
      </c>
      <c r="C1856" t="str">
        <f>"012"</f>
        <v>012</v>
      </c>
      <c r="D1856">
        <v>2016</v>
      </c>
      <c r="E1856" s="3">
        <v>18154100</v>
      </c>
      <c r="F1856" s="3">
        <v>14350500</v>
      </c>
      <c r="G1856" t="s">
        <v>11</v>
      </c>
      <c r="H1856" s="5" t="s">
        <v>30</v>
      </c>
      <c r="I1856" t="s">
        <v>13</v>
      </c>
      <c r="J1856" t="s">
        <v>13</v>
      </c>
    </row>
    <row r="1857" spans="1:11" x14ac:dyDescent="0.35">
      <c r="A1857" t="s">
        <v>5</v>
      </c>
      <c r="B1857" t="str">
        <f t="shared" si="38"/>
        <v>13282</v>
      </c>
      <c r="C1857" t="str">
        <f>"013"</f>
        <v>013</v>
      </c>
      <c r="D1857">
        <v>2017</v>
      </c>
      <c r="E1857" s="3">
        <v>32443100</v>
      </c>
      <c r="F1857" s="3">
        <v>31824900</v>
      </c>
      <c r="G1857" t="s">
        <v>11</v>
      </c>
      <c r="H1857" s="5" t="s">
        <v>30</v>
      </c>
      <c r="I1857" t="s">
        <v>13</v>
      </c>
      <c r="J1857" t="s">
        <v>13</v>
      </c>
    </row>
    <row r="1858" spans="1:11" x14ac:dyDescent="0.35">
      <c r="A1858" t="s">
        <v>5</v>
      </c>
      <c r="B1858" t="str">
        <f t="shared" si="38"/>
        <v>13282</v>
      </c>
      <c r="C1858" t="str">
        <f>"014"</f>
        <v>014</v>
      </c>
      <c r="D1858">
        <v>2020</v>
      </c>
      <c r="E1858" s="3">
        <v>6825800</v>
      </c>
      <c r="F1858" s="3">
        <v>1377000</v>
      </c>
      <c r="G1858" t="s">
        <v>11</v>
      </c>
      <c r="H1858" s="5" t="s">
        <v>30</v>
      </c>
      <c r="I1858" t="s">
        <v>13</v>
      </c>
      <c r="J1858" t="s">
        <v>13</v>
      </c>
    </row>
    <row r="1859" spans="1:11" x14ac:dyDescent="0.35">
      <c r="A1859" t="s">
        <v>31</v>
      </c>
      <c r="B1859" t="s">
        <v>13</v>
      </c>
      <c r="C1859" t="s">
        <v>7</v>
      </c>
      <c r="D1859" t="s">
        <v>8</v>
      </c>
      <c r="E1859" s="3">
        <v>380052000</v>
      </c>
      <c r="F1859" s="3">
        <v>303108200</v>
      </c>
      <c r="G1859" t="s">
        <v>11</v>
      </c>
      <c r="H1859" s="5">
        <v>4767506600</v>
      </c>
      <c r="I1859" t="s">
        <v>13</v>
      </c>
      <c r="J1859" t="s">
        <v>13</v>
      </c>
      <c r="K1859">
        <v>6.36</v>
      </c>
    </row>
    <row r="1861" spans="1:11" x14ac:dyDescent="0.35">
      <c r="A1861" t="s">
        <v>383</v>
      </c>
      <c r="B1861" t="str">
        <f t="shared" ref="B1861:B1867" si="39">"16281"</f>
        <v>16281</v>
      </c>
      <c r="C1861" t="str">
        <f>"007"</f>
        <v>007</v>
      </c>
      <c r="D1861">
        <v>1996</v>
      </c>
      <c r="E1861" s="3">
        <v>26521800</v>
      </c>
      <c r="F1861" s="3">
        <v>19122300</v>
      </c>
      <c r="G1861" t="s">
        <v>11</v>
      </c>
      <c r="H1861" s="5" t="s">
        <v>30</v>
      </c>
      <c r="I1861" t="s">
        <v>13</v>
      </c>
      <c r="J1861" t="s">
        <v>13</v>
      </c>
    </row>
    <row r="1862" spans="1:11" x14ac:dyDescent="0.35">
      <c r="A1862" t="s">
        <v>5</v>
      </c>
      <c r="B1862" t="str">
        <f t="shared" si="39"/>
        <v>16281</v>
      </c>
      <c r="C1862" t="str">
        <f>"011"</f>
        <v>011</v>
      </c>
      <c r="D1862">
        <v>2008</v>
      </c>
      <c r="E1862" s="3">
        <v>13029100</v>
      </c>
      <c r="F1862" s="3">
        <v>11092100</v>
      </c>
      <c r="G1862" t="s">
        <v>11</v>
      </c>
      <c r="H1862" s="5" t="s">
        <v>30</v>
      </c>
      <c r="I1862" t="s">
        <v>13</v>
      </c>
      <c r="J1862" t="s">
        <v>13</v>
      </c>
    </row>
    <row r="1863" spans="1:11" x14ac:dyDescent="0.35">
      <c r="A1863" t="s">
        <v>5</v>
      </c>
      <c r="B1863" t="str">
        <f t="shared" si="39"/>
        <v>16281</v>
      </c>
      <c r="C1863" t="str">
        <f>"013"</f>
        <v>013</v>
      </c>
      <c r="D1863">
        <v>2014</v>
      </c>
      <c r="E1863" s="3">
        <v>22132400</v>
      </c>
      <c r="F1863" s="3">
        <v>19732000</v>
      </c>
      <c r="G1863" t="s">
        <v>11</v>
      </c>
      <c r="H1863" s="5" t="s">
        <v>30</v>
      </c>
      <c r="I1863" t="s">
        <v>13</v>
      </c>
      <c r="J1863" t="s">
        <v>13</v>
      </c>
    </row>
    <row r="1864" spans="1:11" x14ac:dyDescent="0.35">
      <c r="A1864" t="s">
        <v>5</v>
      </c>
      <c r="B1864" t="str">
        <f t="shared" si="39"/>
        <v>16281</v>
      </c>
      <c r="C1864" t="str">
        <f>"014"</f>
        <v>014</v>
      </c>
      <c r="D1864">
        <v>2019</v>
      </c>
      <c r="E1864" s="3">
        <v>8458400</v>
      </c>
      <c r="F1864" s="3">
        <v>8310700</v>
      </c>
      <c r="G1864" t="s">
        <v>11</v>
      </c>
      <c r="H1864" s="5" t="s">
        <v>30</v>
      </c>
      <c r="I1864" t="s">
        <v>13</v>
      </c>
      <c r="J1864" t="s">
        <v>13</v>
      </c>
    </row>
    <row r="1865" spans="1:11" x14ac:dyDescent="0.35">
      <c r="A1865" t="s">
        <v>5</v>
      </c>
      <c r="B1865" t="str">
        <f t="shared" si="39"/>
        <v>16281</v>
      </c>
      <c r="C1865" t="str">
        <f>"015"</f>
        <v>015</v>
      </c>
      <c r="D1865">
        <v>2020</v>
      </c>
      <c r="E1865" s="3">
        <v>18054000</v>
      </c>
      <c r="F1865" s="3">
        <v>17676100</v>
      </c>
      <c r="G1865" t="s">
        <v>11</v>
      </c>
      <c r="H1865" s="5" t="s">
        <v>30</v>
      </c>
      <c r="I1865" t="s">
        <v>13</v>
      </c>
      <c r="J1865" t="s">
        <v>13</v>
      </c>
    </row>
    <row r="1866" spans="1:11" x14ac:dyDescent="0.35">
      <c r="A1866" t="s">
        <v>5</v>
      </c>
      <c r="B1866" t="str">
        <f t="shared" si="39"/>
        <v>16281</v>
      </c>
      <c r="C1866" t="str">
        <f>"016"</f>
        <v>016</v>
      </c>
      <c r="D1866">
        <v>2021</v>
      </c>
      <c r="E1866" s="3">
        <v>2074900</v>
      </c>
      <c r="F1866" s="3">
        <v>120400</v>
      </c>
      <c r="G1866" t="s">
        <v>11</v>
      </c>
      <c r="H1866" s="5" t="s">
        <v>30</v>
      </c>
      <c r="I1866" t="s">
        <v>13</v>
      </c>
      <c r="J1866" t="s">
        <v>13</v>
      </c>
    </row>
    <row r="1867" spans="1:11" x14ac:dyDescent="0.35">
      <c r="A1867" t="s">
        <v>5</v>
      </c>
      <c r="B1867" t="str">
        <f t="shared" si="39"/>
        <v>16281</v>
      </c>
      <c r="C1867" t="str">
        <f>"017"</f>
        <v>017</v>
      </c>
      <c r="D1867">
        <v>2021</v>
      </c>
      <c r="E1867" s="3">
        <v>204700</v>
      </c>
      <c r="F1867" s="3">
        <v>204700</v>
      </c>
      <c r="G1867" t="s">
        <v>11</v>
      </c>
      <c r="H1867" s="5" t="s">
        <v>30</v>
      </c>
      <c r="I1867" t="s">
        <v>13</v>
      </c>
      <c r="J1867" t="s">
        <v>13</v>
      </c>
    </row>
    <row r="1868" spans="1:11" x14ac:dyDescent="0.35">
      <c r="A1868" t="s">
        <v>31</v>
      </c>
      <c r="B1868" t="s">
        <v>13</v>
      </c>
      <c r="C1868" t="s">
        <v>7</v>
      </c>
      <c r="D1868" t="s">
        <v>8</v>
      </c>
      <c r="E1868" s="3">
        <v>90475300</v>
      </c>
      <c r="F1868" s="3">
        <v>76258300</v>
      </c>
      <c r="G1868" t="s">
        <v>11</v>
      </c>
      <c r="H1868" s="5">
        <v>2340295500</v>
      </c>
      <c r="I1868" t="s">
        <v>13</v>
      </c>
      <c r="J1868" t="s">
        <v>13</v>
      </c>
      <c r="K1868">
        <v>3.26</v>
      </c>
    </row>
    <row r="1870" spans="1:11" x14ac:dyDescent="0.35">
      <c r="A1870" t="s">
        <v>384</v>
      </c>
      <c r="B1870" t="str">
        <f>"42181"</f>
        <v>42181</v>
      </c>
      <c r="C1870" t="str">
        <f>"001"</f>
        <v>001</v>
      </c>
      <c r="D1870">
        <v>2000</v>
      </c>
      <c r="E1870" s="3">
        <v>3576700</v>
      </c>
      <c r="F1870" s="3">
        <v>2127465</v>
      </c>
      <c r="G1870" t="s">
        <v>11</v>
      </c>
      <c r="H1870" s="5" t="s">
        <v>30</v>
      </c>
      <c r="I1870" t="s">
        <v>13</v>
      </c>
      <c r="J1870" t="s">
        <v>13</v>
      </c>
    </row>
    <row r="1871" spans="1:11" x14ac:dyDescent="0.35">
      <c r="A1871" t="s">
        <v>31</v>
      </c>
      <c r="B1871" t="s">
        <v>13</v>
      </c>
      <c r="C1871" t="s">
        <v>7</v>
      </c>
      <c r="D1871" t="s">
        <v>8</v>
      </c>
      <c r="E1871" s="3">
        <v>3576700</v>
      </c>
      <c r="F1871" s="3">
        <v>2127465</v>
      </c>
      <c r="G1871" t="s">
        <v>11</v>
      </c>
      <c r="H1871" s="5">
        <v>27429200</v>
      </c>
      <c r="I1871" t="s">
        <v>13</v>
      </c>
      <c r="J1871" t="s">
        <v>13</v>
      </c>
      <c r="K1871">
        <v>7.76</v>
      </c>
    </row>
    <row r="1873" spans="1:11" x14ac:dyDescent="0.35">
      <c r="A1873" t="s">
        <v>385</v>
      </c>
      <c r="B1873" t="str">
        <f>"67181"</f>
        <v>67181</v>
      </c>
      <c r="C1873" t="str">
        <f>"006"</f>
        <v>006</v>
      </c>
      <c r="D1873">
        <v>2013</v>
      </c>
      <c r="E1873" s="3">
        <v>98743900</v>
      </c>
      <c r="F1873" s="3">
        <v>74640300</v>
      </c>
      <c r="G1873" t="s">
        <v>11</v>
      </c>
      <c r="H1873" s="5" t="s">
        <v>30</v>
      </c>
      <c r="I1873" t="s">
        <v>13</v>
      </c>
      <c r="J1873" t="s">
        <v>13</v>
      </c>
    </row>
    <row r="1874" spans="1:11" x14ac:dyDescent="0.35">
      <c r="A1874" t="s">
        <v>5</v>
      </c>
      <c r="B1874" t="str">
        <f>"67181"</f>
        <v>67181</v>
      </c>
      <c r="C1874" t="str">
        <f>"007"</f>
        <v>007</v>
      </c>
      <c r="D1874">
        <v>2018</v>
      </c>
      <c r="E1874" s="3">
        <v>18919600</v>
      </c>
      <c r="F1874" s="3">
        <v>18592300</v>
      </c>
      <c r="G1874" t="s">
        <v>11</v>
      </c>
      <c r="H1874" s="5" t="s">
        <v>30</v>
      </c>
      <c r="I1874" t="s">
        <v>13</v>
      </c>
      <c r="J1874" t="s">
        <v>13</v>
      </c>
    </row>
    <row r="1875" spans="1:11" x14ac:dyDescent="0.35">
      <c r="A1875" t="s">
        <v>31</v>
      </c>
      <c r="B1875" t="s">
        <v>13</v>
      </c>
      <c r="C1875" t="s">
        <v>7</v>
      </c>
      <c r="D1875" t="s">
        <v>8</v>
      </c>
      <c r="E1875" s="3">
        <v>117663500</v>
      </c>
      <c r="F1875" s="3">
        <v>93232600</v>
      </c>
      <c r="G1875" t="s">
        <v>11</v>
      </c>
      <c r="H1875" s="5">
        <v>1921321200</v>
      </c>
      <c r="I1875" t="s">
        <v>13</v>
      </c>
      <c r="J1875" t="s">
        <v>13</v>
      </c>
      <c r="K1875">
        <v>4.8499999999999996</v>
      </c>
    </row>
    <row r="1877" spans="1:11" x14ac:dyDescent="0.35">
      <c r="A1877" t="s">
        <v>386</v>
      </c>
      <c r="B1877" t="str">
        <f>"27186"</f>
        <v>27186</v>
      </c>
      <c r="C1877" t="str">
        <f>"004"</f>
        <v>004</v>
      </c>
      <c r="D1877">
        <v>1999</v>
      </c>
      <c r="E1877" s="3">
        <v>1003800</v>
      </c>
      <c r="F1877" s="3">
        <v>605000</v>
      </c>
      <c r="G1877" t="s">
        <v>11</v>
      </c>
      <c r="H1877" s="5" t="s">
        <v>30</v>
      </c>
      <c r="I1877" t="s">
        <v>13</v>
      </c>
      <c r="J1877" t="s">
        <v>13</v>
      </c>
    </row>
    <row r="1878" spans="1:11" x14ac:dyDescent="0.35">
      <c r="A1878" t="s">
        <v>31</v>
      </c>
      <c r="B1878" t="s">
        <v>13</v>
      </c>
      <c r="C1878" t="s">
        <v>7</v>
      </c>
      <c r="D1878" t="s">
        <v>8</v>
      </c>
      <c r="E1878" s="3">
        <v>1003800</v>
      </c>
      <c r="F1878" s="3">
        <v>605000</v>
      </c>
      <c r="G1878" t="s">
        <v>11</v>
      </c>
      <c r="H1878" s="5">
        <v>17324500</v>
      </c>
      <c r="I1878" t="s">
        <v>13</v>
      </c>
      <c r="J1878" t="s">
        <v>13</v>
      </c>
      <c r="K1878">
        <v>3.49</v>
      </c>
    </row>
    <row r="1880" spans="1:11" x14ac:dyDescent="0.35">
      <c r="A1880" t="s">
        <v>387</v>
      </c>
      <c r="B1880" t="str">
        <f>"45186"</f>
        <v>45186</v>
      </c>
      <c r="C1880" t="str">
        <f>"002"</f>
        <v>002</v>
      </c>
      <c r="D1880">
        <v>2020</v>
      </c>
      <c r="E1880" s="3">
        <v>13555900</v>
      </c>
      <c r="F1880" s="3">
        <v>502500</v>
      </c>
      <c r="G1880" t="s">
        <v>11</v>
      </c>
      <c r="H1880" s="5" t="s">
        <v>30</v>
      </c>
      <c r="I1880" t="s">
        <v>13</v>
      </c>
      <c r="J1880" t="s">
        <v>13</v>
      </c>
    </row>
    <row r="1881" spans="1:11" x14ac:dyDescent="0.35">
      <c r="A1881" t="s">
        <v>31</v>
      </c>
      <c r="B1881" t="s">
        <v>13</v>
      </c>
      <c r="C1881" t="s">
        <v>7</v>
      </c>
      <c r="D1881" t="s">
        <v>8</v>
      </c>
      <c r="E1881" s="3">
        <v>13555900</v>
      </c>
      <c r="F1881" s="3">
        <v>502500</v>
      </c>
      <c r="G1881" t="s">
        <v>11</v>
      </c>
      <c r="H1881" s="5">
        <v>447439600</v>
      </c>
      <c r="I1881" t="s">
        <v>13</v>
      </c>
      <c r="J1881" t="s">
        <v>13</v>
      </c>
      <c r="K1881">
        <v>0.11</v>
      </c>
    </row>
    <row r="1883" spans="1:11" x14ac:dyDescent="0.35">
      <c r="A1883" t="s">
        <v>388</v>
      </c>
      <c r="B1883" t="str">
        <f>"58186"</f>
        <v>58186</v>
      </c>
      <c r="C1883" t="str">
        <f>"001"</f>
        <v>001</v>
      </c>
      <c r="D1883">
        <v>1996</v>
      </c>
      <c r="E1883" s="3">
        <v>2574000</v>
      </c>
      <c r="F1883" s="3">
        <v>2449100</v>
      </c>
      <c r="G1883" t="s">
        <v>11</v>
      </c>
      <c r="H1883" s="5" t="s">
        <v>30</v>
      </c>
      <c r="I1883" t="s">
        <v>13</v>
      </c>
      <c r="J1883" t="s">
        <v>13</v>
      </c>
    </row>
    <row r="1884" spans="1:11" x14ac:dyDescent="0.35">
      <c r="A1884" t="s">
        <v>5</v>
      </c>
      <c r="B1884" t="str">
        <f>"58186"</f>
        <v>58186</v>
      </c>
      <c r="C1884" t="str">
        <f>"002"</f>
        <v>002</v>
      </c>
      <c r="D1884">
        <v>2014</v>
      </c>
      <c r="E1884" s="3">
        <v>1302300</v>
      </c>
      <c r="F1884" s="3">
        <v>664400</v>
      </c>
      <c r="G1884" t="s">
        <v>11</v>
      </c>
      <c r="H1884" s="5" t="s">
        <v>30</v>
      </c>
      <c r="I1884" t="s">
        <v>13</v>
      </c>
      <c r="J1884" t="s">
        <v>13</v>
      </c>
    </row>
    <row r="1885" spans="1:11" x14ac:dyDescent="0.35">
      <c r="A1885" t="s">
        <v>31</v>
      </c>
      <c r="B1885" t="s">
        <v>13</v>
      </c>
      <c r="C1885" t="s">
        <v>7</v>
      </c>
      <c r="D1885" t="s">
        <v>8</v>
      </c>
      <c r="E1885" s="3">
        <v>3876300</v>
      </c>
      <c r="F1885" s="3">
        <v>3113500</v>
      </c>
      <c r="G1885" t="s">
        <v>11</v>
      </c>
      <c r="H1885" s="5">
        <v>26973800</v>
      </c>
      <c r="I1885" t="s">
        <v>13</v>
      </c>
      <c r="J1885" t="s">
        <v>13</v>
      </c>
      <c r="K1885">
        <v>11.54</v>
      </c>
    </row>
    <row r="1887" spans="1:11" x14ac:dyDescent="0.35">
      <c r="A1887" t="s">
        <v>389</v>
      </c>
      <c r="B1887" t="str">
        <f>"41286"</f>
        <v>41286</v>
      </c>
      <c r="C1887" t="str">
        <f>"008"</f>
        <v>008</v>
      </c>
      <c r="D1887">
        <v>2015</v>
      </c>
      <c r="E1887" s="3">
        <v>73919300</v>
      </c>
      <c r="F1887" s="3">
        <v>27908700</v>
      </c>
      <c r="G1887" t="s">
        <v>11</v>
      </c>
      <c r="H1887" s="5" t="s">
        <v>30</v>
      </c>
      <c r="I1887" t="s">
        <v>13</v>
      </c>
      <c r="J1887" t="s">
        <v>13</v>
      </c>
    </row>
    <row r="1888" spans="1:11" x14ac:dyDescent="0.35">
      <c r="A1888" t="s">
        <v>5</v>
      </c>
      <c r="B1888" t="str">
        <f>"41286"</f>
        <v>41286</v>
      </c>
      <c r="C1888" t="str">
        <f>"009"</f>
        <v>009</v>
      </c>
      <c r="D1888">
        <v>2018</v>
      </c>
      <c r="E1888" s="3">
        <v>58667200</v>
      </c>
      <c r="F1888" s="3">
        <v>13418100</v>
      </c>
      <c r="G1888" t="s">
        <v>11</v>
      </c>
      <c r="H1888" s="5" t="s">
        <v>30</v>
      </c>
      <c r="I1888" t="s">
        <v>13</v>
      </c>
      <c r="J1888" t="s">
        <v>13</v>
      </c>
    </row>
    <row r="1889" spans="1:11" x14ac:dyDescent="0.35">
      <c r="A1889" t="s">
        <v>5</v>
      </c>
      <c r="B1889" t="str">
        <f>"41286"</f>
        <v>41286</v>
      </c>
      <c r="C1889" t="str">
        <f>"010"</f>
        <v>010</v>
      </c>
      <c r="D1889">
        <v>2018</v>
      </c>
      <c r="E1889" s="3">
        <v>21865800</v>
      </c>
      <c r="F1889" s="3">
        <v>20208300</v>
      </c>
      <c r="G1889" t="s">
        <v>11</v>
      </c>
      <c r="H1889" s="5" t="s">
        <v>30</v>
      </c>
      <c r="I1889" t="s">
        <v>13</v>
      </c>
      <c r="J1889" t="s">
        <v>13</v>
      </c>
    </row>
    <row r="1890" spans="1:11" x14ac:dyDescent="0.35">
      <c r="A1890" t="s">
        <v>5</v>
      </c>
      <c r="B1890" t="str">
        <f>"41286"</f>
        <v>41286</v>
      </c>
      <c r="C1890" t="str">
        <f>"011"</f>
        <v>011</v>
      </c>
      <c r="D1890">
        <v>2021</v>
      </c>
      <c r="E1890" s="3">
        <v>3546600</v>
      </c>
      <c r="F1890" s="3">
        <v>501300</v>
      </c>
      <c r="G1890" t="s">
        <v>11</v>
      </c>
      <c r="H1890" s="5" t="s">
        <v>30</v>
      </c>
      <c r="I1890" t="s">
        <v>13</v>
      </c>
      <c r="J1890" t="s">
        <v>13</v>
      </c>
    </row>
    <row r="1891" spans="1:11" x14ac:dyDescent="0.35">
      <c r="A1891" t="s">
        <v>31</v>
      </c>
      <c r="B1891" t="s">
        <v>13</v>
      </c>
      <c r="C1891" t="s">
        <v>7</v>
      </c>
      <c r="D1891" t="s">
        <v>8</v>
      </c>
      <c r="E1891" s="3">
        <v>157998900</v>
      </c>
      <c r="F1891" s="3">
        <v>62036400</v>
      </c>
      <c r="G1891" t="s">
        <v>11</v>
      </c>
      <c r="H1891" s="5">
        <v>865609100</v>
      </c>
      <c r="I1891" t="s">
        <v>13</v>
      </c>
      <c r="J1891" t="s">
        <v>13</v>
      </c>
      <c r="K1891">
        <v>7.17</v>
      </c>
    </row>
    <row r="1893" spans="1:11" x14ac:dyDescent="0.35">
      <c r="A1893" t="s">
        <v>390</v>
      </c>
      <c r="B1893" t="str">
        <f>"35286"</f>
        <v>35286</v>
      </c>
      <c r="C1893" t="str">
        <f>"001"</f>
        <v>001</v>
      </c>
      <c r="D1893">
        <v>1995</v>
      </c>
      <c r="E1893" s="3">
        <v>7730300</v>
      </c>
      <c r="F1893" s="3">
        <v>6957900</v>
      </c>
      <c r="G1893" t="s">
        <v>11</v>
      </c>
      <c r="H1893" s="5" t="s">
        <v>30</v>
      </c>
      <c r="I1893" t="s">
        <v>13</v>
      </c>
      <c r="J1893" t="s">
        <v>13</v>
      </c>
    </row>
    <row r="1894" spans="1:11" x14ac:dyDescent="0.35">
      <c r="A1894" t="s">
        <v>5</v>
      </c>
      <c r="B1894" t="str">
        <f>"35286"</f>
        <v>35286</v>
      </c>
      <c r="C1894" t="str">
        <f>"002"</f>
        <v>002</v>
      </c>
      <c r="D1894">
        <v>1997</v>
      </c>
      <c r="E1894" s="3">
        <v>21185500</v>
      </c>
      <c r="F1894" s="3">
        <v>12899600</v>
      </c>
      <c r="G1894" t="s">
        <v>11</v>
      </c>
      <c r="H1894" s="5" t="s">
        <v>30</v>
      </c>
      <c r="I1894" t="s">
        <v>13</v>
      </c>
      <c r="J1894" t="s">
        <v>13</v>
      </c>
    </row>
    <row r="1895" spans="1:11" x14ac:dyDescent="0.35">
      <c r="A1895" t="s">
        <v>5</v>
      </c>
      <c r="B1895" t="str">
        <f>"35286"</f>
        <v>35286</v>
      </c>
      <c r="C1895" t="str">
        <f>"003"</f>
        <v>003</v>
      </c>
      <c r="D1895">
        <v>2008</v>
      </c>
      <c r="E1895" s="3">
        <v>2783200</v>
      </c>
      <c r="F1895" s="3">
        <v>2605000</v>
      </c>
      <c r="G1895" t="s">
        <v>11</v>
      </c>
      <c r="H1895" s="5" t="s">
        <v>30</v>
      </c>
      <c r="I1895" t="s">
        <v>13</v>
      </c>
      <c r="J1895" t="s">
        <v>13</v>
      </c>
    </row>
    <row r="1896" spans="1:11" x14ac:dyDescent="0.35">
      <c r="A1896" t="s">
        <v>5</v>
      </c>
      <c r="B1896" t="str">
        <f>"35286"</f>
        <v>35286</v>
      </c>
      <c r="C1896" t="str">
        <f>"004"</f>
        <v>004</v>
      </c>
      <c r="D1896">
        <v>2013</v>
      </c>
      <c r="E1896" s="3">
        <v>5996800</v>
      </c>
      <c r="F1896" s="3">
        <v>3944600</v>
      </c>
      <c r="G1896" t="s">
        <v>11</v>
      </c>
      <c r="H1896" s="5" t="s">
        <v>30</v>
      </c>
      <c r="I1896" t="s">
        <v>13</v>
      </c>
      <c r="J1896" t="s">
        <v>13</v>
      </c>
    </row>
    <row r="1897" spans="1:11" x14ac:dyDescent="0.35">
      <c r="A1897" t="s">
        <v>5</v>
      </c>
      <c r="B1897" t="str">
        <f>"35286"</f>
        <v>35286</v>
      </c>
      <c r="C1897" t="str">
        <f>"005"</f>
        <v>005</v>
      </c>
      <c r="D1897">
        <v>2015</v>
      </c>
      <c r="E1897" s="3">
        <v>660800</v>
      </c>
      <c r="F1897" s="3">
        <v>50600</v>
      </c>
      <c r="G1897" t="s">
        <v>11</v>
      </c>
      <c r="H1897" s="5" t="s">
        <v>30</v>
      </c>
      <c r="I1897" t="s">
        <v>13</v>
      </c>
      <c r="J1897" t="s">
        <v>13</v>
      </c>
    </row>
    <row r="1898" spans="1:11" x14ac:dyDescent="0.35">
      <c r="A1898" t="s">
        <v>31</v>
      </c>
      <c r="B1898" t="s">
        <v>13</v>
      </c>
      <c r="C1898" t="s">
        <v>7</v>
      </c>
      <c r="D1898" t="s">
        <v>8</v>
      </c>
      <c r="E1898" s="3">
        <v>38356600</v>
      </c>
      <c r="F1898" s="3">
        <v>26457700</v>
      </c>
      <c r="G1898" t="s">
        <v>11</v>
      </c>
      <c r="H1898" s="5">
        <v>294569700</v>
      </c>
      <c r="I1898" t="s">
        <v>13</v>
      </c>
      <c r="J1898" t="s">
        <v>13</v>
      </c>
      <c r="K1898">
        <v>8.98</v>
      </c>
    </row>
    <row r="1900" spans="1:11" x14ac:dyDescent="0.35">
      <c r="A1900" t="s">
        <v>391</v>
      </c>
      <c r="B1900" t="str">
        <f>"61186"</f>
        <v>61186</v>
      </c>
      <c r="C1900" t="str">
        <f>"001"</f>
        <v>001</v>
      </c>
      <c r="D1900">
        <v>1997</v>
      </c>
      <c r="E1900" s="3">
        <v>6174700</v>
      </c>
      <c r="F1900" s="3">
        <v>4171300</v>
      </c>
      <c r="G1900" t="s">
        <v>11</v>
      </c>
      <c r="H1900" s="5" t="s">
        <v>30</v>
      </c>
      <c r="I1900" t="s">
        <v>13</v>
      </c>
      <c r="J1900" t="s">
        <v>13</v>
      </c>
    </row>
    <row r="1901" spans="1:11" x14ac:dyDescent="0.35">
      <c r="A1901" t="s">
        <v>31</v>
      </c>
      <c r="B1901" t="s">
        <v>13</v>
      </c>
      <c r="C1901" t="s">
        <v>7</v>
      </c>
      <c r="D1901" t="s">
        <v>8</v>
      </c>
      <c r="E1901" s="3">
        <v>6174700</v>
      </c>
      <c r="F1901" s="3">
        <v>4171300</v>
      </c>
      <c r="G1901" t="s">
        <v>11</v>
      </c>
      <c r="H1901" s="5">
        <v>181792500</v>
      </c>
      <c r="I1901" t="s">
        <v>13</v>
      </c>
      <c r="J1901" t="s">
        <v>13</v>
      </c>
      <c r="K1901">
        <v>2.29</v>
      </c>
    </row>
    <row r="1903" spans="1:11" x14ac:dyDescent="0.35">
      <c r="A1903" t="s">
        <v>392</v>
      </c>
      <c r="B1903" t="str">
        <f>"48168"</f>
        <v>48168</v>
      </c>
      <c r="C1903" t="str">
        <f>"003"</f>
        <v>003</v>
      </c>
      <c r="D1903">
        <v>2009</v>
      </c>
      <c r="E1903" s="3">
        <v>14106700</v>
      </c>
      <c r="F1903" s="3">
        <v>9884200</v>
      </c>
      <c r="G1903" t="s">
        <v>11</v>
      </c>
      <c r="H1903" s="5" t="s">
        <v>30</v>
      </c>
      <c r="I1903" t="s">
        <v>13</v>
      </c>
      <c r="J1903" t="s">
        <v>13</v>
      </c>
    </row>
    <row r="1904" spans="1:11" x14ac:dyDescent="0.35">
      <c r="A1904" t="s">
        <v>5</v>
      </c>
      <c r="B1904" t="str">
        <f>"03186"</f>
        <v>03186</v>
      </c>
      <c r="C1904" t="str">
        <f>"003"</f>
        <v>003</v>
      </c>
      <c r="D1904">
        <v>2009</v>
      </c>
      <c r="E1904" s="3">
        <v>113600</v>
      </c>
      <c r="F1904" s="3">
        <v>10900</v>
      </c>
      <c r="G1904" t="s">
        <v>11</v>
      </c>
      <c r="H1904" s="5" t="s">
        <v>30</v>
      </c>
      <c r="I1904" t="s">
        <v>13</v>
      </c>
      <c r="J1904" t="s">
        <v>13</v>
      </c>
    </row>
    <row r="1905" spans="1:11" x14ac:dyDescent="0.35">
      <c r="A1905" t="s">
        <v>31</v>
      </c>
      <c r="B1905" t="s">
        <v>13</v>
      </c>
      <c r="C1905" t="s">
        <v>7</v>
      </c>
      <c r="D1905" t="s">
        <v>8</v>
      </c>
      <c r="E1905" s="3">
        <v>14220300</v>
      </c>
      <c r="F1905" s="3">
        <v>9895100</v>
      </c>
      <c r="G1905" t="s">
        <v>11</v>
      </c>
      <c r="H1905" s="5">
        <v>109222200</v>
      </c>
      <c r="I1905" t="s">
        <v>13</v>
      </c>
      <c r="J1905" t="s">
        <v>13</v>
      </c>
      <c r="K1905">
        <v>9.06</v>
      </c>
    </row>
    <row r="1907" spans="1:11" x14ac:dyDescent="0.35">
      <c r="A1907" t="s">
        <v>393</v>
      </c>
      <c r="B1907" t="str">
        <f>"30186"</f>
        <v>30186</v>
      </c>
      <c r="C1907" t="str">
        <f>"001"</f>
        <v>001</v>
      </c>
      <c r="D1907">
        <v>2007</v>
      </c>
      <c r="E1907" s="3">
        <v>57830000</v>
      </c>
      <c r="F1907" s="3">
        <v>13785600</v>
      </c>
      <c r="G1907" t="s">
        <v>11</v>
      </c>
      <c r="H1907" s="5" t="s">
        <v>30</v>
      </c>
      <c r="I1907" t="s">
        <v>13</v>
      </c>
      <c r="J1907" t="s">
        <v>13</v>
      </c>
    </row>
    <row r="1908" spans="1:11" x14ac:dyDescent="0.35">
      <c r="A1908" t="s">
        <v>31</v>
      </c>
      <c r="B1908" t="s">
        <v>13</v>
      </c>
      <c r="C1908" t="s">
        <v>7</v>
      </c>
      <c r="D1908" t="s">
        <v>8</v>
      </c>
      <c r="E1908" s="3">
        <v>57830000</v>
      </c>
      <c r="F1908" s="3">
        <v>13785600</v>
      </c>
      <c r="G1908" t="s">
        <v>11</v>
      </c>
      <c r="H1908" s="5">
        <v>1177824900</v>
      </c>
      <c r="I1908" t="s">
        <v>13</v>
      </c>
      <c r="J1908" t="s">
        <v>13</v>
      </c>
      <c r="K1908">
        <v>1.17</v>
      </c>
    </row>
    <row r="1910" spans="1:11" x14ac:dyDescent="0.35">
      <c r="A1910" t="s">
        <v>394</v>
      </c>
      <c r="B1910" t="str">
        <f t="shared" ref="B1910:B1920" si="40">"36286"</f>
        <v>36286</v>
      </c>
      <c r="C1910" t="str">
        <f>"006"</f>
        <v>006</v>
      </c>
      <c r="D1910">
        <v>2000</v>
      </c>
      <c r="E1910" s="3">
        <v>1170000</v>
      </c>
      <c r="F1910" s="3">
        <v>1170000</v>
      </c>
      <c r="G1910" t="s">
        <v>11</v>
      </c>
      <c r="H1910" s="5" t="s">
        <v>30</v>
      </c>
      <c r="I1910" t="s">
        <v>13</v>
      </c>
      <c r="J1910" t="s">
        <v>13</v>
      </c>
    </row>
    <row r="1911" spans="1:11" x14ac:dyDescent="0.35">
      <c r="A1911" t="s">
        <v>5</v>
      </c>
      <c r="B1911" t="str">
        <f t="shared" si="40"/>
        <v>36286</v>
      </c>
      <c r="C1911" t="str">
        <f>"007"</f>
        <v>007</v>
      </c>
      <c r="D1911">
        <v>2001</v>
      </c>
      <c r="E1911" s="3">
        <v>3843300</v>
      </c>
      <c r="F1911" s="3">
        <v>3843300</v>
      </c>
      <c r="G1911" t="s">
        <v>11</v>
      </c>
      <c r="H1911" s="5" t="s">
        <v>30</v>
      </c>
      <c r="I1911" t="s">
        <v>13</v>
      </c>
      <c r="J1911" t="s">
        <v>13</v>
      </c>
    </row>
    <row r="1912" spans="1:11" x14ac:dyDescent="0.35">
      <c r="A1912" t="s">
        <v>5</v>
      </c>
      <c r="B1912" t="str">
        <f t="shared" si="40"/>
        <v>36286</v>
      </c>
      <c r="C1912" t="str">
        <f>"008"</f>
        <v>008</v>
      </c>
      <c r="D1912">
        <v>2002</v>
      </c>
      <c r="E1912" s="3">
        <v>11485200</v>
      </c>
      <c r="F1912" s="3">
        <v>11485200</v>
      </c>
      <c r="G1912" t="s">
        <v>11</v>
      </c>
      <c r="H1912" s="5" t="s">
        <v>30</v>
      </c>
      <c r="I1912" t="s">
        <v>13</v>
      </c>
      <c r="J1912" t="s">
        <v>13</v>
      </c>
    </row>
    <row r="1913" spans="1:11" x14ac:dyDescent="0.35">
      <c r="A1913" t="s">
        <v>5</v>
      </c>
      <c r="B1913" t="str">
        <f t="shared" si="40"/>
        <v>36286</v>
      </c>
      <c r="C1913" t="str">
        <f>"009"</f>
        <v>009</v>
      </c>
      <c r="D1913">
        <v>2003</v>
      </c>
      <c r="E1913" s="3">
        <v>9427500</v>
      </c>
      <c r="F1913" s="3">
        <v>9416700</v>
      </c>
      <c r="G1913" t="s">
        <v>11</v>
      </c>
      <c r="H1913" s="5" t="s">
        <v>30</v>
      </c>
      <c r="I1913" t="s">
        <v>13</v>
      </c>
      <c r="J1913" t="s">
        <v>13</v>
      </c>
    </row>
    <row r="1914" spans="1:11" x14ac:dyDescent="0.35">
      <c r="A1914" t="s">
        <v>5</v>
      </c>
      <c r="B1914" t="str">
        <f t="shared" si="40"/>
        <v>36286</v>
      </c>
      <c r="C1914" t="str">
        <f>"010"</f>
        <v>010</v>
      </c>
      <c r="D1914">
        <v>2014</v>
      </c>
      <c r="E1914" s="3">
        <v>2619400</v>
      </c>
      <c r="F1914" s="3">
        <v>548700</v>
      </c>
      <c r="G1914" t="s">
        <v>11</v>
      </c>
      <c r="H1914" s="5" t="s">
        <v>30</v>
      </c>
      <c r="I1914" t="s">
        <v>13</v>
      </c>
      <c r="J1914" t="s">
        <v>13</v>
      </c>
    </row>
    <row r="1915" spans="1:11" x14ac:dyDescent="0.35">
      <c r="A1915" t="s">
        <v>5</v>
      </c>
      <c r="B1915" t="str">
        <f t="shared" si="40"/>
        <v>36286</v>
      </c>
      <c r="C1915" t="str">
        <f>"011"</f>
        <v>011</v>
      </c>
      <c r="D1915">
        <v>2016</v>
      </c>
      <c r="E1915" s="3">
        <v>2355600</v>
      </c>
      <c r="F1915" s="3">
        <v>1495200</v>
      </c>
      <c r="G1915" t="s">
        <v>11</v>
      </c>
      <c r="H1915" s="5" t="s">
        <v>30</v>
      </c>
      <c r="I1915" t="s">
        <v>13</v>
      </c>
      <c r="J1915" t="s">
        <v>13</v>
      </c>
    </row>
    <row r="1916" spans="1:11" x14ac:dyDescent="0.35">
      <c r="A1916" t="s">
        <v>5</v>
      </c>
      <c r="B1916" t="str">
        <f t="shared" si="40"/>
        <v>36286</v>
      </c>
      <c r="C1916" t="str">
        <f>"012"</f>
        <v>012</v>
      </c>
      <c r="D1916">
        <v>2018</v>
      </c>
      <c r="E1916" s="3">
        <v>7967400</v>
      </c>
      <c r="F1916" s="3">
        <v>5235300</v>
      </c>
      <c r="G1916" t="s">
        <v>11</v>
      </c>
      <c r="H1916" s="5" t="s">
        <v>30</v>
      </c>
      <c r="I1916" t="s">
        <v>13</v>
      </c>
      <c r="J1916" t="s">
        <v>13</v>
      </c>
    </row>
    <row r="1917" spans="1:11" x14ac:dyDescent="0.35">
      <c r="A1917" t="s">
        <v>5</v>
      </c>
      <c r="B1917" t="str">
        <f t="shared" si="40"/>
        <v>36286</v>
      </c>
      <c r="C1917" t="str">
        <f>"013"</f>
        <v>013</v>
      </c>
      <c r="D1917">
        <v>2020</v>
      </c>
      <c r="E1917" s="3">
        <v>6931200</v>
      </c>
      <c r="F1917" s="3">
        <v>1271100</v>
      </c>
      <c r="G1917" t="s">
        <v>11</v>
      </c>
      <c r="H1917" s="5" t="s">
        <v>30</v>
      </c>
      <c r="I1917" t="s">
        <v>13</v>
      </c>
      <c r="J1917" t="s">
        <v>13</v>
      </c>
    </row>
    <row r="1918" spans="1:11" x14ac:dyDescent="0.35">
      <c r="A1918" t="s">
        <v>5</v>
      </c>
      <c r="B1918" t="str">
        <f t="shared" si="40"/>
        <v>36286</v>
      </c>
      <c r="C1918" t="str">
        <f>"014"</f>
        <v>014</v>
      </c>
      <c r="D1918">
        <v>2021</v>
      </c>
      <c r="E1918" s="3">
        <v>8065600</v>
      </c>
      <c r="F1918" s="3">
        <v>495400</v>
      </c>
      <c r="G1918" t="s">
        <v>11</v>
      </c>
      <c r="H1918" s="5" t="s">
        <v>30</v>
      </c>
      <c r="I1918" t="s">
        <v>13</v>
      </c>
      <c r="J1918" t="s">
        <v>13</v>
      </c>
    </row>
    <row r="1919" spans="1:11" x14ac:dyDescent="0.35">
      <c r="A1919" t="s">
        <v>5</v>
      </c>
      <c r="B1919" t="str">
        <f t="shared" si="40"/>
        <v>36286</v>
      </c>
      <c r="C1919" t="str">
        <f>"015"</f>
        <v>015</v>
      </c>
      <c r="D1919">
        <v>2021</v>
      </c>
      <c r="E1919" s="3">
        <v>95200</v>
      </c>
      <c r="F1919" s="3">
        <v>14800</v>
      </c>
      <c r="G1919" t="s">
        <v>11</v>
      </c>
      <c r="H1919" s="5" t="s">
        <v>30</v>
      </c>
      <c r="I1919" t="s">
        <v>13</v>
      </c>
      <c r="J1919" t="s">
        <v>13</v>
      </c>
    </row>
    <row r="1920" spans="1:11" x14ac:dyDescent="0.35">
      <c r="A1920" t="s">
        <v>5</v>
      </c>
      <c r="B1920" t="str">
        <f t="shared" si="40"/>
        <v>36286</v>
      </c>
      <c r="C1920" t="str">
        <f>"016"</f>
        <v>016</v>
      </c>
      <c r="D1920">
        <v>2021</v>
      </c>
      <c r="E1920" s="3">
        <v>273800</v>
      </c>
      <c r="F1920" s="3">
        <v>42600</v>
      </c>
      <c r="G1920" t="s">
        <v>11</v>
      </c>
      <c r="H1920" s="5" t="s">
        <v>30</v>
      </c>
      <c r="I1920" t="s">
        <v>13</v>
      </c>
      <c r="J1920" t="s">
        <v>13</v>
      </c>
    </row>
    <row r="1921" spans="1:11" x14ac:dyDescent="0.35">
      <c r="A1921" t="s">
        <v>31</v>
      </c>
      <c r="B1921" t="s">
        <v>13</v>
      </c>
      <c r="C1921" t="s">
        <v>7</v>
      </c>
      <c r="D1921" t="s">
        <v>8</v>
      </c>
      <c r="E1921" s="3">
        <v>54234200</v>
      </c>
      <c r="F1921" s="3">
        <v>35018300</v>
      </c>
      <c r="G1921" t="s">
        <v>11</v>
      </c>
      <c r="H1921" s="5">
        <v>694764400</v>
      </c>
      <c r="I1921" t="s">
        <v>13</v>
      </c>
      <c r="J1921" t="s">
        <v>13</v>
      </c>
      <c r="K1921">
        <v>5.04</v>
      </c>
    </row>
    <row r="1923" spans="1:11" x14ac:dyDescent="0.35">
      <c r="A1923" t="s">
        <v>395</v>
      </c>
      <c r="B1923" t="str">
        <f>"51186"</f>
        <v>51186</v>
      </c>
      <c r="C1923" t="str">
        <f>"004"</f>
        <v>004</v>
      </c>
      <c r="D1923">
        <v>2006</v>
      </c>
      <c r="E1923" s="3">
        <v>44176900</v>
      </c>
      <c r="F1923" s="3">
        <v>12244200</v>
      </c>
      <c r="G1923" t="s">
        <v>11</v>
      </c>
      <c r="H1923" s="5" t="s">
        <v>30</v>
      </c>
      <c r="I1923" t="s">
        <v>13</v>
      </c>
      <c r="J1923" t="s">
        <v>13</v>
      </c>
    </row>
    <row r="1924" spans="1:11" x14ac:dyDescent="0.35">
      <c r="A1924" t="s">
        <v>5</v>
      </c>
      <c r="B1924" t="str">
        <f>"51186"</f>
        <v>51186</v>
      </c>
      <c r="C1924" t="str">
        <f>"005"</f>
        <v>005</v>
      </c>
      <c r="D1924">
        <v>2016</v>
      </c>
      <c r="E1924" s="3">
        <v>13344200</v>
      </c>
      <c r="F1924" s="3">
        <v>12879500</v>
      </c>
      <c r="G1924" t="s">
        <v>11</v>
      </c>
      <c r="H1924" s="5" t="s">
        <v>30</v>
      </c>
      <c r="I1924" t="s">
        <v>13</v>
      </c>
      <c r="J1924" t="s">
        <v>13</v>
      </c>
    </row>
    <row r="1925" spans="1:11" x14ac:dyDescent="0.35">
      <c r="A1925" t="s">
        <v>5</v>
      </c>
      <c r="B1925" t="str">
        <f>"51186"</f>
        <v>51186</v>
      </c>
      <c r="C1925" t="str">
        <f>"006"</f>
        <v>006</v>
      </c>
      <c r="D1925">
        <v>2019</v>
      </c>
      <c r="E1925" s="3">
        <v>51635500</v>
      </c>
      <c r="F1925" s="3">
        <v>37700100</v>
      </c>
      <c r="G1925" t="s">
        <v>11</v>
      </c>
      <c r="H1925" s="5" t="s">
        <v>30</v>
      </c>
      <c r="I1925" t="s">
        <v>13</v>
      </c>
      <c r="J1925" t="s">
        <v>13</v>
      </c>
    </row>
    <row r="1926" spans="1:11" x14ac:dyDescent="0.35">
      <c r="A1926" t="s">
        <v>5</v>
      </c>
      <c r="B1926" t="str">
        <f>"51186"</f>
        <v>51186</v>
      </c>
      <c r="C1926" t="str">
        <f>"007"</f>
        <v>007</v>
      </c>
      <c r="D1926">
        <v>2021</v>
      </c>
      <c r="E1926" s="3">
        <v>43709700</v>
      </c>
      <c r="F1926" s="3">
        <v>7381600</v>
      </c>
      <c r="G1926" t="s">
        <v>11</v>
      </c>
      <c r="H1926" s="5" t="s">
        <v>30</v>
      </c>
      <c r="I1926" t="s">
        <v>13</v>
      </c>
      <c r="J1926" t="s">
        <v>13</v>
      </c>
    </row>
    <row r="1927" spans="1:11" x14ac:dyDescent="0.35">
      <c r="A1927" t="s">
        <v>31</v>
      </c>
      <c r="B1927" t="s">
        <v>13</v>
      </c>
      <c r="C1927" t="s">
        <v>7</v>
      </c>
      <c r="D1927" t="s">
        <v>8</v>
      </c>
      <c r="E1927" s="3">
        <v>152866300</v>
      </c>
      <c r="F1927" s="3">
        <v>70205400</v>
      </c>
      <c r="G1927" t="s">
        <v>11</v>
      </c>
      <c r="H1927" s="5">
        <v>504610300</v>
      </c>
      <c r="I1927" t="s">
        <v>13</v>
      </c>
      <c r="J1927" t="s">
        <v>13</v>
      </c>
      <c r="K1927">
        <v>13.91</v>
      </c>
    </row>
    <row r="1929" spans="1:11" x14ac:dyDescent="0.35">
      <c r="A1929" t="s">
        <v>396</v>
      </c>
      <c r="B1929" t="str">
        <f>"37186"</f>
        <v>37186</v>
      </c>
      <c r="C1929" t="str">
        <f>"001"</f>
        <v>001</v>
      </c>
      <c r="D1929">
        <v>1998</v>
      </c>
      <c r="E1929" s="3">
        <v>338000</v>
      </c>
      <c r="F1929" s="3">
        <v>142000</v>
      </c>
      <c r="G1929" t="s">
        <v>11</v>
      </c>
      <c r="H1929" s="5" t="s">
        <v>30</v>
      </c>
      <c r="I1929" t="s">
        <v>13</v>
      </c>
      <c r="J1929" t="s">
        <v>13</v>
      </c>
    </row>
    <row r="1930" spans="1:11" x14ac:dyDescent="0.35">
      <c r="A1930" t="s">
        <v>5</v>
      </c>
      <c r="B1930" t="str">
        <f>"10186"</f>
        <v>10186</v>
      </c>
      <c r="C1930" t="str">
        <f>"001"</f>
        <v>001</v>
      </c>
      <c r="D1930">
        <v>1998</v>
      </c>
      <c r="E1930" s="3">
        <v>1126900</v>
      </c>
      <c r="F1930" s="3">
        <v>1007400</v>
      </c>
      <c r="G1930" t="s">
        <v>11</v>
      </c>
      <c r="H1930" s="5" t="s">
        <v>30</v>
      </c>
      <c r="I1930" t="s">
        <v>13</v>
      </c>
      <c r="J1930" t="s">
        <v>13</v>
      </c>
    </row>
    <row r="1931" spans="1:11" x14ac:dyDescent="0.35">
      <c r="A1931" t="s">
        <v>31</v>
      </c>
      <c r="B1931" t="s">
        <v>13</v>
      </c>
      <c r="C1931" t="s">
        <v>7</v>
      </c>
      <c r="D1931" t="s">
        <v>8</v>
      </c>
      <c r="E1931" s="3">
        <v>1464900</v>
      </c>
      <c r="F1931" s="3">
        <v>1149400</v>
      </c>
      <c r="G1931" t="s">
        <v>11</v>
      </c>
      <c r="H1931" s="5">
        <v>16223000</v>
      </c>
      <c r="I1931" t="s">
        <v>13</v>
      </c>
      <c r="J1931" t="s">
        <v>13</v>
      </c>
      <c r="K1931">
        <v>7.09</v>
      </c>
    </row>
    <row r="1933" spans="1:11" x14ac:dyDescent="0.35">
      <c r="A1933" t="s">
        <v>397</v>
      </c>
      <c r="B1933" t="str">
        <f>"36186"</f>
        <v>36186</v>
      </c>
      <c r="C1933" t="str">
        <f>"002"</f>
        <v>002</v>
      </c>
      <c r="D1933">
        <v>2017</v>
      </c>
      <c r="E1933" s="3">
        <v>6432000</v>
      </c>
      <c r="F1933" s="3">
        <v>3101800</v>
      </c>
      <c r="G1933" t="s">
        <v>11</v>
      </c>
      <c r="H1933" s="5" t="s">
        <v>30</v>
      </c>
      <c r="I1933" t="s">
        <v>13</v>
      </c>
      <c r="J1933" t="s">
        <v>13</v>
      </c>
    </row>
    <row r="1934" spans="1:11" x14ac:dyDescent="0.35">
      <c r="A1934" t="s">
        <v>31</v>
      </c>
      <c r="B1934" t="s">
        <v>13</v>
      </c>
      <c r="C1934" t="s">
        <v>7</v>
      </c>
      <c r="D1934" t="s">
        <v>8</v>
      </c>
      <c r="E1934" s="3">
        <v>6432000</v>
      </c>
      <c r="F1934" s="3">
        <v>3101800</v>
      </c>
      <c r="G1934" t="s">
        <v>11</v>
      </c>
      <c r="H1934" s="5">
        <v>73034700</v>
      </c>
      <c r="I1934" t="s">
        <v>13</v>
      </c>
      <c r="J1934" t="s">
        <v>13</v>
      </c>
      <c r="K1934">
        <v>4.25</v>
      </c>
    </row>
    <row r="1936" spans="1:11" x14ac:dyDescent="0.35">
      <c r="A1936" t="s">
        <v>398</v>
      </c>
      <c r="B1936" t="str">
        <f>"67186"</f>
        <v>67186</v>
      </c>
      <c r="C1936" t="str">
        <f>"001"</f>
        <v>001</v>
      </c>
      <c r="D1936">
        <v>2020</v>
      </c>
      <c r="E1936" s="3">
        <v>0</v>
      </c>
      <c r="F1936" s="3">
        <v>0</v>
      </c>
      <c r="G1936" t="s">
        <v>11</v>
      </c>
      <c r="H1936" s="5" t="s">
        <v>30</v>
      </c>
      <c r="I1936" t="s">
        <v>13</v>
      </c>
      <c r="J1936" t="s">
        <v>13</v>
      </c>
    </row>
    <row r="1937" spans="1:11" x14ac:dyDescent="0.35">
      <c r="A1937" t="s">
        <v>31</v>
      </c>
      <c r="B1937" t="s">
        <v>13</v>
      </c>
      <c r="C1937" t="s">
        <v>7</v>
      </c>
      <c r="D1937" t="s">
        <v>8</v>
      </c>
      <c r="E1937" s="3">
        <v>0</v>
      </c>
      <c r="F1937" s="3">
        <v>0</v>
      </c>
      <c r="G1937" t="s">
        <v>11</v>
      </c>
      <c r="H1937" s="5">
        <v>1275990100</v>
      </c>
      <c r="I1937" t="s">
        <v>13</v>
      </c>
      <c r="J1937" t="s">
        <v>13</v>
      </c>
      <c r="K1937">
        <v>0</v>
      </c>
    </row>
    <row r="1939" spans="1:11" x14ac:dyDescent="0.35">
      <c r="A1939" t="s">
        <v>399</v>
      </c>
      <c r="B1939" t="str">
        <f>"13286"</f>
        <v>13286</v>
      </c>
      <c r="C1939" t="str">
        <f>"004"</f>
        <v>004</v>
      </c>
      <c r="D1939">
        <v>1996</v>
      </c>
      <c r="E1939" s="3">
        <v>48001600</v>
      </c>
      <c r="F1939" s="3">
        <v>39159200</v>
      </c>
      <c r="G1939" t="s">
        <v>11</v>
      </c>
      <c r="H1939" s="5" t="s">
        <v>30</v>
      </c>
      <c r="I1939" t="s">
        <v>13</v>
      </c>
      <c r="J1939" t="s">
        <v>13</v>
      </c>
    </row>
    <row r="1940" spans="1:11" x14ac:dyDescent="0.35">
      <c r="A1940" t="s">
        <v>5</v>
      </c>
      <c r="B1940" t="str">
        <f>"13286"</f>
        <v>13286</v>
      </c>
      <c r="C1940" t="str">
        <f>"008"</f>
        <v>008</v>
      </c>
      <c r="D1940">
        <v>2017</v>
      </c>
      <c r="E1940" s="3">
        <v>45029400</v>
      </c>
      <c r="F1940" s="3">
        <v>15864700</v>
      </c>
      <c r="G1940" t="s">
        <v>11</v>
      </c>
      <c r="H1940" s="5" t="s">
        <v>30</v>
      </c>
      <c r="I1940" t="s">
        <v>13</v>
      </c>
      <c r="J1940" t="s">
        <v>13</v>
      </c>
    </row>
    <row r="1941" spans="1:11" x14ac:dyDescent="0.35">
      <c r="A1941" t="s">
        <v>5</v>
      </c>
      <c r="B1941" t="str">
        <f>"13286"</f>
        <v>13286</v>
      </c>
      <c r="C1941" t="str">
        <f>"009"</f>
        <v>009</v>
      </c>
      <c r="D1941">
        <v>2017</v>
      </c>
      <c r="E1941" s="3">
        <v>14657600</v>
      </c>
      <c r="F1941" s="3">
        <v>6794300</v>
      </c>
      <c r="G1941" t="s">
        <v>11</v>
      </c>
      <c r="H1941" s="5" t="s">
        <v>30</v>
      </c>
      <c r="I1941" t="s">
        <v>13</v>
      </c>
      <c r="J1941" t="s">
        <v>13</v>
      </c>
    </row>
    <row r="1942" spans="1:11" x14ac:dyDescent="0.35">
      <c r="A1942" t="s">
        <v>5</v>
      </c>
      <c r="B1942" t="str">
        <f>"13286"</f>
        <v>13286</v>
      </c>
      <c r="C1942" t="str">
        <f>"010"</f>
        <v>010</v>
      </c>
      <c r="D1942">
        <v>2020</v>
      </c>
      <c r="E1942" s="3">
        <v>8610300</v>
      </c>
      <c r="F1942" s="3">
        <v>6815000</v>
      </c>
      <c r="G1942" t="s">
        <v>11</v>
      </c>
      <c r="H1942" s="5" t="s">
        <v>30</v>
      </c>
      <c r="I1942" t="s">
        <v>13</v>
      </c>
      <c r="J1942" t="s">
        <v>13</v>
      </c>
    </row>
    <row r="1943" spans="1:11" x14ac:dyDescent="0.35">
      <c r="A1943" t="s">
        <v>31</v>
      </c>
      <c r="B1943" t="s">
        <v>13</v>
      </c>
      <c r="C1943" t="s">
        <v>7</v>
      </c>
      <c r="D1943" t="s">
        <v>8</v>
      </c>
      <c r="E1943" s="3">
        <v>116298900</v>
      </c>
      <c r="F1943" s="3">
        <v>68633200</v>
      </c>
      <c r="G1943" t="s">
        <v>11</v>
      </c>
      <c r="H1943" s="5">
        <v>3629798500</v>
      </c>
      <c r="I1943" t="s">
        <v>13</v>
      </c>
      <c r="J1943" t="s">
        <v>13</v>
      </c>
      <c r="K1943">
        <v>1.89</v>
      </c>
    </row>
    <row r="1945" spans="1:11" x14ac:dyDescent="0.35">
      <c r="A1945" t="s">
        <v>400</v>
      </c>
      <c r="B1945" t="str">
        <f>"71186"</f>
        <v>71186</v>
      </c>
      <c r="C1945" t="str">
        <f>"001"</f>
        <v>001</v>
      </c>
      <c r="D1945">
        <v>2006</v>
      </c>
      <c r="E1945" s="3">
        <v>4242200</v>
      </c>
      <c r="F1945" s="3">
        <v>1604900</v>
      </c>
      <c r="G1945" t="s">
        <v>11</v>
      </c>
      <c r="H1945" s="5" t="s">
        <v>30</v>
      </c>
      <c r="I1945" t="s">
        <v>13</v>
      </c>
      <c r="J1945" t="s">
        <v>13</v>
      </c>
    </row>
    <row r="1946" spans="1:11" x14ac:dyDescent="0.35">
      <c r="A1946" t="s">
        <v>31</v>
      </c>
      <c r="B1946" t="s">
        <v>13</v>
      </c>
      <c r="C1946" t="s">
        <v>7</v>
      </c>
      <c r="D1946" t="s">
        <v>8</v>
      </c>
      <c r="E1946" s="3">
        <v>4242200</v>
      </c>
      <c r="F1946" s="3">
        <v>1604900</v>
      </c>
      <c r="G1946" t="s">
        <v>11</v>
      </c>
      <c r="H1946" s="5">
        <v>34719300</v>
      </c>
      <c r="I1946" t="s">
        <v>13</v>
      </c>
      <c r="J1946" t="s">
        <v>13</v>
      </c>
      <c r="K1946">
        <v>4.62</v>
      </c>
    </row>
    <row r="1948" spans="1:11" x14ac:dyDescent="0.35">
      <c r="A1948" t="s">
        <v>401</v>
      </c>
      <c r="B1948" t="str">
        <f>"52186"</f>
        <v>52186</v>
      </c>
      <c r="C1948" t="str">
        <f>"003"</f>
        <v>003</v>
      </c>
      <c r="D1948">
        <v>1995</v>
      </c>
      <c r="E1948" s="3">
        <v>1347400</v>
      </c>
      <c r="F1948" s="3">
        <v>686500</v>
      </c>
      <c r="G1948" t="s">
        <v>11</v>
      </c>
      <c r="H1948" s="5" t="s">
        <v>30</v>
      </c>
      <c r="I1948" t="s">
        <v>13</v>
      </c>
      <c r="J1948" t="s">
        <v>13</v>
      </c>
    </row>
    <row r="1949" spans="1:11" x14ac:dyDescent="0.35">
      <c r="A1949" t="s">
        <v>5</v>
      </c>
      <c r="B1949" t="str">
        <f>"62186"</f>
        <v>62186</v>
      </c>
      <c r="C1949" t="str">
        <f>"004"</f>
        <v>004</v>
      </c>
      <c r="D1949">
        <v>2007</v>
      </c>
      <c r="E1949" s="3">
        <v>7809700</v>
      </c>
      <c r="F1949" s="3">
        <v>7490200</v>
      </c>
      <c r="G1949" t="s">
        <v>11</v>
      </c>
      <c r="H1949" s="5" t="s">
        <v>30</v>
      </c>
      <c r="I1949" t="s">
        <v>13</v>
      </c>
      <c r="J1949" t="s">
        <v>13</v>
      </c>
    </row>
    <row r="1950" spans="1:11" x14ac:dyDescent="0.35">
      <c r="A1950" t="s">
        <v>5</v>
      </c>
      <c r="B1950" t="str">
        <f>"62186"</f>
        <v>62186</v>
      </c>
      <c r="C1950" t="str">
        <f>"005"</f>
        <v>005</v>
      </c>
      <c r="D1950">
        <v>2019</v>
      </c>
      <c r="E1950" s="3">
        <v>1558400</v>
      </c>
      <c r="F1950" s="3">
        <v>498500</v>
      </c>
      <c r="G1950" t="s">
        <v>11</v>
      </c>
      <c r="H1950" s="5" t="s">
        <v>30</v>
      </c>
      <c r="I1950" t="s">
        <v>13</v>
      </c>
      <c r="J1950" t="s">
        <v>13</v>
      </c>
    </row>
    <row r="1951" spans="1:11" x14ac:dyDescent="0.35">
      <c r="A1951" t="s">
        <v>5</v>
      </c>
      <c r="B1951" t="str">
        <f>"52186"</f>
        <v>52186</v>
      </c>
      <c r="C1951" t="str">
        <f>"006"</f>
        <v>006</v>
      </c>
      <c r="D1951">
        <v>2019</v>
      </c>
      <c r="E1951" s="3">
        <v>774200</v>
      </c>
      <c r="F1951" s="3">
        <v>188200</v>
      </c>
      <c r="G1951" t="s">
        <v>11</v>
      </c>
      <c r="H1951" s="5" t="s">
        <v>30</v>
      </c>
      <c r="I1951" t="s">
        <v>13</v>
      </c>
      <c r="J1951" t="s">
        <v>13</v>
      </c>
    </row>
    <row r="1952" spans="1:11" x14ac:dyDescent="0.35">
      <c r="A1952" t="s">
        <v>31</v>
      </c>
      <c r="B1952" t="s">
        <v>13</v>
      </c>
      <c r="C1952" t="s">
        <v>7</v>
      </c>
      <c r="D1952" t="s">
        <v>8</v>
      </c>
      <c r="E1952" s="3">
        <v>11489700</v>
      </c>
      <c r="F1952" s="3">
        <v>8863400</v>
      </c>
      <c r="G1952" t="s">
        <v>11</v>
      </c>
      <c r="H1952" s="5">
        <v>36112900</v>
      </c>
      <c r="I1952" t="s">
        <v>13</v>
      </c>
      <c r="J1952" t="s">
        <v>13</v>
      </c>
      <c r="K1952">
        <v>24.54</v>
      </c>
    </row>
    <row r="1954" spans="1:11" x14ac:dyDescent="0.35">
      <c r="A1954" t="s">
        <v>402</v>
      </c>
      <c r="B1954" t="str">
        <f>"62286"</f>
        <v>62286</v>
      </c>
      <c r="C1954" t="str">
        <f>"003"</f>
        <v>003</v>
      </c>
      <c r="D1954">
        <v>1995</v>
      </c>
      <c r="E1954" s="3">
        <v>20378400</v>
      </c>
      <c r="F1954" s="3">
        <v>16567800</v>
      </c>
      <c r="G1954" t="s">
        <v>11</v>
      </c>
      <c r="H1954" s="5" t="s">
        <v>30</v>
      </c>
      <c r="I1954" t="s">
        <v>13</v>
      </c>
      <c r="J1954" t="s">
        <v>13</v>
      </c>
    </row>
    <row r="1955" spans="1:11" x14ac:dyDescent="0.35">
      <c r="A1955" t="s">
        <v>5</v>
      </c>
      <c r="B1955" t="str">
        <f>"62286"</f>
        <v>62286</v>
      </c>
      <c r="C1955" t="str">
        <f>"004"</f>
        <v>004</v>
      </c>
      <c r="D1955">
        <v>1999</v>
      </c>
      <c r="E1955" s="3">
        <v>4043700</v>
      </c>
      <c r="F1955" s="3">
        <v>3750700</v>
      </c>
      <c r="G1955" t="s">
        <v>11</v>
      </c>
      <c r="H1955" s="5" t="s">
        <v>30</v>
      </c>
      <c r="I1955" t="s">
        <v>13</v>
      </c>
      <c r="J1955" t="s">
        <v>13</v>
      </c>
    </row>
    <row r="1956" spans="1:11" x14ac:dyDescent="0.35">
      <c r="A1956" t="s">
        <v>5</v>
      </c>
      <c r="B1956" t="str">
        <f>"62286"</f>
        <v>62286</v>
      </c>
      <c r="C1956" t="str">
        <f>"005"</f>
        <v>005</v>
      </c>
      <c r="D1956">
        <v>2006</v>
      </c>
      <c r="E1956" s="3">
        <v>3146700</v>
      </c>
      <c r="F1956" s="3">
        <v>2867100</v>
      </c>
      <c r="G1956" t="s">
        <v>11</v>
      </c>
      <c r="H1956" s="5" t="s">
        <v>30</v>
      </c>
      <c r="I1956" t="s">
        <v>13</v>
      </c>
      <c r="J1956" t="s">
        <v>13</v>
      </c>
    </row>
    <row r="1957" spans="1:11" x14ac:dyDescent="0.35">
      <c r="A1957" t="s">
        <v>5</v>
      </c>
      <c r="B1957" t="str">
        <f>"62286"</f>
        <v>62286</v>
      </c>
      <c r="C1957" t="str">
        <f>"006"</f>
        <v>006</v>
      </c>
      <c r="D1957">
        <v>2015</v>
      </c>
      <c r="E1957" s="3">
        <v>25827000</v>
      </c>
      <c r="F1957" s="3">
        <v>12802700</v>
      </c>
      <c r="G1957" t="s">
        <v>11</v>
      </c>
      <c r="H1957" s="5" t="s">
        <v>30</v>
      </c>
      <c r="I1957" t="s">
        <v>13</v>
      </c>
      <c r="J1957" t="s">
        <v>13</v>
      </c>
    </row>
    <row r="1958" spans="1:11" x14ac:dyDescent="0.35">
      <c r="A1958" t="s">
        <v>5</v>
      </c>
      <c r="B1958" t="str">
        <f>"62286"</f>
        <v>62286</v>
      </c>
      <c r="C1958" t="str">
        <f>"007"</f>
        <v>007</v>
      </c>
      <c r="D1958">
        <v>2019</v>
      </c>
      <c r="E1958" s="3">
        <v>13914900</v>
      </c>
      <c r="F1958" s="3">
        <v>8153600</v>
      </c>
      <c r="G1958" t="s">
        <v>11</v>
      </c>
      <c r="H1958" s="5" t="s">
        <v>30</v>
      </c>
      <c r="I1958" t="s">
        <v>13</v>
      </c>
      <c r="J1958" t="s">
        <v>13</v>
      </c>
    </row>
    <row r="1959" spans="1:11" x14ac:dyDescent="0.35">
      <c r="A1959" t="s">
        <v>31</v>
      </c>
      <c r="B1959" t="s">
        <v>13</v>
      </c>
      <c r="C1959" t="s">
        <v>7</v>
      </c>
      <c r="D1959" t="s">
        <v>8</v>
      </c>
      <c r="E1959" s="3">
        <v>67310700</v>
      </c>
      <c r="F1959" s="3">
        <v>44141900</v>
      </c>
      <c r="G1959" t="s">
        <v>11</v>
      </c>
      <c r="H1959" s="5">
        <v>388395700</v>
      </c>
      <c r="I1959" t="s">
        <v>13</v>
      </c>
      <c r="J1959" t="s">
        <v>13</v>
      </c>
      <c r="K1959">
        <v>11.37</v>
      </c>
    </row>
    <row r="1961" spans="1:11" x14ac:dyDescent="0.35">
      <c r="A1961" t="s">
        <v>403</v>
      </c>
      <c r="B1961" t="str">
        <f>"67191"</f>
        <v>67191</v>
      </c>
      <c r="C1961" t="str">
        <f>"001"</f>
        <v>001</v>
      </c>
      <c r="D1961">
        <v>2006</v>
      </c>
      <c r="E1961" s="3">
        <v>68022700</v>
      </c>
      <c r="F1961" s="3">
        <v>43454400</v>
      </c>
      <c r="G1961" t="s">
        <v>11</v>
      </c>
      <c r="H1961" s="5" t="s">
        <v>30</v>
      </c>
      <c r="I1961" t="s">
        <v>13</v>
      </c>
      <c r="J1961" t="s">
        <v>13</v>
      </c>
    </row>
    <row r="1962" spans="1:11" x14ac:dyDescent="0.35">
      <c r="A1962" t="s">
        <v>31</v>
      </c>
      <c r="B1962" t="s">
        <v>13</v>
      </c>
      <c r="C1962" t="s">
        <v>7</v>
      </c>
      <c r="D1962" t="s">
        <v>8</v>
      </c>
      <c r="E1962" s="3">
        <v>68022700</v>
      </c>
      <c r="F1962" s="3">
        <v>43454400</v>
      </c>
      <c r="G1962" t="s">
        <v>11</v>
      </c>
      <c r="H1962" s="5">
        <v>507646500</v>
      </c>
      <c r="I1962" t="s">
        <v>13</v>
      </c>
      <c r="J1962" t="s">
        <v>13</v>
      </c>
      <c r="K1962">
        <v>8.56</v>
      </c>
    </row>
    <row r="1964" spans="1:11" x14ac:dyDescent="0.35">
      <c r="A1964" t="s">
        <v>404</v>
      </c>
      <c r="B1964" t="str">
        <f>"64191"</f>
        <v>64191</v>
      </c>
      <c r="C1964" t="str">
        <f>"001"</f>
        <v>001</v>
      </c>
      <c r="D1964">
        <v>2011</v>
      </c>
      <c r="E1964" s="3">
        <v>9572700</v>
      </c>
      <c r="F1964" s="3">
        <v>2608800</v>
      </c>
      <c r="G1964" t="s">
        <v>11</v>
      </c>
      <c r="H1964" s="5" t="s">
        <v>30</v>
      </c>
      <c r="I1964" t="s">
        <v>13</v>
      </c>
      <c r="J1964" t="s">
        <v>13</v>
      </c>
    </row>
    <row r="1965" spans="1:11" x14ac:dyDescent="0.35">
      <c r="A1965" t="s">
        <v>31</v>
      </c>
      <c r="B1965" t="s">
        <v>13</v>
      </c>
      <c r="C1965" t="s">
        <v>7</v>
      </c>
      <c r="D1965" t="s">
        <v>8</v>
      </c>
      <c r="E1965" s="3">
        <v>9572700</v>
      </c>
      <c r="F1965" s="3">
        <v>2608800</v>
      </c>
      <c r="G1965" t="s">
        <v>11</v>
      </c>
      <c r="H1965" s="5">
        <v>315202100</v>
      </c>
      <c r="I1965" t="s">
        <v>13</v>
      </c>
      <c r="J1965" t="s">
        <v>13</v>
      </c>
      <c r="K1965">
        <v>0.83</v>
      </c>
    </row>
    <row r="1967" spans="1:11" x14ac:dyDescent="0.35">
      <c r="A1967" t="s">
        <v>405</v>
      </c>
      <c r="B1967" t="str">
        <f>"41185"</f>
        <v>41185</v>
      </c>
      <c r="C1967" t="str">
        <f>"001"</f>
        <v>001</v>
      </c>
      <c r="D1967">
        <v>1998</v>
      </c>
      <c r="E1967" s="3">
        <v>64361400</v>
      </c>
      <c r="F1967" s="3">
        <v>56248000</v>
      </c>
      <c r="G1967" t="s">
        <v>11</v>
      </c>
      <c r="H1967" s="5" t="s">
        <v>30</v>
      </c>
      <c r="I1967" t="s">
        <v>13</v>
      </c>
      <c r="J1967" t="s">
        <v>13</v>
      </c>
    </row>
    <row r="1968" spans="1:11" x14ac:dyDescent="0.35">
      <c r="A1968" t="s">
        <v>31</v>
      </c>
      <c r="B1968" t="s">
        <v>13</v>
      </c>
      <c r="C1968" t="s">
        <v>7</v>
      </c>
      <c r="D1968" t="s">
        <v>8</v>
      </c>
      <c r="E1968" s="3">
        <v>64361400</v>
      </c>
      <c r="F1968" s="3">
        <v>56248000</v>
      </c>
      <c r="G1968" t="s">
        <v>11</v>
      </c>
      <c r="H1968" s="5">
        <v>75220800</v>
      </c>
      <c r="I1968" t="s">
        <v>13</v>
      </c>
      <c r="J1968" t="s">
        <v>13</v>
      </c>
      <c r="K1968">
        <v>74.78</v>
      </c>
    </row>
    <row r="1970" spans="1:11" x14ac:dyDescent="0.35">
      <c r="A1970" t="s">
        <v>406</v>
      </c>
      <c r="B1970" t="str">
        <f>"04291"</f>
        <v>04291</v>
      </c>
      <c r="C1970" t="str">
        <f>"002"</f>
        <v>002</v>
      </c>
      <c r="D1970">
        <v>1995</v>
      </c>
      <c r="E1970" s="3">
        <v>21362100</v>
      </c>
      <c r="F1970" s="3">
        <v>12220900</v>
      </c>
      <c r="G1970" t="s">
        <v>11</v>
      </c>
      <c r="H1970" s="5" t="s">
        <v>30</v>
      </c>
      <c r="I1970" t="s">
        <v>13</v>
      </c>
      <c r="J1970" t="s">
        <v>13</v>
      </c>
    </row>
    <row r="1971" spans="1:11" x14ac:dyDescent="0.35">
      <c r="A1971" t="s">
        <v>5</v>
      </c>
      <c r="B1971" t="str">
        <f>"04291"</f>
        <v>04291</v>
      </c>
      <c r="C1971" t="str">
        <f>"003"</f>
        <v>003</v>
      </c>
      <c r="D1971">
        <v>2015</v>
      </c>
      <c r="E1971" s="3">
        <v>12639100</v>
      </c>
      <c r="F1971" s="3">
        <v>2891300</v>
      </c>
      <c r="G1971" t="s">
        <v>11</v>
      </c>
      <c r="H1971" s="5" t="s">
        <v>30</v>
      </c>
      <c r="I1971" t="s">
        <v>13</v>
      </c>
      <c r="J1971" t="s">
        <v>13</v>
      </c>
    </row>
    <row r="1972" spans="1:11" x14ac:dyDescent="0.35">
      <c r="A1972" t="s">
        <v>31</v>
      </c>
      <c r="B1972" t="s">
        <v>13</v>
      </c>
      <c r="C1972" t="s">
        <v>7</v>
      </c>
      <c r="D1972" t="s">
        <v>8</v>
      </c>
      <c r="E1972" s="3">
        <v>34001200</v>
      </c>
      <c r="F1972" s="3">
        <v>15112200</v>
      </c>
      <c r="G1972" t="s">
        <v>11</v>
      </c>
      <c r="H1972" s="5">
        <v>154969400</v>
      </c>
      <c r="I1972" t="s">
        <v>13</v>
      </c>
      <c r="J1972" t="s">
        <v>13</v>
      </c>
      <c r="K1972">
        <v>9.75</v>
      </c>
    </row>
    <row r="1974" spans="1:11" x14ac:dyDescent="0.35">
      <c r="A1974" t="s">
        <v>407</v>
      </c>
      <c r="B1974" t="str">
        <f>"51191"</f>
        <v>51191</v>
      </c>
      <c r="C1974" t="str">
        <f>"002"</f>
        <v>002</v>
      </c>
      <c r="D1974">
        <v>2000</v>
      </c>
      <c r="E1974" s="3">
        <v>78574600</v>
      </c>
      <c r="F1974" s="3">
        <v>64787100</v>
      </c>
      <c r="G1974" t="s">
        <v>11</v>
      </c>
      <c r="H1974" s="5" t="s">
        <v>30</v>
      </c>
      <c r="I1974" t="s">
        <v>13</v>
      </c>
      <c r="J1974" t="s">
        <v>13</v>
      </c>
    </row>
    <row r="1975" spans="1:11" x14ac:dyDescent="0.35">
      <c r="A1975" t="s">
        <v>5</v>
      </c>
      <c r="B1975" t="str">
        <f>"51191"</f>
        <v>51191</v>
      </c>
      <c r="C1975" t="str">
        <f>"003"</f>
        <v>003</v>
      </c>
      <c r="D1975">
        <v>2019</v>
      </c>
      <c r="E1975" s="3">
        <v>43069900</v>
      </c>
      <c r="F1975" s="3">
        <v>31753300</v>
      </c>
      <c r="G1975" t="s">
        <v>11</v>
      </c>
      <c r="H1975" s="5" t="s">
        <v>30</v>
      </c>
      <c r="I1975" t="s">
        <v>13</v>
      </c>
      <c r="J1975" t="s">
        <v>13</v>
      </c>
    </row>
    <row r="1976" spans="1:11" x14ac:dyDescent="0.35">
      <c r="A1976" t="s">
        <v>5</v>
      </c>
      <c r="B1976" t="str">
        <f>"51191"</f>
        <v>51191</v>
      </c>
      <c r="C1976" t="str">
        <f>"004"</f>
        <v>004</v>
      </c>
      <c r="D1976">
        <v>2020</v>
      </c>
      <c r="E1976" s="3">
        <v>6564600</v>
      </c>
      <c r="F1976" s="3">
        <v>-585800</v>
      </c>
      <c r="G1976" t="s">
        <v>52</v>
      </c>
      <c r="H1976" s="5" t="s">
        <v>30</v>
      </c>
      <c r="I1976" t="s">
        <v>13</v>
      </c>
      <c r="J1976" t="s">
        <v>13</v>
      </c>
    </row>
    <row r="1977" spans="1:11" x14ac:dyDescent="0.35">
      <c r="A1977" t="s">
        <v>31</v>
      </c>
      <c r="B1977" t="s">
        <v>13</v>
      </c>
      <c r="C1977" t="s">
        <v>7</v>
      </c>
      <c r="D1977" t="s">
        <v>8</v>
      </c>
      <c r="E1977" s="3">
        <v>128209100</v>
      </c>
      <c r="F1977" s="3">
        <v>96540400</v>
      </c>
      <c r="G1977" t="s">
        <v>11</v>
      </c>
      <c r="H1977" s="5">
        <v>711597600</v>
      </c>
      <c r="I1977" t="s">
        <v>13</v>
      </c>
      <c r="J1977" t="s">
        <v>13</v>
      </c>
      <c r="K1977">
        <v>13.57</v>
      </c>
    </row>
    <row r="1979" spans="1:11" x14ac:dyDescent="0.35">
      <c r="A1979" t="s">
        <v>408</v>
      </c>
      <c r="B1979" t="str">
        <f>"28290"</f>
        <v>28290</v>
      </c>
      <c r="C1979" t="str">
        <f>"002"</f>
        <v>002</v>
      </c>
      <c r="D1979">
        <v>2011</v>
      </c>
      <c r="E1979" s="3">
        <v>9933900</v>
      </c>
      <c r="F1979" s="3">
        <v>2775900</v>
      </c>
      <c r="G1979" t="s">
        <v>11</v>
      </c>
      <c r="H1979" s="5" t="s">
        <v>30</v>
      </c>
      <c r="I1979" t="s">
        <v>13</v>
      </c>
      <c r="J1979" t="s">
        <v>13</v>
      </c>
    </row>
    <row r="1980" spans="1:11" x14ac:dyDescent="0.35">
      <c r="A1980" t="s">
        <v>5</v>
      </c>
      <c r="B1980" t="str">
        <f>"28290"</f>
        <v>28290</v>
      </c>
      <c r="C1980" t="str">
        <f>"003"</f>
        <v>003</v>
      </c>
      <c r="D1980">
        <v>2012</v>
      </c>
      <c r="E1980" s="3">
        <v>5592600</v>
      </c>
      <c r="F1980" s="3">
        <v>4009500</v>
      </c>
      <c r="G1980" t="s">
        <v>11</v>
      </c>
      <c r="H1980" s="5" t="s">
        <v>30</v>
      </c>
      <c r="I1980" t="s">
        <v>13</v>
      </c>
      <c r="J1980" t="s">
        <v>13</v>
      </c>
    </row>
    <row r="1981" spans="1:11" x14ac:dyDescent="0.35">
      <c r="A1981" t="s">
        <v>5</v>
      </c>
      <c r="B1981" t="str">
        <f>"28290"</f>
        <v>28290</v>
      </c>
      <c r="C1981" t="str">
        <f>"004"</f>
        <v>004</v>
      </c>
      <c r="D1981">
        <v>2014</v>
      </c>
      <c r="E1981" s="3">
        <v>5118300</v>
      </c>
      <c r="F1981" s="3">
        <v>2798200</v>
      </c>
      <c r="G1981" t="s">
        <v>11</v>
      </c>
      <c r="H1981" s="5" t="s">
        <v>30</v>
      </c>
      <c r="I1981" t="s">
        <v>13</v>
      </c>
      <c r="J1981" t="s">
        <v>13</v>
      </c>
    </row>
    <row r="1982" spans="1:11" x14ac:dyDescent="0.35">
      <c r="A1982" t="s">
        <v>31</v>
      </c>
      <c r="B1982" t="s">
        <v>13</v>
      </c>
      <c r="C1982" t="s">
        <v>7</v>
      </c>
      <c r="D1982" t="s">
        <v>8</v>
      </c>
      <c r="E1982" s="3">
        <v>20644800</v>
      </c>
      <c r="F1982" s="3">
        <v>9583600</v>
      </c>
      <c r="G1982" t="s">
        <v>11</v>
      </c>
      <c r="H1982" s="5">
        <v>314946400</v>
      </c>
      <c r="I1982" t="s">
        <v>13</v>
      </c>
      <c r="J1982" t="s">
        <v>13</v>
      </c>
      <c r="K1982">
        <v>3.04</v>
      </c>
    </row>
    <row r="1984" spans="1:11" x14ac:dyDescent="0.35">
      <c r="A1984" t="s">
        <v>409</v>
      </c>
      <c r="B1984" t="str">
        <f>"28291"</f>
        <v>28291</v>
      </c>
      <c r="C1984" t="str">
        <f>"004"</f>
        <v>004</v>
      </c>
      <c r="D1984">
        <v>2005</v>
      </c>
      <c r="E1984" s="3">
        <v>44869000</v>
      </c>
      <c r="F1984" s="3">
        <v>43821400</v>
      </c>
      <c r="G1984" t="s">
        <v>11</v>
      </c>
      <c r="H1984" s="5" t="s">
        <v>30</v>
      </c>
      <c r="I1984" t="s">
        <v>13</v>
      </c>
      <c r="J1984" t="s">
        <v>13</v>
      </c>
    </row>
    <row r="1985" spans="1:11" x14ac:dyDescent="0.35">
      <c r="A1985" t="s">
        <v>5</v>
      </c>
      <c r="B1985" t="str">
        <f>"28291"</f>
        <v>28291</v>
      </c>
      <c r="C1985" t="str">
        <f>"005"</f>
        <v>005</v>
      </c>
      <c r="D1985">
        <v>2005</v>
      </c>
      <c r="E1985" s="3">
        <v>76977700</v>
      </c>
      <c r="F1985" s="3">
        <v>37346700</v>
      </c>
      <c r="G1985" t="s">
        <v>11</v>
      </c>
      <c r="H1985" s="5" t="s">
        <v>30</v>
      </c>
      <c r="I1985" t="s">
        <v>13</v>
      </c>
      <c r="J1985" t="s">
        <v>13</v>
      </c>
    </row>
    <row r="1986" spans="1:11" x14ac:dyDescent="0.35">
      <c r="A1986" t="s">
        <v>5</v>
      </c>
      <c r="B1986" t="str">
        <f>"28291"</f>
        <v>28291</v>
      </c>
      <c r="C1986" t="str">
        <f>"006"</f>
        <v>006</v>
      </c>
      <c r="D1986">
        <v>2005</v>
      </c>
      <c r="E1986" s="3">
        <v>3783000</v>
      </c>
      <c r="F1986" s="3">
        <v>3557200</v>
      </c>
      <c r="G1986" t="s">
        <v>11</v>
      </c>
      <c r="H1986" s="5" t="s">
        <v>30</v>
      </c>
      <c r="I1986" t="s">
        <v>13</v>
      </c>
      <c r="J1986" t="s">
        <v>13</v>
      </c>
    </row>
    <row r="1987" spans="1:11" x14ac:dyDescent="0.35">
      <c r="A1987" t="s">
        <v>5</v>
      </c>
      <c r="B1987" t="str">
        <f>"28291"</f>
        <v>28291</v>
      </c>
      <c r="C1987" t="str">
        <f>"007"</f>
        <v>007</v>
      </c>
      <c r="D1987">
        <v>2016</v>
      </c>
      <c r="E1987" s="3">
        <v>47130000</v>
      </c>
      <c r="F1987" s="3">
        <v>4686400</v>
      </c>
      <c r="G1987" t="s">
        <v>11</v>
      </c>
      <c r="H1987" s="5" t="s">
        <v>30</v>
      </c>
      <c r="I1987" t="s">
        <v>13</v>
      </c>
      <c r="J1987" t="s">
        <v>13</v>
      </c>
    </row>
    <row r="1988" spans="1:11" x14ac:dyDescent="0.35">
      <c r="A1988" t="s">
        <v>5</v>
      </c>
      <c r="B1988" t="str">
        <f>"28291"</f>
        <v>28291</v>
      </c>
      <c r="C1988" t="str">
        <f>"008"</f>
        <v>008</v>
      </c>
      <c r="D1988">
        <v>2021</v>
      </c>
      <c r="E1988" s="3">
        <v>14736200</v>
      </c>
      <c r="F1988" s="3">
        <v>-1202700</v>
      </c>
      <c r="G1988" t="s">
        <v>52</v>
      </c>
      <c r="H1988" s="5" t="s">
        <v>30</v>
      </c>
      <c r="I1988" t="s">
        <v>13</v>
      </c>
      <c r="J1988" t="s">
        <v>13</v>
      </c>
    </row>
    <row r="1989" spans="1:11" x14ac:dyDescent="0.35">
      <c r="A1989" t="s">
        <v>31</v>
      </c>
      <c r="B1989" t="s">
        <v>13</v>
      </c>
      <c r="C1989" t="s">
        <v>7</v>
      </c>
      <c r="D1989" t="s">
        <v>8</v>
      </c>
      <c r="E1989" s="3">
        <v>187495900</v>
      </c>
      <c r="F1989" s="3">
        <v>89411700</v>
      </c>
      <c r="G1989" t="s">
        <v>11</v>
      </c>
      <c r="H1989" s="5">
        <v>1958383300</v>
      </c>
      <c r="I1989" t="s">
        <v>13</v>
      </c>
      <c r="J1989" t="s">
        <v>13</v>
      </c>
      <c r="K1989">
        <v>4.57</v>
      </c>
    </row>
    <row r="1991" spans="1:11" x14ac:dyDescent="0.35">
      <c r="A1991" t="s">
        <v>410</v>
      </c>
      <c r="B1991" t="str">
        <f>"67195"</f>
        <v>67195</v>
      </c>
      <c r="C1991" t="str">
        <f>"001"</f>
        <v>001</v>
      </c>
      <c r="D1991">
        <v>2020</v>
      </c>
      <c r="E1991" s="3">
        <v>25360200</v>
      </c>
      <c r="F1991" s="3">
        <v>3575100</v>
      </c>
      <c r="G1991" t="s">
        <v>11</v>
      </c>
      <c r="H1991" s="5" t="s">
        <v>30</v>
      </c>
      <c r="I1991" t="s">
        <v>13</v>
      </c>
      <c r="J1991" t="s">
        <v>13</v>
      </c>
    </row>
    <row r="1992" spans="1:11" x14ac:dyDescent="0.35">
      <c r="A1992" t="s">
        <v>31</v>
      </c>
      <c r="B1992" t="s">
        <v>13</v>
      </c>
      <c r="C1992" t="s">
        <v>7</v>
      </c>
      <c r="D1992" t="s">
        <v>8</v>
      </c>
      <c r="E1992" s="3">
        <v>25360200</v>
      </c>
      <c r="F1992" s="3">
        <v>3575100</v>
      </c>
      <c r="G1992" t="s">
        <v>11</v>
      </c>
      <c r="H1992" s="5">
        <v>1428369000</v>
      </c>
      <c r="I1992" t="s">
        <v>13</v>
      </c>
      <c r="J1992" t="s">
        <v>13</v>
      </c>
      <c r="K1992">
        <v>0.25</v>
      </c>
    </row>
    <row r="1993" spans="1:11" x14ac:dyDescent="0.35">
      <c r="A1993" t="s">
        <v>410</v>
      </c>
      <c r="B1993" t="str">
        <f t="shared" ref="B1993:B2009" si="41">"67291"</f>
        <v>67291</v>
      </c>
      <c r="C1993" t="str">
        <f>"011"</f>
        <v>011</v>
      </c>
      <c r="D1993">
        <v>1997</v>
      </c>
      <c r="E1993" s="3">
        <v>124279400</v>
      </c>
      <c r="F1993" s="3">
        <v>86754800</v>
      </c>
      <c r="G1993" t="s">
        <v>11</v>
      </c>
      <c r="H1993" s="5" t="s">
        <v>30</v>
      </c>
      <c r="I1993" t="s">
        <v>13</v>
      </c>
      <c r="J1993" t="s">
        <v>13</v>
      </c>
    </row>
    <row r="1994" spans="1:11" x14ac:dyDescent="0.35">
      <c r="A1994" t="s">
        <v>5</v>
      </c>
      <c r="B1994" t="str">
        <f t="shared" si="41"/>
        <v>67291</v>
      </c>
      <c r="C1994" t="str">
        <f>"012"</f>
        <v>012</v>
      </c>
      <c r="D1994">
        <v>2001</v>
      </c>
      <c r="E1994" s="3">
        <v>26238700</v>
      </c>
      <c r="F1994" s="3">
        <v>26131000</v>
      </c>
      <c r="G1994" t="s">
        <v>11</v>
      </c>
      <c r="H1994" s="5" t="s">
        <v>30</v>
      </c>
      <c r="I1994" t="s">
        <v>13</v>
      </c>
      <c r="J1994" t="s">
        <v>13</v>
      </c>
    </row>
    <row r="1995" spans="1:11" x14ac:dyDescent="0.35">
      <c r="A1995" t="s">
        <v>5</v>
      </c>
      <c r="B1995" t="str">
        <f t="shared" si="41"/>
        <v>67291</v>
      </c>
      <c r="C1995" t="str">
        <f>"013"</f>
        <v>013</v>
      </c>
      <c r="D1995">
        <v>2003</v>
      </c>
      <c r="E1995" s="3">
        <v>5366500</v>
      </c>
      <c r="F1995" s="3">
        <v>4884700</v>
      </c>
      <c r="G1995" t="s">
        <v>11</v>
      </c>
      <c r="H1995" s="5" t="s">
        <v>30</v>
      </c>
      <c r="I1995" t="s">
        <v>13</v>
      </c>
      <c r="J1995" t="s">
        <v>13</v>
      </c>
    </row>
    <row r="1996" spans="1:11" x14ac:dyDescent="0.35">
      <c r="A1996" t="s">
        <v>5</v>
      </c>
      <c r="B1996" t="str">
        <f t="shared" si="41"/>
        <v>67291</v>
      </c>
      <c r="C1996" t="str">
        <f>"017"</f>
        <v>017</v>
      </c>
      <c r="D1996">
        <v>2007</v>
      </c>
      <c r="E1996" s="3">
        <v>114100600</v>
      </c>
      <c r="F1996" s="3">
        <v>56771600</v>
      </c>
      <c r="G1996" t="s">
        <v>11</v>
      </c>
      <c r="H1996" s="5" t="s">
        <v>30</v>
      </c>
      <c r="I1996" t="s">
        <v>13</v>
      </c>
      <c r="J1996" t="s">
        <v>13</v>
      </c>
    </row>
    <row r="1997" spans="1:11" x14ac:dyDescent="0.35">
      <c r="A1997" t="s">
        <v>5</v>
      </c>
      <c r="B1997" t="str">
        <f t="shared" si="41"/>
        <v>67291</v>
      </c>
      <c r="C1997" t="str">
        <f>"018"</f>
        <v>018</v>
      </c>
      <c r="D1997">
        <v>2009</v>
      </c>
      <c r="E1997" s="3">
        <v>10957600</v>
      </c>
      <c r="F1997" s="3">
        <v>10253300</v>
      </c>
      <c r="G1997" t="s">
        <v>11</v>
      </c>
      <c r="H1997" s="5" t="s">
        <v>30</v>
      </c>
      <c r="I1997" t="s">
        <v>13</v>
      </c>
      <c r="J1997" t="s">
        <v>13</v>
      </c>
    </row>
    <row r="1998" spans="1:11" x14ac:dyDescent="0.35">
      <c r="A1998" t="s">
        <v>5</v>
      </c>
      <c r="B1998" t="str">
        <f t="shared" si="41"/>
        <v>67291</v>
      </c>
      <c r="C1998" t="str">
        <f>"019"</f>
        <v>019</v>
      </c>
      <c r="D1998">
        <v>2010</v>
      </c>
      <c r="E1998" s="3">
        <v>31835700</v>
      </c>
      <c r="F1998" s="3">
        <v>18209300</v>
      </c>
      <c r="G1998" t="s">
        <v>11</v>
      </c>
      <c r="H1998" s="5" t="s">
        <v>30</v>
      </c>
      <c r="I1998" t="s">
        <v>13</v>
      </c>
      <c r="J1998" t="s">
        <v>13</v>
      </c>
    </row>
    <row r="1999" spans="1:11" x14ac:dyDescent="0.35">
      <c r="A1999" t="s">
        <v>5</v>
      </c>
      <c r="B1999" t="str">
        <f t="shared" si="41"/>
        <v>67291</v>
      </c>
      <c r="C1999" t="str">
        <f>"020"</f>
        <v>020</v>
      </c>
      <c r="D1999">
        <v>2010</v>
      </c>
      <c r="E1999" s="3">
        <v>27038000</v>
      </c>
      <c r="F1999" s="3">
        <v>4691900</v>
      </c>
      <c r="G1999" t="s">
        <v>11</v>
      </c>
      <c r="H1999" s="5" t="s">
        <v>30</v>
      </c>
      <c r="I1999" t="s">
        <v>13</v>
      </c>
      <c r="J1999" t="s">
        <v>13</v>
      </c>
    </row>
    <row r="2000" spans="1:11" x14ac:dyDescent="0.35">
      <c r="A2000" t="s">
        <v>5</v>
      </c>
      <c r="B2000" t="str">
        <f t="shared" si="41"/>
        <v>67291</v>
      </c>
      <c r="C2000" t="str">
        <f>"021"</f>
        <v>021</v>
      </c>
      <c r="D2000">
        <v>2012</v>
      </c>
      <c r="E2000" s="3">
        <v>45288500</v>
      </c>
      <c r="F2000" s="3">
        <v>33944600</v>
      </c>
      <c r="G2000" t="s">
        <v>11</v>
      </c>
      <c r="H2000" s="5" t="s">
        <v>30</v>
      </c>
      <c r="I2000" t="s">
        <v>13</v>
      </c>
      <c r="J2000" t="s">
        <v>13</v>
      </c>
    </row>
    <row r="2001" spans="1:11" x14ac:dyDescent="0.35">
      <c r="A2001" t="s">
        <v>5</v>
      </c>
      <c r="B2001" t="str">
        <f t="shared" si="41"/>
        <v>67291</v>
      </c>
      <c r="C2001" t="str">
        <f>"022"</f>
        <v>022</v>
      </c>
      <c r="D2001">
        <v>2013</v>
      </c>
      <c r="E2001" s="3">
        <v>94615100</v>
      </c>
      <c r="F2001" s="3">
        <v>56214600</v>
      </c>
      <c r="G2001" t="s">
        <v>11</v>
      </c>
      <c r="H2001" s="5" t="s">
        <v>30</v>
      </c>
      <c r="I2001" t="s">
        <v>13</v>
      </c>
      <c r="J2001" t="s">
        <v>13</v>
      </c>
    </row>
    <row r="2002" spans="1:11" x14ac:dyDescent="0.35">
      <c r="A2002" t="s">
        <v>5</v>
      </c>
      <c r="B2002" t="str">
        <f t="shared" si="41"/>
        <v>67291</v>
      </c>
      <c r="C2002" t="str">
        <f>"023"</f>
        <v>023</v>
      </c>
      <c r="D2002">
        <v>2014</v>
      </c>
      <c r="E2002" s="3">
        <v>13433500</v>
      </c>
      <c r="F2002" s="3">
        <v>9132900</v>
      </c>
      <c r="G2002" t="s">
        <v>11</v>
      </c>
      <c r="H2002" s="5" t="s">
        <v>30</v>
      </c>
      <c r="I2002" t="s">
        <v>13</v>
      </c>
      <c r="J2002" t="s">
        <v>13</v>
      </c>
    </row>
    <row r="2003" spans="1:11" x14ac:dyDescent="0.35">
      <c r="A2003" t="s">
        <v>5</v>
      </c>
      <c r="B2003" t="str">
        <f t="shared" si="41"/>
        <v>67291</v>
      </c>
      <c r="C2003" t="str">
        <f>"024"</f>
        <v>024</v>
      </c>
      <c r="D2003">
        <v>2018</v>
      </c>
      <c r="E2003" s="3">
        <v>19812400</v>
      </c>
      <c r="F2003" s="3">
        <v>9467200</v>
      </c>
      <c r="G2003" t="s">
        <v>11</v>
      </c>
      <c r="H2003" s="5" t="s">
        <v>30</v>
      </c>
      <c r="I2003" t="s">
        <v>13</v>
      </c>
      <c r="J2003" t="s">
        <v>13</v>
      </c>
    </row>
    <row r="2004" spans="1:11" x14ac:dyDescent="0.35">
      <c r="A2004" t="s">
        <v>5</v>
      </c>
      <c r="B2004" t="str">
        <f t="shared" si="41"/>
        <v>67291</v>
      </c>
      <c r="C2004" t="str">
        <f>"025"</f>
        <v>025</v>
      </c>
      <c r="D2004">
        <v>2015</v>
      </c>
      <c r="E2004" s="3">
        <v>24787600</v>
      </c>
      <c r="F2004" s="3">
        <v>18561000</v>
      </c>
      <c r="G2004" t="s">
        <v>11</v>
      </c>
      <c r="H2004" s="5" t="s">
        <v>30</v>
      </c>
      <c r="I2004" t="s">
        <v>13</v>
      </c>
      <c r="J2004" t="s">
        <v>13</v>
      </c>
    </row>
    <row r="2005" spans="1:11" x14ac:dyDescent="0.35">
      <c r="A2005" t="s">
        <v>5</v>
      </c>
      <c r="B2005" t="str">
        <f t="shared" si="41"/>
        <v>67291</v>
      </c>
      <c r="C2005" t="str">
        <f>"026"</f>
        <v>026</v>
      </c>
      <c r="D2005">
        <v>2019</v>
      </c>
      <c r="E2005" s="3">
        <v>6775400</v>
      </c>
      <c r="F2005" s="3">
        <v>1552500</v>
      </c>
      <c r="G2005" t="s">
        <v>11</v>
      </c>
      <c r="H2005" s="5" t="s">
        <v>30</v>
      </c>
      <c r="I2005" t="s">
        <v>13</v>
      </c>
      <c r="J2005" t="s">
        <v>13</v>
      </c>
    </row>
    <row r="2006" spans="1:11" x14ac:dyDescent="0.35">
      <c r="A2006" t="s">
        <v>5</v>
      </c>
      <c r="B2006" t="str">
        <f t="shared" si="41"/>
        <v>67291</v>
      </c>
      <c r="C2006" t="str">
        <f>"027"</f>
        <v>027</v>
      </c>
      <c r="D2006">
        <v>2020</v>
      </c>
      <c r="E2006" s="3">
        <v>27557700</v>
      </c>
      <c r="F2006" s="3">
        <v>24683300</v>
      </c>
      <c r="G2006" t="s">
        <v>11</v>
      </c>
      <c r="H2006" s="5" t="s">
        <v>30</v>
      </c>
      <c r="I2006" t="s">
        <v>13</v>
      </c>
      <c r="J2006" t="s">
        <v>13</v>
      </c>
    </row>
    <row r="2007" spans="1:11" x14ac:dyDescent="0.35">
      <c r="A2007" t="s">
        <v>5</v>
      </c>
      <c r="B2007" t="str">
        <f t="shared" si="41"/>
        <v>67291</v>
      </c>
      <c r="C2007" t="str">
        <f>"028"</f>
        <v>028</v>
      </c>
      <c r="D2007">
        <v>2020</v>
      </c>
      <c r="E2007" s="3">
        <v>11729100</v>
      </c>
      <c r="F2007" s="3">
        <v>10574000</v>
      </c>
      <c r="G2007" t="s">
        <v>11</v>
      </c>
      <c r="H2007" s="5" t="s">
        <v>30</v>
      </c>
      <c r="I2007" t="s">
        <v>13</v>
      </c>
      <c r="J2007" t="s">
        <v>13</v>
      </c>
    </row>
    <row r="2008" spans="1:11" x14ac:dyDescent="0.35">
      <c r="A2008" t="s">
        <v>5</v>
      </c>
      <c r="B2008" t="str">
        <f t="shared" si="41"/>
        <v>67291</v>
      </c>
      <c r="C2008" t="str">
        <f>"029"</f>
        <v>029</v>
      </c>
      <c r="D2008">
        <v>2020</v>
      </c>
      <c r="E2008" s="3">
        <v>1462900</v>
      </c>
      <c r="F2008" s="3">
        <v>255600</v>
      </c>
      <c r="G2008" t="s">
        <v>11</v>
      </c>
      <c r="H2008" s="5" t="s">
        <v>30</v>
      </c>
      <c r="I2008" t="s">
        <v>13</v>
      </c>
      <c r="J2008" t="s">
        <v>13</v>
      </c>
    </row>
    <row r="2009" spans="1:11" x14ac:dyDescent="0.35">
      <c r="A2009" t="s">
        <v>5</v>
      </c>
      <c r="B2009" t="str">
        <f t="shared" si="41"/>
        <v>67291</v>
      </c>
      <c r="C2009" t="str">
        <f>"030"</f>
        <v>030</v>
      </c>
      <c r="D2009">
        <v>2021</v>
      </c>
      <c r="E2009" s="3">
        <v>967200</v>
      </c>
      <c r="F2009" s="3">
        <v>462400</v>
      </c>
      <c r="G2009" t="s">
        <v>11</v>
      </c>
      <c r="H2009" s="5" t="s">
        <v>30</v>
      </c>
      <c r="I2009" t="s">
        <v>13</v>
      </c>
      <c r="J2009" t="s">
        <v>13</v>
      </c>
    </row>
    <row r="2010" spans="1:11" x14ac:dyDescent="0.35">
      <c r="A2010" t="s">
        <v>31</v>
      </c>
      <c r="B2010" t="s">
        <v>13</v>
      </c>
      <c r="C2010" t="s">
        <v>7</v>
      </c>
      <c r="D2010" t="s">
        <v>8</v>
      </c>
      <c r="E2010" s="3">
        <v>586245900</v>
      </c>
      <c r="F2010" s="3">
        <v>372544700</v>
      </c>
      <c r="G2010" t="s">
        <v>11</v>
      </c>
      <c r="H2010" s="5">
        <v>8702131200</v>
      </c>
      <c r="I2010" t="s">
        <v>13</v>
      </c>
      <c r="J2010" t="s">
        <v>13</v>
      </c>
      <c r="K2010">
        <v>4.28</v>
      </c>
    </row>
    <row r="2012" spans="1:11" x14ac:dyDescent="0.35">
      <c r="A2012" t="s">
        <v>411</v>
      </c>
      <c r="B2012" t="str">
        <f t="shared" ref="B2012:B2018" si="42">"13191"</f>
        <v>13191</v>
      </c>
      <c r="C2012" t="str">
        <f>"003"</f>
        <v>003</v>
      </c>
      <c r="D2012">
        <v>2000</v>
      </c>
      <c r="E2012" s="3">
        <v>67099200</v>
      </c>
      <c r="F2012" s="3">
        <v>66464500</v>
      </c>
      <c r="G2012" t="s">
        <v>11</v>
      </c>
      <c r="H2012" s="5" t="s">
        <v>30</v>
      </c>
      <c r="I2012" t="s">
        <v>13</v>
      </c>
      <c r="J2012" t="s">
        <v>13</v>
      </c>
    </row>
    <row r="2013" spans="1:11" x14ac:dyDescent="0.35">
      <c r="A2013" t="s">
        <v>5</v>
      </c>
      <c r="B2013" t="str">
        <f t="shared" si="42"/>
        <v>13191</v>
      </c>
      <c r="C2013" t="str">
        <f>"004"</f>
        <v>004</v>
      </c>
      <c r="D2013">
        <v>2003</v>
      </c>
      <c r="E2013" s="3">
        <v>6829600</v>
      </c>
      <c r="F2013" s="3">
        <v>6152200</v>
      </c>
      <c r="G2013" t="s">
        <v>11</v>
      </c>
      <c r="H2013" s="5" t="s">
        <v>30</v>
      </c>
      <c r="I2013" t="s">
        <v>13</v>
      </c>
      <c r="J2013" t="s">
        <v>13</v>
      </c>
    </row>
    <row r="2014" spans="1:11" x14ac:dyDescent="0.35">
      <c r="A2014" t="s">
        <v>5</v>
      </c>
      <c r="B2014" t="str">
        <f t="shared" si="42"/>
        <v>13191</v>
      </c>
      <c r="C2014" t="str">
        <f>"005"</f>
        <v>005</v>
      </c>
      <c r="D2014">
        <v>2005</v>
      </c>
      <c r="E2014" s="3">
        <v>58358800</v>
      </c>
      <c r="F2014" s="3">
        <v>30815600</v>
      </c>
      <c r="G2014" t="s">
        <v>11</v>
      </c>
      <c r="H2014" s="5" t="s">
        <v>30</v>
      </c>
      <c r="I2014" t="s">
        <v>13</v>
      </c>
      <c r="J2014" t="s">
        <v>13</v>
      </c>
    </row>
    <row r="2015" spans="1:11" x14ac:dyDescent="0.35">
      <c r="A2015" t="s">
        <v>5</v>
      </c>
      <c r="B2015" t="str">
        <f t="shared" si="42"/>
        <v>13191</v>
      </c>
      <c r="C2015" t="str">
        <f>"006"</f>
        <v>006</v>
      </c>
      <c r="D2015">
        <v>2015</v>
      </c>
      <c r="E2015" s="3">
        <v>92223800</v>
      </c>
      <c r="F2015" s="3">
        <v>80462700</v>
      </c>
      <c r="G2015" t="s">
        <v>11</v>
      </c>
      <c r="H2015" s="5" t="s">
        <v>30</v>
      </c>
      <c r="I2015" t="s">
        <v>13</v>
      </c>
      <c r="J2015" t="s">
        <v>13</v>
      </c>
    </row>
    <row r="2016" spans="1:11" x14ac:dyDescent="0.35">
      <c r="A2016" t="s">
        <v>5</v>
      </c>
      <c r="B2016" t="str">
        <f t="shared" si="42"/>
        <v>13191</v>
      </c>
      <c r="C2016" t="str">
        <f>"007"</f>
        <v>007</v>
      </c>
      <c r="D2016">
        <v>2016</v>
      </c>
      <c r="E2016" s="3">
        <v>10385600</v>
      </c>
      <c r="F2016" s="3">
        <v>5939900</v>
      </c>
      <c r="G2016" t="s">
        <v>11</v>
      </c>
      <c r="H2016" s="5" t="s">
        <v>30</v>
      </c>
      <c r="I2016" t="s">
        <v>13</v>
      </c>
      <c r="J2016" t="s">
        <v>13</v>
      </c>
    </row>
    <row r="2017" spans="1:11" x14ac:dyDescent="0.35">
      <c r="A2017" t="s">
        <v>5</v>
      </c>
      <c r="B2017" t="str">
        <f t="shared" si="42"/>
        <v>13191</v>
      </c>
      <c r="C2017" t="str">
        <f>"008"</f>
        <v>008</v>
      </c>
      <c r="D2017">
        <v>2018</v>
      </c>
      <c r="E2017" s="3">
        <v>37884000</v>
      </c>
      <c r="F2017" s="3">
        <v>21898600</v>
      </c>
      <c r="G2017" t="s">
        <v>11</v>
      </c>
      <c r="H2017" s="5" t="s">
        <v>30</v>
      </c>
      <c r="I2017" t="s">
        <v>13</v>
      </c>
      <c r="J2017" t="s">
        <v>13</v>
      </c>
    </row>
    <row r="2018" spans="1:11" x14ac:dyDescent="0.35">
      <c r="A2018" t="s">
        <v>5</v>
      </c>
      <c r="B2018" t="str">
        <f t="shared" si="42"/>
        <v>13191</v>
      </c>
      <c r="C2018" t="str">
        <f>"009"</f>
        <v>009</v>
      </c>
      <c r="D2018">
        <v>2018</v>
      </c>
      <c r="E2018" s="3">
        <v>13138900</v>
      </c>
      <c r="F2018" s="3">
        <v>3240800</v>
      </c>
      <c r="G2018" t="s">
        <v>11</v>
      </c>
      <c r="H2018" s="5" t="s">
        <v>30</v>
      </c>
      <c r="I2018" t="s">
        <v>13</v>
      </c>
      <c r="J2018" t="s">
        <v>13</v>
      </c>
    </row>
    <row r="2019" spans="1:11" x14ac:dyDescent="0.35">
      <c r="A2019" t="s">
        <v>31</v>
      </c>
      <c r="B2019" t="s">
        <v>13</v>
      </c>
      <c r="C2019" t="s">
        <v>7</v>
      </c>
      <c r="D2019" t="s">
        <v>8</v>
      </c>
      <c r="E2019" s="3">
        <v>285919900</v>
      </c>
      <c r="F2019" s="3">
        <v>214974300</v>
      </c>
      <c r="G2019" t="s">
        <v>11</v>
      </c>
      <c r="H2019" s="5">
        <v>2638409300</v>
      </c>
      <c r="I2019" t="s">
        <v>13</v>
      </c>
      <c r="J2019" t="s">
        <v>13</v>
      </c>
      <c r="K2019">
        <v>8.15</v>
      </c>
    </row>
    <row r="2021" spans="1:11" x14ac:dyDescent="0.35">
      <c r="A2021" t="s">
        <v>412</v>
      </c>
      <c r="B2021" t="str">
        <f>"68291"</f>
        <v>68291</v>
      </c>
      <c r="C2021" t="str">
        <f>"004"</f>
        <v>004</v>
      </c>
      <c r="D2021">
        <v>2000</v>
      </c>
      <c r="E2021" s="3">
        <v>37007400</v>
      </c>
      <c r="F2021" s="3">
        <v>34105800</v>
      </c>
      <c r="G2021" t="s">
        <v>11</v>
      </c>
      <c r="H2021" s="5" t="s">
        <v>30</v>
      </c>
      <c r="I2021" t="s">
        <v>13</v>
      </c>
      <c r="J2021" t="s">
        <v>13</v>
      </c>
    </row>
    <row r="2022" spans="1:11" x14ac:dyDescent="0.35">
      <c r="A2022" t="s">
        <v>5</v>
      </c>
      <c r="B2022" t="str">
        <f>"68291"</f>
        <v>68291</v>
      </c>
      <c r="C2022" t="str">
        <f>"008"</f>
        <v>008</v>
      </c>
      <c r="D2022">
        <v>2001</v>
      </c>
      <c r="E2022" s="3">
        <v>19606600</v>
      </c>
      <c r="F2022" s="3">
        <v>17834000</v>
      </c>
      <c r="G2022" t="s">
        <v>11</v>
      </c>
      <c r="H2022" s="5" t="s">
        <v>30</v>
      </c>
      <c r="I2022" t="s">
        <v>13</v>
      </c>
      <c r="J2022" t="s">
        <v>13</v>
      </c>
    </row>
    <row r="2023" spans="1:11" x14ac:dyDescent="0.35">
      <c r="A2023" t="s">
        <v>5</v>
      </c>
      <c r="B2023" t="str">
        <f>"68291"</f>
        <v>68291</v>
      </c>
      <c r="C2023" t="str">
        <f>"010"</f>
        <v>010</v>
      </c>
      <c r="D2023">
        <v>2001</v>
      </c>
      <c r="E2023" s="3">
        <v>3228100</v>
      </c>
      <c r="F2023" s="3">
        <v>2946300</v>
      </c>
      <c r="G2023" t="s">
        <v>11</v>
      </c>
      <c r="H2023" s="5" t="s">
        <v>30</v>
      </c>
      <c r="I2023" t="s">
        <v>13</v>
      </c>
      <c r="J2023" t="s">
        <v>13</v>
      </c>
    </row>
    <row r="2024" spans="1:11" x14ac:dyDescent="0.35">
      <c r="A2024" t="s">
        <v>31</v>
      </c>
      <c r="B2024" t="s">
        <v>13</v>
      </c>
      <c r="C2024" t="s">
        <v>7</v>
      </c>
      <c r="D2024" t="s">
        <v>8</v>
      </c>
      <c r="E2024" s="3">
        <v>59842100</v>
      </c>
      <c r="F2024" s="3">
        <v>54886100</v>
      </c>
      <c r="G2024" t="s">
        <v>11</v>
      </c>
      <c r="H2024" s="5">
        <v>536455100</v>
      </c>
      <c r="I2024" t="s">
        <v>13</v>
      </c>
      <c r="J2024" t="s">
        <v>13</v>
      </c>
      <c r="K2024">
        <v>10.23</v>
      </c>
    </row>
    <row r="2026" spans="1:11" x14ac:dyDescent="0.35">
      <c r="A2026" t="s">
        <v>413</v>
      </c>
      <c r="B2026" t="str">
        <f>"14292"</f>
        <v>14292</v>
      </c>
      <c r="C2026" t="str">
        <f>"003"</f>
        <v>003</v>
      </c>
      <c r="D2026">
        <v>2005</v>
      </c>
      <c r="E2026" s="3">
        <v>10028900</v>
      </c>
      <c r="F2026" s="3">
        <v>2990100</v>
      </c>
      <c r="G2026" t="s">
        <v>11</v>
      </c>
      <c r="H2026" s="5" t="s">
        <v>30</v>
      </c>
      <c r="I2026" t="s">
        <v>13</v>
      </c>
      <c r="J2026" t="s">
        <v>13</v>
      </c>
    </row>
    <row r="2027" spans="1:11" x14ac:dyDescent="0.35">
      <c r="A2027" t="s">
        <v>5</v>
      </c>
      <c r="B2027" t="str">
        <f>"20292"</f>
        <v>20292</v>
      </c>
      <c r="C2027" t="str">
        <f>"003"</f>
        <v>003</v>
      </c>
      <c r="D2027">
        <v>2005</v>
      </c>
      <c r="E2027" s="3">
        <v>14697000</v>
      </c>
      <c r="F2027" s="3">
        <v>4433300</v>
      </c>
      <c r="G2027" t="s">
        <v>11</v>
      </c>
      <c r="H2027" s="5" t="s">
        <v>30</v>
      </c>
      <c r="I2027" t="s">
        <v>13</v>
      </c>
      <c r="J2027" t="s">
        <v>13</v>
      </c>
    </row>
    <row r="2028" spans="1:11" x14ac:dyDescent="0.35">
      <c r="A2028" t="s">
        <v>5</v>
      </c>
      <c r="B2028" t="str">
        <f>"14292"</f>
        <v>14292</v>
      </c>
      <c r="C2028" t="str">
        <f>"005"</f>
        <v>005</v>
      </c>
      <c r="D2028">
        <v>2008</v>
      </c>
      <c r="E2028" s="3">
        <v>24053700</v>
      </c>
      <c r="F2028" s="3">
        <v>22103400</v>
      </c>
      <c r="G2028" t="s">
        <v>11</v>
      </c>
      <c r="H2028" s="5" t="s">
        <v>30</v>
      </c>
      <c r="I2028" t="s">
        <v>13</v>
      </c>
      <c r="J2028" t="s">
        <v>13</v>
      </c>
    </row>
    <row r="2029" spans="1:11" x14ac:dyDescent="0.35">
      <c r="A2029" t="s">
        <v>5</v>
      </c>
      <c r="B2029" t="str">
        <f>"14292"</f>
        <v>14292</v>
      </c>
      <c r="C2029" t="str">
        <f>"006"</f>
        <v>006</v>
      </c>
      <c r="D2029">
        <v>2012</v>
      </c>
      <c r="E2029" s="3">
        <v>10730700</v>
      </c>
      <c r="F2029" s="3">
        <v>5451600</v>
      </c>
      <c r="G2029" t="s">
        <v>11</v>
      </c>
      <c r="H2029" s="5" t="s">
        <v>30</v>
      </c>
      <c r="I2029" t="s">
        <v>13</v>
      </c>
      <c r="J2029" t="s">
        <v>13</v>
      </c>
    </row>
    <row r="2030" spans="1:11" x14ac:dyDescent="0.35">
      <c r="A2030" t="s">
        <v>5</v>
      </c>
      <c r="B2030" t="str">
        <f>"20292"</f>
        <v>20292</v>
      </c>
      <c r="C2030" t="str">
        <f>"006"</f>
        <v>006</v>
      </c>
      <c r="D2030">
        <v>2012</v>
      </c>
      <c r="E2030" s="3">
        <v>8106400</v>
      </c>
      <c r="F2030" s="3">
        <v>-1048200</v>
      </c>
      <c r="G2030" t="s">
        <v>52</v>
      </c>
      <c r="H2030" s="5" t="s">
        <v>30</v>
      </c>
      <c r="I2030" t="s">
        <v>13</v>
      </c>
      <c r="J2030" t="s">
        <v>13</v>
      </c>
    </row>
    <row r="2031" spans="1:11" x14ac:dyDescent="0.35">
      <c r="A2031" t="s">
        <v>5</v>
      </c>
      <c r="B2031" t="str">
        <f>"14292"</f>
        <v>14292</v>
      </c>
      <c r="C2031" t="str">
        <f>"007"</f>
        <v>007</v>
      </c>
      <c r="D2031">
        <v>2017</v>
      </c>
      <c r="E2031" s="3">
        <v>2785300</v>
      </c>
      <c r="F2031" s="3">
        <v>2763200</v>
      </c>
      <c r="G2031" t="s">
        <v>11</v>
      </c>
      <c r="H2031" s="5" t="s">
        <v>30</v>
      </c>
      <c r="I2031" t="s">
        <v>13</v>
      </c>
      <c r="J2031" t="s">
        <v>13</v>
      </c>
    </row>
    <row r="2032" spans="1:11" x14ac:dyDescent="0.35">
      <c r="A2032" t="s">
        <v>5</v>
      </c>
      <c r="B2032" t="str">
        <f>"20292"</f>
        <v>20292</v>
      </c>
      <c r="C2032" t="str">
        <f>"008"</f>
        <v>008</v>
      </c>
      <c r="D2032">
        <v>2018</v>
      </c>
      <c r="E2032" s="3">
        <v>12303500</v>
      </c>
      <c r="F2032" s="3">
        <v>7255600</v>
      </c>
      <c r="G2032" t="s">
        <v>11</v>
      </c>
      <c r="H2032" s="5" t="s">
        <v>30</v>
      </c>
      <c r="I2032" t="s">
        <v>13</v>
      </c>
      <c r="J2032" t="s">
        <v>13</v>
      </c>
    </row>
    <row r="2033" spans="1:11" x14ac:dyDescent="0.35">
      <c r="A2033" t="s">
        <v>31</v>
      </c>
      <c r="B2033" t="s">
        <v>13</v>
      </c>
      <c r="C2033" t="s">
        <v>7</v>
      </c>
      <c r="D2033" t="s">
        <v>8</v>
      </c>
      <c r="E2033" s="3">
        <v>82705500</v>
      </c>
      <c r="F2033" s="3">
        <v>44997200</v>
      </c>
      <c r="G2033" t="s">
        <v>11</v>
      </c>
      <c r="H2033" s="5">
        <v>608001600</v>
      </c>
      <c r="I2033" t="s">
        <v>13</v>
      </c>
      <c r="J2033" t="s">
        <v>13</v>
      </c>
      <c r="K2033">
        <v>7.4</v>
      </c>
    </row>
    <row r="2035" spans="1:11" x14ac:dyDescent="0.35">
      <c r="A2035" t="s">
        <v>414</v>
      </c>
      <c r="B2035" t="str">
        <f t="shared" ref="B2035:B2042" si="43">"37291"</f>
        <v>37291</v>
      </c>
      <c r="C2035" t="str">
        <f>"003"</f>
        <v>003</v>
      </c>
      <c r="D2035">
        <v>1994</v>
      </c>
      <c r="E2035" s="3">
        <v>173650900</v>
      </c>
      <c r="F2035" s="3">
        <v>130832200</v>
      </c>
      <c r="G2035" t="s">
        <v>11</v>
      </c>
      <c r="H2035" s="5" t="s">
        <v>30</v>
      </c>
      <c r="I2035" t="s">
        <v>13</v>
      </c>
      <c r="J2035" t="s">
        <v>13</v>
      </c>
    </row>
    <row r="2036" spans="1:11" x14ac:dyDescent="0.35">
      <c r="A2036" t="s">
        <v>5</v>
      </c>
      <c r="B2036" t="str">
        <f t="shared" si="43"/>
        <v>37291</v>
      </c>
      <c r="C2036" t="str">
        <f>"006"</f>
        <v>006</v>
      </c>
      <c r="D2036">
        <v>2005</v>
      </c>
      <c r="E2036" s="3">
        <v>234477800</v>
      </c>
      <c r="F2036" s="3">
        <v>153898500</v>
      </c>
      <c r="G2036" t="s">
        <v>11</v>
      </c>
      <c r="H2036" s="5" t="s">
        <v>30</v>
      </c>
      <c r="I2036" t="s">
        <v>13</v>
      </c>
      <c r="J2036" t="s">
        <v>13</v>
      </c>
    </row>
    <row r="2037" spans="1:11" x14ac:dyDescent="0.35">
      <c r="A2037" t="s">
        <v>5</v>
      </c>
      <c r="B2037" t="str">
        <f t="shared" si="43"/>
        <v>37291</v>
      </c>
      <c r="C2037" t="str">
        <f>"007"</f>
        <v>007</v>
      </c>
      <c r="D2037">
        <v>2006</v>
      </c>
      <c r="E2037" s="3">
        <v>101000700</v>
      </c>
      <c r="F2037" s="3">
        <v>71559100</v>
      </c>
      <c r="G2037" t="s">
        <v>11</v>
      </c>
      <c r="H2037" s="5" t="s">
        <v>30</v>
      </c>
      <c r="I2037" t="s">
        <v>13</v>
      </c>
      <c r="J2037" t="s">
        <v>13</v>
      </c>
    </row>
    <row r="2038" spans="1:11" x14ac:dyDescent="0.35">
      <c r="A2038" t="s">
        <v>5</v>
      </c>
      <c r="B2038" t="str">
        <f t="shared" si="43"/>
        <v>37291</v>
      </c>
      <c r="C2038" t="str">
        <f>"008"</f>
        <v>008</v>
      </c>
      <c r="D2038">
        <v>2012</v>
      </c>
      <c r="E2038" s="3">
        <v>73516800</v>
      </c>
      <c r="F2038" s="3">
        <v>32173600</v>
      </c>
      <c r="G2038" t="s">
        <v>11</v>
      </c>
      <c r="H2038" s="5" t="s">
        <v>30</v>
      </c>
      <c r="I2038" t="s">
        <v>13</v>
      </c>
      <c r="J2038" t="s">
        <v>13</v>
      </c>
    </row>
    <row r="2039" spans="1:11" x14ac:dyDescent="0.35">
      <c r="A2039" t="s">
        <v>5</v>
      </c>
      <c r="B2039" t="str">
        <f t="shared" si="43"/>
        <v>37291</v>
      </c>
      <c r="C2039" t="str">
        <f>"009"</f>
        <v>009</v>
      </c>
      <c r="D2039">
        <v>2012</v>
      </c>
      <c r="E2039" s="3">
        <v>2133900</v>
      </c>
      <c r="F2039" s="3">
        <v>901500</v>
      </c>
      <c r="G2039" t="s">
        <v>11</v>
      </c>
      <c r="H2039" s="5" t="s">
        <v>30</v>
      </c>
      <c r="I2039" t="s">
        <v>13</v>
      </c>
      <c r="J2039" t="s">
        <v>13</v>
      </c>
    </row>
    <row r="2040" spans="1:11" x14ac:dyDescent="0.35">
      <c r="A2040" t="s">
        <v>5</v>
      </c>
      <c r="B2040" t="str">
        <f t="shared" si="43"/>
        <v>37291</v>
      </c>
      <c r="C2040" t="str">
        <f>"010"</f>
        <v>010</v>
      </c>
      <c r="D2040">
        <v>2013</v>
      </c>
      <c r="E2040" s="3">
        <v>63913000</v>
      </c>
      <c r="F2040" s="3">
        <v>18200000</v>
      </c>
      <c r="G2040" t="s">
        <v>11</v>
      </c>
      <c r="H2040" s="5" t="s">
        <v>30</v>
      </c>
      <c r="I2040" t="s">
        <v>13</v>
      </c>
      <c r="J2040" t="s">
        <v>13</v>
      </c>
    </row>
    <row r="2041" spans="1:11" x14ac:dyDescent="0.35">
      <c r="A2041" t="s">
        <v>5</v>
      </c>
      <c r="B2041" t="str">
        <f t="shared" si="43"/>
        <v>37291</v>
      </c>
      <c r="C2041" t="str">
        <f>"011"</f>
        <v>011</v>
      </c>
      <c r="D2041">
        <v>2017</v>
      </c>
      <c r="E2041" s="3">
        <v>70568700</v>
      </c>
      <c r="F2041" s="3">
        <v>69182300</v>
      </c>
      <c r="G2041" t="s">
        <v>11</v>
      </c>
      <c r="H2041" s="5" t="s">
        <v>30</v>
      </c>
      <c r="I2041" t="s">
        <v>13</v>
      </c>
      <c r="J2041" t="s">
        <v>13</v>
      </c>
    </row>
    <row r="2042" spans="1:11" x14ac:dyDescent="0.35">
      <c r="A2042" t="s">
        <v>5</v>
      </c>
      <c r="B2042" t="str">
        <f t="shared" si="43"/>
        <v>37291</v>
      </c>
      <c r="C2042" t="str">
        <f>"012"</f>
        <v>012</v>
      </c>
      <c r="D2042">
        <v>2017</v>
      </c>
      <c r="E2042" s="3">
        <v>28057700</v>
      </c>
      <c r="F2042" s="3">
        <v>15616400</v>
      </c>
      <c r="G2042" t="s">
        <v>11</v>
      </c>
      <c r="H2042" s="5" t="s">
        <v>30</v>
      </c>
      <c r="I2042" t="s">
        <v>13</v>
      </c>
      <c r="J2042" t="s">
        <v>13</v>
      </c>
    </row>
    <row r="2043" spans="1:11" x14ac:dyDescent="0.35">
      <c r="A2043" t="s">
        <v>31</v>
      </c>
      <c r="B2043" t="s">
        <v>13</v>
      </c>
      <c r="C2043" t="s">
        <v>7</v>
      </c>
      <c r="D2043" t="s">
        <v>8</v>
      </c>
      <c r="E2043" s="3">
        <v>747319500</v>
      </c>
      <c r="F2043" s="3">
        <v>492363600</v>
      </c>
      <c r="G2043" t="s">
        <v>11</v>
      </c>
      <c r="H2043" s="5">
        <v>3680737900</v>
      </c>
      <c r="I2043" t="s">
        <v>13</v>
      </c>
      <c r="J2043" t="s">
        <v>13</v>
      </c>
      <c r="K2043">
        <v>13.38</v>
      </c>
    </row>
    <row r="2045" spans="1:11" x14ac:dyDescent="0.35">
      <c r="A2045" t="s">
        <v>415</v>
      </c>
      <c r="B2045" t="str">
        <f>"38191"</f>
        <v>38191</v>
      </c>
      <c r="C2045" t="str">
        <f>"001"</f>
        <v>001</v>
      </c>
      <c r="D2045">
        <v>2020</v>
      </c>
      <c r="E2045" s="3">
        <v>4537800</v>
      </c>
      <c r="F2045" s="3">
        <v>1442000</v>
      </c>
      <c r="G2045" t="s">
        <v>11</v>
      </c>
      <c r="H2045" s="5" t="s">
        <v>30</v>
      </c>
      <c r="I2045" t="s">
        <v>13</v>
      </c>
      <c r="J2045" t="s">
        <v>13</v>
      </c>
    </row>
    <row r="2046" spans="1:11" x14ac:dyDescent="0.35">
      <c r="A2046" t="s">
        <v>31</v>
      </c>
      <c r="B2046" t="s">
        <v>13</v>
      </c>
      <c r="C2046" t="s">
        <v>7</v>
      </c>
      <c r="D2046" t="s">
        <v>8</v>
      </c>
      <c r="E2046" s="3">
        <v>4537800</v>
      </c>
      <c r="F2046" s="3">
        <v>1442000</v>
      </c>
      <c r="G2046" t="s">
        <v>11</v>
      </c>
      <c r="H2046" s="5">
        <v>30957600</v>
      </c>
      <c r="I2046" t="s">
        <v>13</v>
      </c>
      <c r="J2046" t="s">
        <v>13</v>
      </c>
      <c r="K2046">
        <v>4.66</v>
      </c>
    </row>
    <row r="2048" spans="1:11" x14ac:dyDescent="0.35">
      <c r="A2048" t="s">
        <v>416</v>
      </c>
      <c r="B2048" t="str">
        <f>"69291"</f>
        <v>69291</v>
      </c>
      <c r="C2048" t="str">
        <f>"001"</f>
        <v>001</v>
      </c>
      <c r="D2048">
        <v>1995</v>
      </c>
      <c r="E2048" s="3">
        <v>35413500</v>
      </c>
      <c r="F2048" s="3">
        <v>31275600</v>
      </c>
      <c r="G2048" t="s">
        <v>11</v>
      </c>
      <c r="H2048" s="5" t="s">
        <v>30</v>
      </c>
      <c r="I2048" t="s">
        <v>13</v>
      </c>
      <c r="J2048" t="s">
        <v>13</v>
      </c>
    </row>
    <row r="2049" spans="1:11" x14ac:dyDescent="0.35">
      <c r="A2049" t="s">
        <v>31</v>
      </c>
      <c r="B2049" t="s">
        <v>13</v>
      </c>
      <c r="C2049" t="s">
        <v>7</v>
      </c>
      <c r="D2049" t="s">
        <v>8</v>
      </c>
      <c r="E2049" s="3">
        <v>35413500</v>
      </c>
      <c r="F2049" s="3">
        <v>31275600</v>
      </c>
      <c r="G2049" t="s">
        <v>11</v>
      </c>
      <c r="H2049" s="5">
        <v>143302700</v>
      </c>
      <c r="I2049" t="s">
        <v>13</v>
      </c>
      <c r="J2049" t="s">
        <v>13</v>
      </c>
      <c r="K2049">
        <v>21.82</v>
      </c>
    </row>
    <row r="2051" spans="1:11" x14ac:dyDescent="0.35">
      <c r="A2051" t="s">
        <v>417</v>
      </c>
      <c r="B2051" t="str">
        <f t="shared" ref="B2051:B2058" si="44">"40291"</f>
        <v>40291</v>
      </c>
      <c r="C2051" t="str">
        <f>"006"</f>
        <v>006</v>
      </c>
      <c r="D2051">
        <v>2010</v>
      </c>
      <c r="E2051" s="3">
        <v>158988400</v>
      </c>
      <c r="F2051" s="3">
        <v>132220000</v>
      </c>
      <c r="G2051" t="s">
        <v>11</v>
      </c>
      <c r="H2051" s="5" t="s">
        <v>30</v>
      </c>
      <c r="I2051" t="s">
        <v>13</v>
      </c>
      <c r="J2051" t="s">
        <v>13</v>
      </c>
    </row>
    <row r="2052" spans="1:11" x14ac:dyDescent="0.35">
      <c r="A2052" t="s">
        <v>5</v>
      </c>
      <c r="B2052" t="str">
        <f t="shared" si="44"/>
        <v>40291</v>
      </c>
      <c r="C2052" t="str">
        <f>"007"</f>
        <v>007</v>
      </c>
      <c r="D2052">
        <v>2013</v>
      </c>
      <c r="E2052" s="3">
        <v>203533800</v>
      </c>
      <c r="F2052" s="3">
        <v>182718800</v>
      </c>
      <c r="G2052" t="s">
        <v>11</v>
      </c>
      <c r="H2052" s="5" t="s">
        <v>30</v>
      </c>
      <c r="I2052" t="s">
        <v>13</v>
      </c>
      <c r="J2052" t="s">
        <v>13</v>
      </c>
    </row>
    <row r="2053" spans="1:11" x14ac:dyDescent="0.35">
      <c r="A2053" t="s">
        <v>5</v>
      </c>
      <c r="B2053" t="str">
        <f t="shared" si="44"/>
        <v>40291</v>
      </c>
      <c r="C2053" t="str">
        <f>"008"</f>
        <v>008</v>
      </c>
      <c r="D2053">
        <v>2014</v>
      </c>
      <c r="E2053" s="3">
        <v>64732100</v>
      </c>
      <c r="F2053" s="3">
        <v>43008500</v>
      </c>
      <c r="G2053" t="s">
        <v>11</v>
      </c>
      <c r="H2053" s="5" t="s">
        <v>30</v>
      </c>
      <c r="I2053" t="s">
        <v>13</v>
      </c>
      <c r="J2053" t="s">
        <v>13</v>
      </c>
    </row>
    <row r="2054" spans="1:11" x14ac:dyDescent="0.35">
      <c r="A2054" t="s">
        <v>5</v>
      </c>
      <c r="B2054" t="str">
        <f t="shared" si="44"/>
        <v>40291</v>
      </c>
      <c r="C2054" t="str">
        <f>"009"</f>
        <v>009</v>
      </c>
      <c r="D2054">
        <v>2015</v>
      </c>
      <c r="E2054" s="3">
        <v>19284600</v>
      </c>
      <c r="F2054" s="3">
        <v>14156400</v>
      </c>
      <c r="G2054" t="s">
        <v>11</v>
      </c>
      <c r="H2054" s="5" t="s">
        <v>30</v>
      </c>
      <c r="I2054" t="s">
        <v>13</v>
      </c>
      <c r="J2054" t="s">
        <v>13</v>
      </c>
    </row>
    <row r="2055" spans="1:11" x14ac:dyDescent="0.35">
      <c r="A2055" t="s">
        <v>5</v>
      </c>
      <c r="B2055" t="str">
        <f t="shared" si="44"/>
        <v>40291</v>
      </c>
      <c r="C2055" t="str">
        <f>"010"</f>
        <v>010</v>
      </c>
      <c r="D2055">
        <v>2015</v>
      </c>
      <c r="E2055" s="3">
        <v>42950900</v>
      </c>
      <c r="F2055" s="3">
        <v>38980500</v>
      </c>
      <c r="G2055" t="s">
        <v>11</v>
      </c>
      <c r="H2055" s="5" t="s">
        <v>30</v>
      </c>
      <c r="I2055" t="s">
        <v>13</v>
      </c>
      <c r="J2055" t="s">
        <v>13</v>
      </c>
    </row>
    <row r="2056" spans="1:11" x14ac:dyDescent="0.35">
      <c r="A2056" t="s">
        <v>5</v>
      </c>
      <c r="B2056" t="str">
        <f t="shared" si="44"/>
        <v>40291</v>
      </c>
      <c r="C2056" t="str">
        <f>"011"</f>
        <v>011</v>
      </c>
      <c r="D2056">
        <v>2015</v>
      </c>
      <c r="E2056" s="3">
        <v>51868700</v>
      </c>
      <c r="F2056" s="3">
        <v>40705300</v>
      </c>
      <c r="G2056" t="s">
        <v>11</v>
      </c>
      <c r="H2056" s="5" t="s">
        <v>30</v>
      </c>
      <c r="I2056" t="s">
        <v>13</v>
      </c>
      <c r="J2056" t="s">
        <v>13</v>
      </c>
    </row>
    <row r="2057" spans="1:11" x14ac:dyDescent="0.35">
      <c r="A2057" t="s">
        <v>5</v>
      </c>
      <c r="B2057" t="str">
        <f t="shared" si="44"/>
        <v>40291</v>
      </c>
      <c r="C2057" t="str">
        <f>"012"</f>
        <v>012</v>
      </c>
      <c r="D2057">
        <v>2018</v>
      </c>
      <c r="E2057" s="3">
        <v>60080500</v>
      </c>
      <c r="F2057" s="3">
        <v>24539300</v>
      </c>
      <c r="G2057" t="s">
        <v>11</v>
      </c>
      <c r="H2057" s="5" t="s">
        <v>30</v>
      </c>
      <c r="I2057" t="s">
        <v>13</v>
      </c>
      <c r="J2057" t="s">
        <v>13</v>
      </c>
    </row>
    <row r="2058" spans="1:11" x14ac:dyDescent="0.35">
      <c r="A2058" t="s">
        <v>5</v>
      </c>
      <c r="B2058" t="str">
        <f t="shared" si="44"/>
        <v>40291</v>
      </c>
      <c r="C2058" t="str">
        <f>"013"</f>
        <v>013</v>
      </c>
      <c r="D2058">
        <v>2020</v>
      </c>
      <c r="E2058" s="3">
        <v>14270800</v>
      </c>
      <c r="F2058" s="3">
        <v>11141400</v>
      </c>
      <c r="G2058" t="s">
        <v>11</v>
      </c>
      <c r="H2058" s="5" t="s">
        <v>30</v>
      </c>
      <c r="I2058" t="s">
        <v>13</v>
      </c>
      <c r="J2058" t="s">
        <v>13</v>
      </c>
    </row>
    <row r="2059" spans="1:11" x14ac:dyDescent="0.35">
      <c r="A2059" t="s">
        <v>31</v>
      </c>
      <c r="B2059" t="s">
        <v>13</v>
      </c>
      <c r="C2059" t="s">
        <v>7</v>
      </c>
      <c r="D2059" t="s">
        <v>8</v>
      </c>
      <c r="E2059" s="3">
        <v>615709800</v>
      </c>
      <c r="F2059" s="3">
        <v>487470200</v>
      </c>
      <c r="G2059" t="s">
        <v>11</v>
      </c>
      <c r="H2059" s="5">
        <v>9006577400</v>
      </c>
      <c r="I2059" t="s">
        <v>13</v>
      </c>
      <c r="J2059" t="s">
        <v>13</v>
      </c>
      <c r="K2059">
        <v>5.41</v>
      </c>
    </row>
    <row r="2061" spans="1:11" x14ac:dyDescent="0.35">
      <c r="A2061" t="s">
        <v>418</v>
      </c>
      <c r="B2061" t="str">
        <f>"07191"</f>
        <v>07191</v>
      </c>
      <c r="C2061" t="str">
        <f>"002"</f>
        <v>002</v>
      </c>
      <c r="D2061">
        <v>2005</v>
      </c>
      <c r="E2061" s="3">
        <v>4962200</v>
      </c>
      <c r="F2061" s="3">
        <v>1739000</v>
      </c>
      <c r="G2061" t="s">
        <v>11</v>
      </c>
      <c r="H2061" s="5" t="s">
        <v>30</v>
      </c>
      <c r="I2061" t="s">
        <v>13</v>
      </c>
      <c r="J2061" t="s">
        <v>13</v>
      </c>
    </row>
    <row r="2062" spans="1:11" x14ac:dyDescent="0.35">
      <c r="A2062" t="s">
        <v>31</v>
      </c>
      <c r="B2062" t="s">
        <v>13</v>
      </c>
      <c r="C2062" t="s">
        <v>7</v>
      </c>
      <c r="D2062" t="s">
        <v>8</v>
      </c>
      <c r="E2062" s="3">
        <v>4962200</v>
      </c>
      <c r="F2062" s="3">
        <v>1739000</v>
      </c>
      <c r="G2062" t="s">
        <v>11</v>
      </c>
      <c r="H2062" s="5">
        <v>40799300</v>
      </c>
      <c r="I2062" t="s">
        <v>13</v>
      </c>
      <c r="J2062" t="s">
        <v>13</v>
      </c>
      <c r="K2062">
        <v>4.26</v>
      </c>
    </row>
    <row r="2064" spans="1:11" x14ac:dyDescent="0.35">
      <c r="A2064" t="s">
        <v>419</v>
      </c>
      <c r="B2064" t="str">
        <f t="shared" ref="B2064:B2075" si="45">"40292"</f>
        <v>40292</v>
      </c>
      <c r="C2064" t="str">
        <f>"005"</f>
        <v>005</v>
      </c>
      <c r="D2064">
        <v>2001</v>
      </c>
      <c r="E2064" s="3">
        <v>64393900</v>
      </c>
      <c r="F2064" s="3">
        <v>45869900</v>
      </c>
      <c r="G2064" t="s">
        <v>11</v>
      </c>
      <c r="H2064" s="5" t="s">
        <v>30</v>
      </c>
      <c r="I2064" t="s">
        <v>13</v>
      </c>
      <c r="J2064" t="s">
        <v>13</v>
      </c>
    </row>
    <row r="2065" spans="1:11" x14ac:dyDescent="0.35">
      <c r="A2065" t="s">
        <v>5</v>
      </c>
      <c r="B2065" t="str">
        <f t="shared" si="45"/>
        <v>40292</v>
      </c>
      <c r="C2065" t="str">
        <f>"006"</f>
        <v>006</v>
      </c>
      <c r="D2065">
        <v>2004</v>
      </c>
      <c r="E2065" s="3">
        <v>10507700</v>
      </c>
      <c r="F2065" s="3">
        <v>9177100</v>
      </c>
      <c r="G2065" t="s">
        <v>11</v>
      </c>
      <c r="H2065" s="5" t="s">
        <v>30</v>
      </c>
      <c r="I2065" t="s">
        <v>13</v>
      </c>
      <c r="J2065" t="s">
        <v>13</v>
      </c>
    </row>
    <row r="2066" spans="1:11" x14ac:dyDescent="0.35">
      <c r="A2066" t="s">
        <v>5</v>
      </c>
      <c r="B2066" t="str">
        <f t="shared" si="45"/>
        <v>40292</v>
      </c>
      <c r="C2066" t="str">
        <f>"007"</f>
        <v>007</v>
      </c>
      <c r="D2066">
        <v>2004</v>
      </c>
      <c r="E2066" s="3">
        <v>107807600</v>
      </c>
      <c r="F2066" s="3">
        <v>91893200</v>
      </c>
      <c r="G2066" t="s">
        <v>11</v>
      </c>
      <c r="H2066" s="5" t="s">
        <v>30</v>
      </c>
      <c r="I2066" t="s">
        <v>13</v>
      </c>
      <c r="J2066" t="s">
        <v>13</v>
      </c>
    </row>
    <row r="2067" spans="1:11" x14ac:dyDescent="0.35">
      <c r="A2067" t="s">
        <v>5</v>
      </c>
      <c r="B2067" t="str">
        <f t="shared" si="45"/>
        <v>40292</v>
      </c>
      <c r="C2067" t="str">
        <f>"010"</f>
        <v>010</v>
      </c>
      <c r="D2067">
        <v>2008</v>
      </c>
      <c r="E2067" s="3">
        <v>18323400</v>
      </c>
      <c r="F2067" s="3">
        <v>14859800</v>
      </c>
      <c r="G2067" t="s">
        <v>11</v>
      </c>
      <c r="H2067" s="5" t="s">
        <v>30</v>
      </c>
      <c r="I2067" t="s">
        <v>13</v>
      </c>
      <c r="J2067" t="s">
        <v>13</v>
      </c>
    </row>
    <row r="2068" spans="1:11" x14ac:dyDescent="0.35">
      <c r="A2068" t="s">
        <v>5</v>
      </c>
      <c r="B2068" t="str">
        <f t="shared" si="45"/>
        <v>40292</v>
      </c>
      <c r="C2068" t="str">
        <f>"011"</f>
        <v>011</v>
      </c>
      <c r="D2068">
        <v>2010</v>
      </c>
      <c r="E2068" s="3">
        <v>55300700</v>
      </c>
      <c r="F2068" s="3">
        <v>50622700</v>
      </c>
      <c r="G2068" t="s">
        <v>11</v>
      </c>
      <c r="H2068" s="5" t="s">
        <v>30</v>
      </c>
      <c r="I2068" t="s">
        <v>13</v>
      </c>
      <c r="J2068" t="s">
        <v>13</v>
      </c>
    </row>
    <row r="2069" spans="1:11" x14ac:dyDescent="0.35">
      <c r="A2069" t="s">
        <v>5</v>
      </c>
      <c r="B2069" t="str">
        <f t="shared" si="45"/>
        <v>40292</v>
      </c>
      <c r="C2069" t="str">
        <f>"012"</f>
        <v>012</v>
      </c>
      <c r="D2069">
        <v>2011</v>
      </c>
      <c r="E2069" s="3">
        <v>0</v>
      </c>
      <c r="F2069" s="3">
        <v>-232900</v>
      </c>
      <c r="G2069" t="s">
        <v>52</v>
      </c>
      <c r="H2069" s="5" t="s">
        <v>30</v>
      </c>
      <c r="I2069" t="s">
        <v>13</v>
      </c>
      <c r="J2069" t="s">
        <v>13</v>
      </c>
    </row>
    <row r="2070" spans="1:11" x14ac:dyDescent="0.35">
      <c r="A2070" t="s">
        <v>5</v>
      </c>
      <c r="B2070" t="str">
        <f t="shared" si="45"/>
        <v>40292</v>
      </c>
      <c r="C2070" t="str">
        <f>"013"</f>
        <v>013</v>
      </c>
      <c r="D2070">
        <v>2011</v>
      </c>
      <c r="E2070" s="3">
        <v>1129300</v>
      </c>
      <c r="F2070" s="3">
        <v>591900</v>
      </c>
      <c r="G2070" t="s">
        <v>11</v>
      </c>
      <c r="H2070" s="5" t="s">
        <v>30</v>
      </c>
      <c r="I2070" t="s">
        <v>13</v>
      </c>
      <c r="J2070" t="s">
        <v>13</v>
      </c>
    </row>
    <row r="2071" spans="1:11" x14ac:dyDescent="0.35">
      <c r="A2071" t="s">
        <v>5</v>
      </c>
      <c r="B2071" t="str">
        <f t="shared" si="45"/>
        <v>40292</v>
      </c>
      <c r="C2071" t="str">
        <f>"014"</f>
        <v>014</v>
      </c>
      <c r="D2071">
        <v>2015</v>
      </c>
      <c r="E2071" s="3">
        <v>29041400</v>
      </c>
      <c r="F2071" s="3">
        <v>27687100</v>
      </c>
      <c r="G2071" t="s">
        <v>11</v>
      </c>
      <c r="H2071" s="5" t="s">
        <v>30</v>
      </c>
      <c r="I2071" t="s">
        <v>13</v>
      </c>
      <c r="J2071" t="s">
        <v>13</v>
      </c>
    </row>
    <row r="2072" spans="1:11" x14ac:dyDescent="0.35">
      <c r="A2072" t="s">
        <v>5</v>
      </c>
      <c r="B2072" t="str">
        <f t="shared" si="45"/>
        <v>40292</v>
      </c>
      <c r="C2072" t="str">
        <f>"015"</f>
        <v>015</v>
      </c>
      <c r="D2072">
        <v>2016</v>
      </c>
      <c r="E2072" s="3">
        <v>48062000</v>
      </c>
      <c r="F2072" s="3">
        <v>48062000</v>
      </c>
      <c r="G2072" t="s">
        <v>11</v>
      </c>
      <c r="H2072" s="5" t="s">
        <v>30</v>
      </c>
      <c r="I2072" t="s">
        <v>13</v>
      </c>
      <c r="J2072" t="s">
        <v>13</v>
      </c>
    </row>
    <row r="2073" spans="1:11" x14ac:dyDescent="0.35">
      <c r="A2073" t="s">
        <v>5</v>
      </c>
      <c r="B2073" t="str">
        <f t="shared" si="45"/>
        <v>40292</v>
      </c>
      <c r="C2073" t="str">
        <f>"016"</f>
        <v>016</v>
      </c>
      <c r="D2073">
        <v>2018</v>
      </c>
      <c r="E2073" s="3">
        <v>18170200</v>
      </c>
      <c r="F2073" s="3">
        <v>14887000</v>
      </c>
      <c r="G2073" t="s">
        <v>11</v>
      </c>
      <c r="H2073" s="5" t="s">
        <v>30</v>
      </c>
      <c r="I2073" t="s">
        <v>13</v>
      </c>
      <c r="J2073" t="s">
        <v>13</v>
      </c>
    </row>
    <row r="2074" spans="1:11" x14ac:dyDescent="0.35">
      <c r="A2074" t="s">
        <v>5</v>
      </c>
      <c r="B2074" t="str">
        <f t="shared" si="45"/>
        <v>40292</v>
      </c>
      <c r="C2074" t="str">
        <f>"017"</f>
        <v>017</v>
      </c>
      <c r="D2074">
        <v>2019</v>
      </c>
      <c r="E2074" s="3">
        <v>36293000</v>
      </c>
      <c r="F2074" s="3">
        <v>20778500</v>
      </c>
      <c r="G2074" t="s">
        <v>11</v>
      </c>
      <c r="H2074" s="5" t="s">
        <v>30</v>
      </c>
      <c r="I2074" t="s">
        <v>13</v>
      </c>
      <c r="J2074" t="s">
        <v>13</v>
      </c>
    </row>
    <row r="2075" spans="1:11" x14ac:dyDescent="0.35">
      <c r="A2075" t="s">
        <v>5</v>
      </c>
      <c r="B2075" t="str">
        <f t="shared" si="45"/>
        <v>40292</v>
      </c>
      <c r="C2075" t="str">
        <f>"018"</f>
        <v>018</v>
      </c>
      <c r="D2075">
        <v>2020</v>
      </c>
      <c r="E2075" s="3">
        <v>9676300</v>
      </c>
      <c r="F2075" s="3">
        <v>2564200</v>
      </c>
      <c r="G2075" t="s">
        <v>11</v>
      </c>
      <c r="H2075" s="5" t="s">
        <v>30</v>
      </c>
      <c r="I2075" t="s">
        <v>13</v>
      </c>
      <c r="J2075" t="s">
        <v>13</v>
      </c>
    </row>
    <row r="2076" spans="1:11" x14ac:dyDescent="0.35">
      <c r="A2076" t="s">
        <v>31</v>
      </c>
      <c r="B2076" t="s">
        <v>13</v>
      </c>
      <c r="C2076" t="s">
        <v>7</v>
      </c>
      <c r="D2076" t="s">
        <v>8</v>
      </c>
      <c r="E2076" s="3">
        <v>398705500</v>
      </c>
      <c r="F2076" s="3">
        <v>326993400</v>
      </c>
      <c r="G2076" t="s">
        <v>11</v>
      </c>
      <c r="H2076" s="5">
        <v>5518411300</v>
      </c>
      <c r="I2076" t="s">
        <v>13</v>
      </c>
      <c r="J2076" t="s">
        <v>13</v>
      </c>
      <c r="K2076">
        <v>5.93</v>
      </c>
    </row>
    <row r="2078" spans="1:11" x14ac:dyDescent="0.35">
      <c r="A2078" t="s">
        <v>420</v>
      </c>
      <c r="B2078" t="str">
        <f>"56191"</f>
        <v>56191</v>
      </c>
      <c r="C2078" t="str">
        <f>"003"</f>
        <v>003</v>
      </c>
      <c r="D2078">
        <v>2018</v>
      </c>
      <c r="E2078" s="3">
        <v>13115700</v>
      </c>
      <c r="F2078" s="3">
        <v>2504100</v>
      </c>
      <c r="G2078" t="s">
        <v>11</v>
      </c>
      <c r="H2078" s="5" t="s">
        <v>30</v>
      </c>
      <c r="I2078" t="s">
        <v>13</v>
      </c>
      <c r="J2078" t="s">
        <v>13</v>
      </c>
    </row>
    <row r="2079" spans="1:11" x14ac:dyDescent="0.35">
      <c r="A2079" t="s">
        <v>31</v>
      </c>
      <c r="B2079" t="s">
        <v>13</v>
      </c>
      <c r="C2079" t="s">
        <v>7</v>
      </c>
      <c r="D2079" t="s">
        <v>8</v>
      </c>
      <c r="E2079" s="3">
        <v>13115700</v>
      </c>
      <c r="F2079" s="3">
        <v>2504100</v>
      </c>
      <c r="G2079" t="s">
        <v>11</v>
      </c>
      <c r="H2079" s="5">
        <v>156260300</v>
      </c>
      <c r="I2079" t="s">
        <v>13</v>
      </c>
      <c r="J2079" t="s">
        <v>13</v>
      </c>
      <c r="K2079">
        <v>1.6</v>
      </c>
    </row>
    <row r="2081" spans="1:11" x14ac:dyDescent="0.35">
      <c r="A2081" t="s">
        <v>421</v>
      </c>
      <c r="B2081" t="str">
        <f t="shared" ref="B2081:B2093" si="46">"66291"</f>
        <v>66291</v>
      </c>
      <c r="C2081" t="str">
        <f>"003"</f>
        <v>003</v>
      </c>
      <c r="D2081">
        <v>1995</v>
      </c>
      <c r="E2081" s="3">
        <v>41192800</v>
      </c>
      <c r="F2081" s="3">
        <v>36375100</v>
      </c>
      <c r="G2081" t="s">
        <v>11</v>
      </c>
      <c r="H2081" s="5" t="s">
        <v>30</v>
      </c>
      <c r="I2081" t="s">
        <v>13</v>
      </c>
      <c r="J2081" t="s">
        <v>13</v>
      </c>
    </row>
    <row r="2082" spans="1:11" x14ac:dyDescent="0.35">
      <c r="A2082" t="s">
        <v>5</v>
      </c>
      <c r="B2082" t="str">
        <f t="shared" si="46"/>
        <v>66291</v>
      </c>
      <c r="C2082" t="str">
        <f>"004"</f>
        <v>004</v>
      </c>
      <c r="D2082">
        <v>1997</v>
      </c>
      <c r="E2082" s="3">
        <v>95924500</v>
      </c>
      <c r="F2082" s="3">
        <v>95094600</v>
      </c>
      <c r="G2082" t="s">
        <v>11</v>
      </c>
      <c r="H2082" s="5" t="s">
        <v>30</v>
      </c>
      <c r="I2082" t="s">
        <v>13</v>
      </c>
      <c r="J2082" t="s">
        <v>13</v>
      </c>
    </row>
    <row r="2083" spans="1:11" x14ac:dyDescent="0.35">
      <c r="A2083" t="s">
        <v>5</v>
      </c>
      <c r="B2083" t="str">
        <f t="shared" si="46"/>
        <v>66291</v>
      </c>
      <c r="C2083" t="str">
        <f>"005"</f>
        <v>005</v>
      </c>
      <c r="D2083">
        <v>1998</v>
      </c>
      <c r="E2083" s="3">
        <v>20852600</v>
      </c>
      <c r="F2083" s="3">
        <v>19059200</v>
      </c>
      <c r="G2083" t="s">
        <v>11</v>
      </c>
      <c r="H2083" s="5" t="s">
        <v>30</v>
      </c>
      <c r="I2083" t="s">
        <v>13</v>
      </c>
      <c r="J2083" t="s">
        <v>13</v>
      </c>
    </row>
    <row r="2084" spans="1:11" x14ac:dyDescent="0.35">
      <c r="A2084" t="s">
        <v>5</v>
      </c>
      <c r="B2084" t="str">
        <f t="shared" si="46"/>
        <v>66291</v>
      </c>
      <c r="C2084" t="str">
        <f>"006"</f>
        <v>006</v>
      </c>
      <c r="D2084">
        <v>1999</v>
      </c>
      <c r="E2084" s="3">
        <v>71551900</v>
      </c>
      <c r="F2084" s="3">
        <v>67248500</v>
      </c>
      <c r="G2084" t="s">
        <v>11</v>
      </c>
      <c r="H2084" s="5" t="s">
        <v>30</v>
      </c>
      <c r="I2084" t="s">
        <v>13</v>
      </c>
      <c r="J2084" t="s">
        <v>13</v>
      </c>
    </row>
    <row r="2085" spans="1:11" x14ac:dyDescent="0.35">
      <c r="A2085" t="s">
        <v>5</v>
      </c>
      <c r="B2085" t="str">
        <f t="shared" si="46"/>
        <v>66291</v>
      </c>
      <c r="C2085" t="str">
        <f>"007"</f>
        <v>007</v>
      </c>
      <c r="D2085">
        <v>1999</v>
      </c>
      <c r="E2085" s="3">
        <v>40264500</v>
      </c>
      <c r="F2085" s="3">
        <v>19287700</v>
      </c>
      <c r="G2085" t="s">
        <v>11</v>
      </c>
      <c r="H2085" s="5" t="s">
        <v>30</v>
      </c>
      <c r="I2085" t="s">
        <v>13</v>
      </c>
      <c r="J2085" t="s">
        <v>13</v>
      </c>
    </row>
    <row r="2086" spans="1:11" x14ac:dyDescent="0.35">
      <c r="A2086" t="s">
        <v>5</v>
      </c>
      <c r="B2086" t="str">
        <f t="shared" si="46"/>
        <v>66291</v>
      </c>
      <c r="C2086" t="str">
        <f>"008"</f>
        <v>008</v>
      </c>
      <c r="D2086">
        <v>1999</v>
      </c>
      <c r="E2086" s="3">
        <v>1636900</v>
      </c>
      <c r="F2086" s="3">
        <v>1570700</v>
      </c>
      <c r="G2086" t="s">
        <v>11</v>
      </c>
      <c r="H2086" s="5" t="s">
        <v>30</v>
      </c>
      <c r="I2086" t="s">
        <v>13</v>
      </c>
      <c r="J2086" t="s">
        <v>13</v>
      </c>
    </row>
    <row r="2087" spans="1:11" x14ac:dyDescent="0.35">
      <c r="A2087" t="s">
        <v>5</v>
      </c>
      <c r="B2087" t="str">
        <f t="shared" si="46"/>
        <v>66291</v>
      </c>
      <c r="C2087" t="str">
        <f>"009"</f>
        <v>009</v>
      </c>
      <c r="D2087">
        <v>2003</v>
      </c>
      <c r="E2087" s="3">
        <v>6597000</v>
      </c>
      <c r="F2087" s="3">
        <v>2452800</v>
      </c>
      <c r="G2087" t="s">
        <v>11</v>
      </c>
      <c r="H2087" s="5" t="s">
        <v>30</v>
      </c>
      <c r="I2087" t="s">
        <v>13</v>
      </c>
      <c r="J2087" t="s">
        <v>13</v>
      </c>
    </row>
    <row r="2088" spans="1:11" x14ac:dyDescent="0.35">
      <c r="A2088" t="s">
        <v>5</v>
      </c>
      <c r="B2088" t="str">
        <f t="shared" si="46"/>
        <v>66291</v>
      </c>
      <c r="C2088" t="str">
        <f>"010"</f>
        <v>010</v>
      </c>
      <c r="D2088">
        <v>2004</v>
      </c>
      <c r="E2088" s="3">
        <v>59930700</v>
      </c>
      <c r="F2088" s="3">
        <v>53563700</v>
      </c>
      <c r="G2088" t="s">
        <v>11</v>
      </c>
      <c r="H2088" s="5" t="s">
        <v>30</v>
      </c>
      <c r="I2088" t="s">
        <v>13</v>
      </c>
      <c r="J2088" t="s">
        <v>13</v>
      </c>
    </row>
    <row r="2089" spans="1:11" x14ac:dyDescent="0.35">
      <c r="A2089" t="s">
        <v>5</v>
      </c>
      <c r="B2089" t="str">
        <f t="shared" si="46"/>
        <v>66291</v>
      </c>
      <c r="C2089" t="str">
        <f>"011"</f>
        <v>011</v>
      </c>
      <c r="D2089">
        <v>2005</v>
      </c>
      <c r="E2089" s="3">
        <v>33437000</v>
      </c>
      <c r="F2089" s="3">
        <v>23814000</v>
      </c>
      <c r="G2089" t="s">
        <v>11</v>
      </c>
      <c r="H2089" s="5" t="s">
        <v>30</v>
      </c>
      <c r="I2089" t="s">
        <v>13</v>
      </c>
      <c r="J2089" t="s">
        <v>13</v>
      </c>
    </row>
    <row r="2090" spans="1:11" x14ac:dyDescent="0.35">
      <c r="A2090" t="s">
        <v>5</v>
      </c>
      <c r="B2090" t="str">
        <f t="shared" si="46"/>
        <v>66291</v>
      </c>
      <c r="C2090" t="str">
        <f>"012"</f>
        <v>012</v>
      </c>
      <c r="D2090">
        <v>2008</v>
      </c>
      <c r="E2090" s="3">
        <v>61428900</v>
      </c>
      <c r="F2090" s="3">
        <v>49624400</v>
      </c>
      <c r="G2090" t="s">
        <v>11</v>
      </c>
      <c r="H2090" s="5" t="s">
        <v>30</v>
      </c>
      <c r="I2090" t="s">
        <v>13</v>
      </c>
      <c r="J2090" t="s">
        <v>13</v>
      </c>
    </row>
    <row r="2091" spans="1:11" x14ac:dyDescent="0.35">
      <c r="A2091" t="s">
        <v>5</v>
      </c>
      <c r="B2091" t="str">
        <f t="shared" si="46"/>
        <v>66291</v>
      </c>
      <c r="C2091" t="str">
        <f>"013"</f>
        <v>013</v>
      </c>
      <c r="D2091">
        <v>2011</v>
      </c>
      <c r="E2091" s="3">
        <v>7608900</v>
      </c>
      <c r="F2091" s="3">
        <v>3974700</v>
      </c>
      <c r="G2091" t="s">
        <v>11</v>
      </c>
      <c r="H2091" s="5" t="s">
        <v>30</v>
      </c>
      <c r="I2091" t="s">
        <v>13</v>
      </c>
      <c r="J2091" t="s">
        <v>13</v>
      </c>
    </row>
    <row r="2092" spans="1:11" x14ac:dyDescent="0.35">
      <c r="A2092" t="s">
        <v>5</v>
      </c>
      <c r="B2092" t="str">
        <f t="shared" si="46"/>
        <v>66291</v>
      </c>
      <c r="C2092" t="str">
        <f>"014"</f>
        <v>014</v>
      </c>
      <c r="D2092">
        <v>2020</v>
      </c>
      <c r="E2092" s="3">
        <v>17291400</v>
      </c>
      <c r="F2092" s="3">
        <v>17269600</v>
      </c>
      <c r="G2092" t="s">
        <v>11</v>
      </c>
      <c r="H2092" s="5" t="s">
        <v>30</v>
      </c>
      <c r="I2092" t="s">
        <v>13</v>
      </c>
      <c r="J2092" t="s">
        <v>13</v>
      </c>
    </row>
    <row r="2093" spans="1:11" x14ac:dyDescent="0.35">
      <c r="A2093" t="s">
        <v>5</v>
      </c>
      <c r="B2093" t="str">
        <f t="shared" si="46"/>
        <v>66291</v>
      </c>
      <c r="C2093" t="str">
        <f>"015"</f>
        <v>015</v>
      </c>
      <c r="D2093">
        <v>2021</v>
      </c>
      <c r="E2093" s="3">
        <v>4207200</v>
      </c>
      <c r="F2093" s="3">
        <v>2088800</v>
      </c>
      <c r="G2093" t="s">
        <v>11</v>
      </c>
      <c r="H2093" s="5" t="s">
        <v>30</v>
      </c>
      <c r="I2093" t="s">
        <v>13</v>
      </c>
      <c r="J2093" t="s">
        <v>13</v>
      </c>
    </row>
    <row r="2094" spans="1:11" x14ac:dyDescent="0.35">
      <c r="A2094" t="s">
        <v>31</v>
      </c>
      <c r="B2094" t="s">
        <v>13</v>
      </c>
      <c r="C2094" t="s">
        <v>7</v>
      </c>
      <c r="D2094" t="s">
        <v>8</v>
      </c>
      <c r="E2094" s="3">
        <v>461924300</v>
      </c>
      <c r="F2094" s="3">
        <v>391423800</v>
      </c>
      <c r="G2094" t="s">
        <v>11</v>
      </c>
      <c r="H2094" s="5">
        <v>3991313500</v>
      </c>
      <c r="I2094" t="s">
        <v>13</v>
      </c>
      <c r="J2094" t="s">
        <v>13</v>
      </c>
      <c r="K2094">
        <v>9.81</v>
      </c>
    </row>
    <row r="2096" spans="1:11" x14ac:dyDescent="0.35">
      <c r="A2096" t="s">
        <v>422</v>
      </c>
      <c r="B2096" t="str">
        <f>"40191"</f>
        <v>40191</v>
      </c>
      <c r="C2096" t="str">
        <f>"002"</f>
        <v>002</v>
      </c>
      <c r="D2096">
        <v>2001</v>
      </c>
      <c r="E2096" s="3">
        <v>23921100</v>
      </c>
      <c r="F2096" s="3">
        <v>18898800</v>
      </c>
      <c r="G2096" t="s">
        <v>11</v>
      </c>
      <c r="H2096" s="5" t="s">
        <v>30</v>
      </c>
      <c r="I2096" t="s">
        <v>13</v>
      </c>
      <c r="J2096" t="s">
        <v>13</v>
      </c>
    </row>
    <row r="2097" spans="1:11" x14ac:dyDescent="0.35">
      <c r="A2097" t="s">
        <v>31</v>
      </c>
      <c r="B2097" t="s">
        <v>13</v>
      </c>
      <c r="C2097" t="s">
        <v>7</v>
      </c>
      <c r="D2097" t="s">
        <v>8</v>
      </c>
      <c r="E2097" s="3">
        <v>23921100</v>
      </c>
      <c r="F2097" s="3">
        <v>18898800</v>
      </c>
      <c r="G2097" t="s">
        <v>11</v>
      </c>
      <c r="H2097" s="5">
        <v>459054300</v>
      </c>
      <c r="I2097" t="s">
        <v>13</v>
      </c>
      <c r="J2097" t="s">
        <v>13</v>
      </c>
      <c r="K2097">
        <v>4.12</v>
      </c>
    </row>
    <row r="2099" spans="1:11" x14ac:dyDescent="0.35">
      <c r="A2099" t="s">
        <v>423</v>
      </c>
      <c r="B2099" t="str">
        <f>"32191"</f>
        <v>32191</v>
      </c>
      <c r="C2099" t="str">
        <f>"001"</f>
        <v>001</v>
      </c>
      <c r="D2099">
        <v>2007</v>
      </c>
      <c r="E2099" s="3">
        <v>31806800</v>
      </c>
      <c r="F2099" s="3">
        <v>26896000</v>
      </c>
      <c r="G2099" t="s">
        <v>11</v>
      </c>
      <c r="H2099" s="5" t="s">
        <v>30</v>
      </c>
      <c r="I2099" t="s">
        <v>13</v>
      </c>
      <c r="J2099" t="s">
        <v>13</v>
      </c>
    </row>
    <row r="2100" spans="1:11" x14ac:dyDescent="0.35">
      <c r="A2100" t="s">
        <v>31</v>
      </c>
      <c r="B2100" t="s">
        <v>13</v>
      </c>
      <c r="C2100" t="s">
        <v>7</v>
      </c>
      <c r="D2100" t="s">
        <v>8</v>
      </c>
      <c r="E2100" s="3">
        <v>31806800</v>
      </c>
      <c r="F2100" s="3">
        <v>26896000</v>
      </c>
      <c r="G2100" t="s">
        <v>11</v>
      </c>
      <c r="H2100" s="5">
        <v>592002800</v>
      </c>
      <c r="I2100" t="s">
        <v>13</v>
      </c>
      <c r="J2100" t="s">
        <v>13</v>
      </c>
      <c r="K2100">
        <v>4.54</v>
      </c>
    </row>
    <row r="2102" spans="1:11" x14ac:dyDescent="0.35">
      <c r="A2102" t="s">
        <v>424</v>
      </c>
      <c r="B2102" t="str">
        <f>"62291"</f>
        <v>62291</v>
      </c>
      <c r="C2102" t="str">
        <f>"002"</f>
        <v>002</v>
      </c>
      <c r="D2102">
        <v>2007</v>
      </c>
      <c r="E2102" s="3">
        <v>15953100</v>
      </c>
      <c r="F2102" s="3">
        <v>9726400</v>
      </c>
      <c r="G2102" t="s">
        <v>11</v>
      </c>
      <c r="H2102" s="5" t="s">
        <v>30</v>
      </c>
      <c r="I2102" t="s">
        <v>13</v>
      </c>
      <c r="J2102" t="s">
        <v>13</v>
      </c>
    </row>
    <row r="2103" spans="1:11" x14ac:dyDescent="0.35">
      <c r="A2103" t="s">
        <v>5</v>
      </c>
      <c r="B2103" t="str">
        <f>"62291"</f>
        <v>62291</v>
      </c>
      <c r="C2103" t="str">
        <f>"003"</f>
        <v>003</v>
      </c>
      <c r="D2103">
        <v>2008</v>
      </c>
      <c r="E2103" s="3">
        <v>18230900</v>
      </c>
      <c r="F2103" s="3">
        <v>11639200</v>
      </c>
      <c r="G2103" t="s">
        <v>11</v>
      </c>
      <c r="H2103" s="5" t="s">
        <v>30</v>
      </c>
      <c r="I2103" t="s">
        <v>13</v>
      </c>
      <c r="J2103" t="s">
        <v>13</v>
      </c>
    </row>
    <row r="2104" spans="1:11" x14ac:dyDescent="0.35">
      <c r="A2104" t="s">
        <v>31</v>
      </c>
      <c r="B2104" t="s">
        <v>13</v>
      </c>
      <c r="C2104" t="s">
        <v>7</v>
      </c>
      <c r="D2104" t="s">
        <v>8</v>
      </c>
      <c r="E2104" s="3">
        <v>34184000</v>
      </c>
      <c r="F2104" s="3">
        <v>21365600</v>
      </c>
      <c r="G2104" t="s">
        <v>11</v>
      </c>
      <c r="H2104" s="5">
        <v>162487200</v>
      </c>
      <c r="I2104" t="s">
        <v>13</v>
      </c>
      <c r="J2104" t="s">
        <v>13</v>
      </c>
      <c r="K2104">
        <v>13.15</v>
      </c>
    </row>
    <row r="2106" spans="1:11" x14ac:dyDescent="0.35">
      <c r="A2106" t="s">
        <v>425</v>
      </c>
      <c r="B2106" t="str">
        <f>"37192"</f>
        <v>37192</v>
      </c>
      <c r="C2106" t="str">
        <f>"001"</f>
        <v>001</v>
      </c>
      <c r="D2106">
        <v>1998</v>
      </c>
      <c r="E2106" s="3">
        <v>360153200</v>
      </c>
      <c r="F2106" s="3">
        <v>321501600</v>
      </c>
      <c r="G2106" t="s">
        <v>11</v>
      </c>
      <c r="H2106" s="5" t="s">
        <v>30</v>
      </c>
      <c r="I2106" t="s">
        <v>13</v>
      </c>
      <c r="J2106" t="s">
        <v>13</v>
      </c>
    </row>
    <row r="2107" spans="1:11" x14ac:dyDescent="0.35">
      <c r="A2107" t="s">
        <v>5</v>
      </c>
      <c r="B2107" t="str">
        <f>"37192"</f>
        <v>37192</v>
      </c>
      <c r="C2107" t="str">
        <f>"002"</f>
        <v>002</v>
      </c>
      <c r="D2107">
        <v>2004</v>
      </c>
      <c r="E2107" s="3">
        <v>68233200</v>
      </c>
      <c r="F2107" s="3">
        <v>33747600</v>
      </c>
      <c r="G2107" t="s">
        <v>11</v>
      </c>
      <c r="H2107" s="5" t="s">
        <v>30</v>
      </c>
      <c r="I2107" t="s">
        <v>13</v>
      </c>
      <c r="J2107" t="s">
        <v>13</v>
      </c>
    </row>
    <row r="2108" spans="1:11" x14ac:dyDescent="0.35">
      <c r="A2108" t="s">
        <v>31</v>
      </c>
      <c r="B2108" t="s">
        <v>13</v>
      </c>
      <c r="C2108" t="s">
        <v>7</v>
      </c>
      <c r="D2108" t="s">
        <v>8</v>
      </c>
      <c r="E2108" s="3">
        <v>428386400</v>
      </c>
      <c r="F2108" s="3">
        <v>355249200</v>
      </c>
      <c r="G2108" t="s">
        <v>11</v>
      </c>
      <c r="H2108" s="5">
        <v>1531100600</v>
      </c>
      <c r="I2108" t="s">
        <v>13</v>
      </c>
      <c r="J2108" t="s">
        <v>13</v>
      </c>
      <c r="K2108">
        <v>23.2</v>
      </c>
    </row>
    <row r="2110" spans="1:11" x14ac:dyDescent="0.35">
      <c r="A2110" t="s">
        <v>426</v>
      </c>
      <c r="B2110" t="str">
        <f>"68292"</f>
        <v>68292</v>
      </c>
      <c r="C2110" t="str">
        <f>"004"</f>
        <v>004</v>
      </c>
      <c r="D2110">
        <v>2001</v>
      </c>
      <c r="E2110" s="3">
        <v>7801500</v>
      </c>
      <c r="F2110" s="3">
        <v>7342700</v>
      </c>
      <c r="G2110" t="s">
        <v>11</v>
      </c>
      <c r="H2110" s="5" t="s">
        <v>30</v>
      </c>
      <c r="I2110" t="s">
        <v>13</v>
      </c>
      <c r="J2110" t="s">
        <v>13</v>
      </c>
    </row>
    <row r="2111" spans="1:11" x14ac:dyDescent="0.35">
      <c r="A2111" t="s">
        <v>5</v>
      </c>
      <c r="B2111" t="str">
        <f>"68292"</f>
        <v>68292</v>
      </c>
      <c r="C2111" t="str">
        <f>"005"</f>
        <v>005</v>
      </c>
      <c r="D2111">
        <v>2007</v>
      </c>
      <c r="E2111" s="3">
        <v>2981000</v>
      </c>
      <c r="F2111" s="3">
        <v>1122200</v>
      </c>
      <c r="G2111" t="s">
        <v>11</v>
      </c>
      <c r="H2111" s="5" t="s">
        <v>30</v>
      </c>
      <c r="I2111" t="s">
        <v>13</v>
      </c>
      <c r="J2111" t="s">
        <v>13</v>
      </c>
    </row>
    <row r="2112" spans="1:11" x14ac:dyDescent="0.35">
      <c r="A2112" t="s">
        <v>5</v>
      </c>
      <c r="B2112" t="str">
        <f>"68292"</f>
        <v>68292</v>
      </c>
      <c r="C2112" t="str">
        <f>"006"</f>
        <v>006</v>
      </c>
      <c r="D2112">
        <v>2015</v>
      </c>
      <c r="E2112" s="3">
        <v>10958400</v>
      </c>
      <c r="F2112" s="3">
        <v>4347400</v>
      </c>
      <c r="G2112" t="s">
        <v>11</v>
      </c>
      <c r="H2112" s="5" t="s">
        <v>30</v>
      </c>
      <c r="I2112" t="s">
        <v>13</v>
      </c>
      <c r="J2112" t="s">
        <v>13</v>
      </c>
    </row>
    <row r="2113" spans="1:11" x14ac:dyDescent="0.35">
      <c r="A2113" t="s">
        <v>5</v>
      </c>
      <c r="B2113" t="str">
        <f>"68292"</f>
        <v>68292</v>
      </c>
      <c r="C2113" t="str">
        <f>"007"</f>
        <v>007</v>
      </c>
      <c r="D2113">
        <v>2015</v>
      </c>
      <c r="E2113" s="3">
        <v>1781500</v>
      </c>
      <c r="F2113" s="3">
        <v>1031800</v>
      </c>
      <c r="G2113" t="s">
        <v>11</v>
      </c>
      <c r="H2113" s="5" t="s">
        <v>30</v>
      </c>
      <c r="I2113" t="s">
        <v>13</v>
      </c>
      <c r="J2113" t="s">
        <v>13</v>
      </c>
    </row>
    <row r="2114" spans="1:11" x14ac:dyDescent="0.35">
      <c r="A2114" t="s">
        <v>31</v>
      </c>
      <c r="B2114" t="s">
        <v>13</v>
      </c>
      <c r="C2114" t="s">
        <v>7</v>
      </c>
      <c r="D2114" t="s">
        <v>8</v>
      </c>
      <c r="E2114" s="3">
        <v>23522400</v>
      </c>
      <c r="F2114" s="3">
        <v>13844100</v>
      </c>
      <c r="G2114" t="s">
        <v>11</v>
      </c>
      <c r="H2114" s="5">
        <v>130341000</v>
      </c>
      <c r="I2114" t="s">
        <v>13</v>
      </c>
      <c r="J2114" t="s">
        <v>13</v>
      </c>
      <c r="K2114">
        <v>10.62</v>
      </c>
    </row>
    <row r="2116" spans="1:11" x14ac:dyDescent="0.35">
      <c r="A2116" t="s">
        <v>427</v>
      </c>
      <c r="B2116" t="str">
        <f>"54191"</f>
        <v>54191</v>
      </c>
      <c r="C2116" t="str">
        <f>"001"</f>
        <v>001</v>
      </c>
      <c r="D2116">
        <v>2013</v>
      </c>
      <c r="E2116" s="3">
        <v>14759500</v>
      </c>
      <c r="F2116" s="3">
        <v>14030800</v>
      </c>
      <c r="G2116" t="s">
        <v>11</v>
      </c>
      <c r="H2116" s="5" t="s">
        <v>30</v>
      </c>
      <c r="I2116" t="s">
        <v>13</v>
      </c>
      <c r="J2116" t="s">
        <v>13</v>
      </c>
    </row>
    <row r="2117" spans="1:11" x14ac:dyDescent="0.35">
      <c r="A2117" t="s">
        <v>31</v>
      </c>
      <c r="B2117" t="s">
        <v>13</v>
      </c>
      <c r="C2117" t="s">
        <v>7</v>
      </c>
      <c r="D2117" t="s">
        <v>8</v>
      </c>
      <c r="E2117" s="3">
        <v>14759500</v>
      </c>
      <c r="F2117" s="3">
        <v>14030800</v>
      </c>
      <c r="G2117" t="s">
        <v>11</v>
      </c>
      <c r="H2117" s="5">
        <v>22467100</v>
      </c>
      <c r="I2117" t="s">
        <v>13</v>
      </c>
      <c r="J2117" t="s">
        <v>13</v>
      </c>
      <c r="K2117">
        <v>62.45</v>
      </c>
    </row>
    <row r="2119" spans="1:11" x14ac:dyDescent="0.35">
      <c r="A2119" t="s">
        <v>428</v>
      </c>
      <c r="B2119" t="str">
        <f>"34191"</f>
        <v>34191</v>
      </c>
      <c r="C2119" t="str">
        <f>"002"</f>
        <v>002</v>
      </c>
      <c r="D2119">
        <v>2021</v>
      </c>
      <c r="E2119" s="3">
        <v>2504300</v>
      </c>
      <c r="F2119" s="3">
        <v>171400</v>
      </c>
      <c r="G2119" t="s">
        <v>11</v>
      </c>
      <c r="H2119" s="5" t="s">
        <v>30</v>
      </c>
      <c r="I2119" t="s">
        <v>13</v>
      </c>
      <c r="J2119" t="s">
        <v>13</v>
      </c>
    </row>
    <row r="2120" spans="1:11" x14ac:dyDescent="0.35">
      <c r="A2120" t="s">
        <v>31</v>
      </c>
      <c r="B2120" t="s">
        <v>13</v>
      </c>
      <c r="C2120" t="s">
        <v>7</v>
      </c>
      <c r="D2120" t="s">
        <v>8</v>
      </c>
      <c r="E2120" s="3">
        <v>2504300</v>
      </c>
      <c r="F2120" s="3">
        <v>171400</v>
      </c>
      <c r="G2120" t="s">
        <v>11</v>
      </c>
      <c r="H2120" s="5">
        <v>24036000</v>
      </c>
      <c r="I2120" t="s">
        <v>13</v>
      </c>
      <c r="J2120" t="s">
        <v>13</v>
      </c>
      <c r="K2120">
        <v>0.71</v>
      </c>
    </row>
    <row r="2122" spans="1:11" x14ac:dyDescent="0.35">
      <c r="A2122" t="s">
        <v>429</v>
      </c>
      <c r="B2122" t="str">
        <f>"40192"</f>
        <v>40192</v>
      </c>
      <c r="C2122" t="str">
        <f>"001"</f>
        <v>001</v>
      </c>
      <c r="D2122">
        <v>2004</v>
      </c>
      <c r="E2122" s="3">
        <v>71464100</v>
      </c>
      <c r="F2122" s="3">
        <v>33060400</v>
      </c>
      <c r="G2122" t="s">
        <v>11</v>
      </c>
      <c r="H2122" s="5" t="s">
        <v>30</v>
      </c>
      <c r="I2122" t="s">
        <v>13</v>
      </c>
      <c r="J2122" t="s">
        <v>13</v>
      </c>
    </row>
    <row r="2123" spans="1:11" x14ac:dyDescent="0.35">
      <c r="A2123" t="s">
        <v>5</v>
      </c>
      <c r="B2123" t="str">
        <f>"40192"</f>
        <v>40192</v>
      </c>
      <c r="C2123" t="str">
        <f>"002"</f>
        <v>002</v>
      </c>
      <c r="D2123">
        <v>2013</v>
      </c>
      <c r="E2123" s="3">
        <v>19094500</v>
      </c>
      <c r="F2123" s="3">
        <v>18688900</v>
      </c>
      <c r="G2123" t="s">
        <v>11</v>
      </c>
      <c r="H2123" s="5" t="s">
        <v>30</v>
      </c>
      <c r="I2123" t="s">
        <v>13</v>
      </c>
      <c r="J2123" t="s">
        <v>13</v>
      </c>
    </row>
    <row r="2124" spans="1:11" x14ac:dyDescent="0.35">
      <c r="A2124" t="s">
        <v>31</v>
      </c>
      <c r="B2124" t="s">
        <v>13</v>
      </c>
      <c r="C2124" t="s">
        <v>7</v>
      </c>
      <c r="D2124" t="s">
        <v>8</v>
      </c>
      <c r="E2124" s="3">
        <v>90558600</v>
      </c>
      <c r="F2124" s="3">
        <v>51749300</v>
      </c>
      <c r="G2124" t="s">
        <v>11</v>
      </c>
      <c r="H2124" s="5">
        <v>2911508400</v>
      </c>
      <c r="I2124" t="s">
        <v>13</v>
      </c>
      <c r="J2124" t="s">
        <v>13</v>
      </c>
      <c r="K2124">
        <v>1.78</v>
      </c>
    </row>
    <row r="2126" spans="1:11" x14ac:dyDescent="0.35">
      <c r="A2126" t="s">
        <v>430</v>
      </c>
      <c r="B2126" t="str">
        <f>"61291"</f>
        <v>61291</v>
      </c>
      <c r="C2126" t="str">
        <f>"002"</f>
        <v>002</v>
      </c>
      <c r="D2126">
        <v>2006</v>
      </c>
      <c r="E2126" s="3">
        <v>6343900</v>
      </c>
      <c r="F2126" s="3">
        <v>5354800</v>
      </c>
      <c r="G2126" t="s">
        <v>11</v>
      </c>
      <c r="H2126" s="5" t="s">
        <v>30</v>
      </c>
      <c r="I2126" t="s">
        <v>13</v>
      </c>
      <c r="J2126" t="s">
        <v>13</v>
      </c>
    </row>
    <row r="2127" spans="1:11" x14ac:dyDescent="0.35">
      <c r="A2127" t="s">
        <v>5</v>
      </c>
      <c r="B2127" t="str">
        <f>"61291"</f>
        <v>61291</v>
      </c>
      <c r="C2127" t="str">
        <f>"003"</f>
        <v>003</v>
      </c>
      <c r="D2127">
        <v>2006</v>
      </c>
      <c r="E2127" s="3">
        <v>16227200</v>
      </c>
      <c r="F2127" s="3">
        <v>8521200</v>
      </c>
      <c r="G2127" t="s">
        <v>11</v>
      </c>
      <c r="H2127" s="5" t="s">
        <v>30</v>
      </c>
      <c r="I2127" t="s">
        <v>13</v>
      </c>
      <c r="J2127" t="s">
        <v>13</v>
      </c>
    </row>
    <row r="2128" spans="1:11" x14ac:dyDescent="0.35">
      <c r="A2128" t="s">
        <v>31</v>
      </c>
      <c r="B2128" t="s">
        <v>13</v>
      </c>
      <c r="C2128" t="s">
        <v>7</v>
      </c>
      <c r="D2128" t="s">
        <v>8</v>
      </c>
      <c r="E2128" s="3">
        <v>22571100</v>
      </c>
      <c r="F2128" s="3">
        <v>13876000</v>
      </c>
      <c r="G2128" t="s">
        <v>11</v>
      </c>
      <c r="H2128" s="5">
        <v>118618500</v>
      </c>
      <c r="I2128" t="s">
        <v>13</v>
      </c>
      <c r="J2128" t="s">
        <v>13</v>
      </c>
      <c r="K2128">
        <v>11.7</v>
      </c>
    </row>
    <row r="2130" spans="1:11" x14ac:dyDescent="0.35">
      <c r="A2130" t="s">
        <v>431</v>
      </c>
      <c r="B2130" t="str">
        <f>"36191"</f>
        <v>36191</v>
      </c>
      <c r="C2130" t="str">
        <f>"002"</f>
        <v>002</v>
      </c>
      <c r="D2130">
        <v>2010</v>
      </c>
      <c r="E2130" s="3">
        <v>4896300</v>
      </c>
      <c r="F2130" s="3">
        <v>2606200</v>
      </c>
      <c r="G2130" t="s">
        <v>11</v>
      </c>
      <c r="H2130" s="5" t="s">
        <v>30</v>
      </c>
      <c r="I2130" t="s">
        <v>13</v>
      </c>
      <c r="J2130" t="s">
        <v>13</v>
      </c>
    </row>
    <row r="2131" spans="1:11" x14ac:dyDescent="0.35">
      <c r="A2131" t="s">
        <v>31</v>
      </c>
      <c r="B2131" t="s">
        <v>13</v>
      </c>
      <c r="C2131" t="s">
        <v>7</v>
      </c>
      <c r="D2131" t="s">
        <v>8</v>
      </c>
      <c r="E2131" s="3">
        <v>4896300</v>
      </c>
      <c r="F2131" s="3">
        <v>2606200</v>
      </c>
      <c r="G2131" t="s">
        <v>11</v>
      </c>
      <c r="H2131" s="5">
        <v>54753400</v>
      </c>
      <c r="I2131" t="s">
        <v>13</v>
      </c>
      <c r="J2131" t="s">
        <v>13</v>
      </c>
      <c r="K2131">
        <v>4.76</v>
      </c>
    </row>
    <row r="2133" spans="1:11" x14ac:dyDescent="0.35">
      <c r="A2133" t="s">
        <v>432</v>
      </c>
      <c r="B2133" t="str">
        <f>"64291"</f>
        <v>64291</v>
      </c>
      <c r="C2133" t="str">
        <f>"010"</f>
        <v>010</v>
      </c>
      <c r="D2133">
        <v>2021</v>
      </c>
      <c r="E2133" s="3">
        <v>46303000</v>
      </c>
      <c r="F2133" s="3">
        <v>-77200</v>
      </c>
      <c r="G2133" t="s">
        <v>52</v>
      </c>
      <c r="H2133" s="5" t="s">
        <v>30</v>
      </c>
      <c r="I2133" t="s">
        <v>13</v>
      </c>
      <c r="J2133" t="s">
        <v>13</v>
      </c>
    </row>
    <row r="2134" spans="1:11" x14ac:dyDescent="0.35">
      <c r="A2134" t="s">
        <v>5</v>
      </c>
      <c r="B2134" t="str">
        <f>"28292"</f>
        <v>28292</v>
      </c>
      <c r="C2134" t="str">
        <f>"010"</f>
        <v>010</v>
      </c>
      <c r="D2134">
        <v>2021</v>
      </c>
      <c r="E2134" s="3">
        <v>5104200</v>
      </c>
      <c r="F2134" s="3">
        <v>227900</v>
      </c>
      <c r="G2134" t="s">
        <v>11</v>
      </c>
      <c r="H2134" s="5" t="s">
        <v>30</v>
      </c>
      <c r="I2134" t="s">
        <v>13</v>
      </c>
      <c r="J2134" t="s">
        <v>13</v>
      </c>
    </row>
    <row r="2135" spans="1:11" x14ac:dyDescent="0.35">
      <c r="A2135" t="s">
        <v>5</v>
      </c>
      <c r="B2135" t="str">
        <f>"64291"</f>
        <v>64291</v>
      </c>
      <c r="C2135" t="str">
        <f>"011"</f>
        <v>011</v>
      </c>
      <c r="D2135">
        <v>2021</v>
      </c>
      <c r="E2135" s="3">
        <v>6010400</v>
      </c>
      <c r="F2135" s="3">
        <v>1407400</v>
      </c>
      <c r="G2135" t="s">
        <v>11</v>
      </c>
      <c r="H2135" s="5" t="s">
        <v>30</v>
      </c>
      <c r="I2135" t="s">
        <v>13</v>
      </c>
      <c r="J2135" t="s">
        <v>13</v>
      </c>
    </row>
    <row r="2136" spans="1:11" x14ac:dyDescent="0.35">
      <c r="A2136" t="s">
        <v>5</v>
      </c>
      <c r="B2136" t="str">
        <f>"64291"</f>
        <v>64291</v>
      </c>
      <c r="C2136" t="str">
        <f>"012"</f>
        <v>012</v>
      </c>
      <c r="D2136">
        <v>2021</v>
      </c>
      <c r="E2136" s="3">
        <v>20492500</v>
      </c>
      <c r="F2136" s="3">
        <v>674800</v>
      </c>
      <c r="G2136" t="s">
        <v>11</v>
      </c>
      <c r="H2136" s="5" t="s">
        <v>30</v>
      </c>
      <c r="I2136" t="s">
        <v>13</v>
      </c>
      <c r="J2136" t="s">
        <v>13</v>
      </c>
    </row>
    <row r="2137" spans="1:11" x14ac:dyDescent="0.35">
      <c r="A2137" t="s">
        <v>5</v>
      </c>
      <c r="B2137" t="str">
        <f>"64291"</f>
        <v>64291</v>
      </c>
      <c r="C2137" t="str">
        <f>"013"</f>
        <v>013</v>
      </c>
      <c r="D2137">
        <v>2021</v>
      </c>
      <c r="E2137" s="3">
        <v>7883100</v>
      </c>
      <c r="F2137" s="3">
        <v>299200</v>
      </c>
      <c r="G2137" t="s">
        <v>11</v>
      </c>
      <c r="H2137" s="5" t="s">
        <v>30</v>
      </c>
      <c r="I2137" t="s">
        <v>13</v>
      </c>
      <c r="J2137" t="s">
        <v>13</v>
      </c>
    </row>
    <row r="2138" spans="1:11" x14ac:dyDescent="0.35">
      <c r="A2138" t="s">
        <v>5</v>
      </c>
      <c r="B2138" t="str">
        <f>"28292"</f>
        <v>28292</v>
      </c>
      <c r="C2138" t="str">
        <f>"014"</f>
        <v>014</v>
      </c>
      <c r="D2138">
        <v>2021</v>
      </c>
      <c r="E2138" s="3">
        <v>26035300</v>
      </c>
      <c r="F2138" s="3">
        <v>3115600</v>
      </c>
      <c r="G2138" t="s">
        <v>11</v>
      </c>
      <c r="H2138" s="5" t="s">
        <v>30</v>
      </c>
      <c r="I2138" t="s">
        <v>13</v>
      </c>
      <c r="J2138" t="s">
        <v>13</v>
      </c>
    </row>
    <row r="2139" spans="1:11" x14ac:dyDescent="0.35">
      <c r="A2139" t="s">
        <v>5</v>
      </c>
      <c r="B2139" t="str">
        <f>"64291"</f>
        <v>64291</v>
      </c>
      <c r="C2139" t="str">
        <f>"014"</f>
        <v>014</v>
      </c>
      <c r="D2139">
        <v>2021</v>
      </c>
      <c r="E2139" s="3">
        <v>15781300</v>
      </c>
      <c r="F2139" s="3">
        <v>-1175000</v>
      </c>
      <c r="G2139" t="s">
        <v>52</v>
      </c>
      <c r="H2139" s="5" t="s">
        <v>30</v>
      </c>
      <c r="I2139" t="s">
        <v>13</v>
      </c>
      <c r="J2139" t="s">
        <v>13</v>
      </c>
    </row>
    <row r="2140" spans="1:11" x14ac:dyDescent="0.35">
      <c r="A2140" t="s">
        <v>31</v>
      </c>
      <c r="B2140" t="s">
        <v>13</v>
      </c>
      <c r="C2140" t="s">
        <v>7</v>
      </c>
      <c r="D2140" t="s">
        <v>8</v>
      </c>
      <c r="E2140" s="3">
        <v>127609800</v>
      </c>
      <c r="F2140" s="3">
        <v>5724900</v>
      </c>
      <c r="G2140" t="s">
        <v>11</v>
      </c>
      <c r="H2140" s="5">
        <v>861165600</v>
      </c>
      <c r="I2140" t="s">
        <v>13</v>
      </c>
      <c r="J2140" t="s">
        <v>13</v>
      </c>
      <c r="K2140">
        <v>0.66</v>
      </c>
    </row>
    <row r="2142" spans="1:11" x14ac:dyDescent="0.35">
      <c r="A2142" t="s">
        <v>433</v>
      </c>
      <c r="B2142" t="str">
        <f>"49191"</f>
        <v>49191</v>
      </c>
      <c r="C2142" t="str">
        <f>"001"</f>
        <v>001</v>
      </c>
      <c r="D2142">
        <v>1994</v>
      </c>
      <c r="E2142" s="3">
        <v>5627200</v>
      </c>
      <c r="F2142" s="3">
        <v>3922400</v>
      </c>
      <c r="G2142" t="s">
        <v>11</v>
      </c>
      <c r="H2142" s="5" t="s">
        <v>30</v>
      </c>
      <c r="I2142" t="s">
        <v>13</v>
      </c>
      <c r="J2142" t="s">
        <v>13</v>
      </c>
    </row>
    <row r="2143" spans="1:11" x14ac:dyDescent="0.35">
      <c r="A2143" t="s">
        <v>31</v>
      </c>
      <c r="B2143" t="s">
        <v>13</v>
      </c>
      <c r="C2143" t="s">
        <v>7</v>
      </c>
      <c r="D2143" t="s">
        <v>8</v>
      </c>
      <c r="E2143" s="3">
        <v>5627200</v>
      </c>
      <c r="F2143" s="3">
        <v>3922400</v>
      </c>
      <c r="G2143" t="s">
        <v>11</v>
      </c>
      <c r="H2143" s="5">
        <v>157568900</v>
      </c>
      <c r="I2143" t="s">
        <v>13</v>
      </c>
      <c r="J2143" t="s">
        <v>13</v>
      </c>
      <c r="K2143">
        <v>2.4900000000000002</v>
      </c>
    </row>
    <row r="2145" spans="1:11" x14ac:dyDescent="0.35">
      <c r="A2145" t="s">
        <v>434</v>
      </c>
      <c r="B2145" t="str">
        <f>"69191"</f>
        <v>69191</v>
      </c>
      <c r="C2145" t="str">
        <f>"002"</f>
        <v>002</v>
      </c>
      <c r="D2145">
        <v>2000</v>
      </c>
      <c r="E2145" s="3">
        <v>2506400</v>
      </c>
      <c r="F2145" s="3">
        <v>1501400</v>
      </c>
      <c r="G2145" t="s">
        <v>11</v>
      </c>
      <c r="H2145" s="5" t="s">
        <v>30</v>
      </c>
      <c r="I2145" t="s">
        <v>13</v>
      </c>
      <c r="J2145" t="s">
        <v>13</v>
      </c>
    </row>
    <row r="2146" spans="1:11" x14ac:dyDescent="0.35">
      <c r="A2146" t="s">
        <v>5</v>
      </c>
      <c r="B2146" t="str">
        <f>"69191"</f>
        <v>69191</v>
      </c>
      <c r="C2146" t="str">
        <f>"003"</f>
        <v>003</v>
      </c>
      <c r="D2146">
        <v>2006</v>
      </c>
      <c r="E2146" s="3">
        <v>2860900</v>
      </c>
      <c r="F2146" s="3">
        <v>2025300</v>
      </c>
      <c r="G2146" t="s">
        <v>11</v>
      </c>
      <c r="H2146" s="5" t="s">
        <v>30</v>
      </c>
      <c r="I2146" t="s">
        <v>13</v>
      </c>
      <c r="J2146" t="s">
        <v>13</v>
      </c>
    </row>
    <row r="2147" spans="1:11" x14ac:dyDescent="0.35">
      <c r="A2147" t="s">
        <v>31</v>
      </c>
      <c r="B2147" t="s">
        <v>13</v>
      </c>
      <c r="C2147" t="s">
        <v>7</v>
      </c>
      <c r="D2147" t="s">
        <v>8</v>
      </c>
      <c r="E2147" s="3">
        <v>5367300</v>
      </c>
      <c r="F2147" s="3">
        <v>3526700</v>
      </c>
      <c r="G2147" t="s">
        <v>11</v>
      </c>
      <c r="H2147" s="5">
        <v>44409800</v>
      </c>
      <c r="I2147" t="s">
        <v>13</v>
      </c>
      <c r="J2147" t="s">
        <v>13</v>
      </c>
      <c r="K2147">
        <v>7.94</v>
      </c>
    </row>
    <row r="2149" spans="1:11" x14ac:dyDescent="0.35">
      <c r="A2149" t="s">
        <v>435</v>
      </c>
      <c r="B2149" t="str">
        <f>"41191"</f>
        <v>41191</v>
      </c>
      <c r="C2149" t="str">
        <f>"002"</f>
        <v>002</v>
      </c>
      <c r="D2149">
        <v>1998</v>
      </c>
      <c r="E2149" s="3">
        <v>20229400</v>
      </c>
      <c r="F2149" s="3">
        <v>17967900</v>
      </c>
      <c r="G2149" t="s">
        <v>11</v>
      </c>
      <c r="H2149" s="5" t="s">
        <v>30</v>
      </c>
      <c r="I2149" t="s">
        <v>13</v>
      </c>
      <c r="J2149" t="s">
        <v>13</v>
      </c>
    </row>
    <row r="2150" spans="1:11" x14ac:dyDescent="0.35">
      <c r="A2150" t="s">
        <v>31</v>
      </c>
      <c r="B2150" t="s">
        <v>13</v>
      </c>
      <c r="C2150" t="s">
        <v>7</v>
      </c>
      <c r="D2150" t="s">
        <v>8</v>
      </c>
      <c r="E2150" s="3">
        <v>20229400</v>
      </c>
      <c r="F2150" s="3">
        <v>17967900</v>
      </c>
      <c r="G2150" t="s">
        <v>11</v>
      </c>
      <c r="H2150" s="5">
        <v>39578700</v>
      </c>
      <c r="I2150" t="s">
        <v>13</v>
      </c>
      <c r="J2150" t="s">
        <v>13</v>
      </c>
      <c r="K2150">
        <v>45.4</v>
      </c>
    </row>
    <row r="2152" spans="1:11" x14ac:dyDescent="0.35">
      <c r="A2152" t="s">
        <v>436</v>
      </c>
      <c r="B2152" t="str">
        <f>"13196"</f>
        <v>13196</v>
      </c>
      <c r="C2152" t="str">
        <f>"001"</f>
        <v>001</v>
      </c>
      <c r="D2152">
        <v>2014</v>
      </c>
      <c r="E2152" s="3">
        <v>22906300</v>
      </c>
      <c r="F2152" s="3">
        <v>22523700</v>
      </c>
      <c r="G2152" t="s">
        <v>11</v>
      </c>
      <c r="H2152" s="5" t="s">
        <v>30</v>
      </c>
      <c r="I2152" t="s">
        <v>13</v>
      </c>
      <c r="J2152" t="s">
        <v>13</v>
      </c>
    </row>
    <row r="2153" spans="1:11" x14ac:dyDescent="0.35">
      <c r="A2153" t="s">
        <v>31</v>
      </c>
      <c r="B2153" t="s">
        <v>13</v>
      </c>
      <c r="C2153" t="s">
        <v>7</v>
      </c>
      <c r="D2153" t="s">
        <v>8</v>
      </c>
      <c r="E2153" s="3">
        <v>22906300</v>
      </c>
      <c r="F2153" s="3">
        <v>22523700</v>
      </c>
      <c r="G2153" t="s">
        <v>11</v>
      </c>
      <c r="H2153" s="5">
        <v>1305644600</v>
      </c>
      <c r="I2153" t="s">
        <v>13</v>
      </c>
      <c r="J2153" t="s">
        <v>13</v>
      </c>
      <c r="K2153">
        <v>1.73</v>
      </c>
    </row>
    <row r="2155" spans="1:11" x14ac:dyDescent="0.35">
      <c r="A2155" t="s">
        <v>437</v>
      </c>
      <c r="B2155" t="str">
        <f>"70191"</f>
        <v>70191</v>
      </c>
      <c r="C2155" t="str">
        <f>"003"</f>
        <v>003</v>
      </c>
      <c r="D2155">
        <v>1996</v>
      </c>
      <c r="E2155" s="3">
        <v>5952500</v>
      </c>
      <c r="F2155" s="3">
        <v>1306200</v>
      </c>
      <c r="G2155" t="s">
        <v>11</v>
      </c>
      <c r="H2155" s="5" t="s">
        <v>30</v>
      </c>
      <c r="I2155" t="s">
        <v>13</v>
      </c>
      <c r="J2155" t="s">
        <v>13</v>
      </c>
    </row>
    <row r="2156" spans="1:11" x14ac:dyDescent="0.35">
      <c r="A2156" t="s">
        <v>5</v>
      </c>
      <c r="B2156" t="str">
        <f>"70191"</f>
        <v>70191</v>
      </c>
      <c r="C2156" t="str">
        <f>"005"</f>
        <v>005</v>
      </c>
      <c r="D2156">
        <v>2000</v>
      </c>
      <c r="E2156" s="3">
        <v>11672900</v>
      </c>
      <c r="F2156" s="3">
        <v>6921300</v>
      </c>
      <c r="G2156" t="s">
        <v>11</v>
      </c>
      <c r="H2156" s="5" t="s">
        <v>30</v>
      </c>
      <c r="I2156" t="s">
        <v>13</v>
      </c>
      <c r="J2156" t="s">
        <v>13</v>
      </c>
    </row>
    <row r="2157" spans="1:11" x14ac:dyDescent="0.35">
      <c r="A2157" t="s">
        <v>5</v>
      </c>
      <c r="B2157" t="str">
        <f>"70191"</f>
        <v>70191</v>
      </c>
      <c r="C2157" t="str">
        <f>"006"</f>
        <v>006</v>
      </c>
      <c r="D2157">
        <v>2000</v>
      </c>
      <c r="E2157" s="3">
        <v>7682800</v>
      </c>
      <c r="F2157" s="3">
        <v>6853300</v>
      </c>
      <c r="G2157" t="s">
        <v>11</v>
      </c>
      <c r="H2157" s="5" t="s">
        <v>30</v>
      </c>
      <c r="I2157" t="s">
        <v>13</v>
      </c>
      <c r="J2157" t="s">
        <v>13</v>
      </c>
    </row>
    <row r="2158" spans="1:11" x14ac:dyDescent="0.35">
      <c r="A2158" t="s">
        <v>5</v>
      </c>
      <c r="B2158" t="str">
        <f>"70191"</f>
        <v>70191</v>
      </c>
      <c r="C2158" t="str">
        <f>"007"</f>
        <v>007</v>
      </c>
      <c r="D2158">
        <v>2002</v>
      </c>
      <c r="E2158" s="3">
        <v>9436500</v>
      </c>
      <c r="F2158" s="3">
        <v>7366200</v>
      </c>
      <c r="G2158" t="s">
        <v>11</v>
      </c>
      <c r="H2158" s="5" t="s">
        <v>30</v>
      </c>
      <c r="I2158" t="s">
        <v>13</v>
      </c>
      <c r="J2158" t="s">
        <v>13</v>
      </c>
    </row>
    <row r="2159" spans="1:11" x14ac:dyDescent="0.35">
      <c r="A2159" t="s">
        <v>5</v>
      </c>
      <c r="B2159" t="str">
        <f>"70191"</f>
        <v>70191</v>
      </c>
      <c r="C2159" t="str">
        <f>"008"</f>
        <v>008</v>
      </c>
      <c r="D2159">
        <v>2011</v>
      </c>
      <c r="E2159" s="3">
        <v>1811300</v>
      </c>
      <c r="F2159" s="3">
        <v>1811300</v>
      </c>
      <c r="G2159" t="s">
        <v>11</v>
      </c>
      <c r="H2159" s="5" t="s">
        <v>30</v>
      </c>
      <c r="I2159" t="s">
        <v>13</v>
      </c>
      <c r="J2159" t="s">
        <v>13</v>
      </c>
    </row>
    <row r="2160" spans="1:11" x14ac:dyDescent="0.35">
      <c r="A2160" t="s">
        <v>31</v>
      </c>
      <c r="B2160" t="s">
        <v>13</v>
      </c>
      <c r="C2160" t="s">
        <v>7</v>
      </c>
      <c r="D2160" t="s">
        <v>8</v>
      </c>
      <c r="E2160" s="3">
        <v>36556000</v>
      </c>
      <c r="F2160" s="3">
        <v>24258300</v>
      </c>
      <c r="G2160" t="s">
        <v>11</v>
      </c>
      <c r="H2160" s="5">
        <v>284879300</v>
      </c>
      <c r="I2160" t="s">
        <v>13</v>
      </c>
      <c r="J2160" t="s">
        <v>13</v>
      </c>
      <c r="K2160">
        <v>8.52</v>
      </c>
    </row>
    <row r="2162" spans="1:11" x14ac:dyDescent="0.35">
      <c r="A2162" t="s">
        <v>438</v>
      </c>
      <c r="B2162" t="str">
        <f>"56291"</f>
        <v>56291</v>
      </c>
      <c r="C2162" t="str">
        <f>"002"</f>
        <v>002</v>
      </c>
      <c r="D2162">
        <v>2001</v>
      </c>
      <c r="E2162" s="3">
        <v>46914200</v>
      </c>
      <c r="F2162" s="3">
        <v>31331600</v>
      </c>
      <c r="G2162" t="s">
        <v>11</v>
      </c>
      <c r="H2162" s="5" t="s">
        <v>30</v>
      </c>
      <c r="I2162" t="s">
        <v>13</v>
      </c>
      <c r="J2162" t="s">
        <v>13</v>
      </c>
    </row>
    <row r="2163" spans="1:11" x14ac:dyDescent="0.35">
      <c r="A2163" t="s">
        <v>5</v>
      </c>
      <c r="B2163" t="str">
        <f>"56291"</f>
        <v>56291</v>
      </c>
      <c r="C2163" t="str">
        <f>"003"</f>
        <v>003</v>
      </c>
      <c r="D2163">
        <v>2005</v>
      </c>
      <c r="E2163" s="3">
        <v>5300700</v>
      </c>
      <c r="F2163" s="3">
        <v>3335500</v>
      </c>
      <c r="G2163" t="s">
        <v>11</v>
      </c>
      <c r="H2163" s="5" t="s">
        <v>30</v>
      </c>
      <c r="I2163" t="s">
        <v>13</v>
      </c>
      <c r="J2163" t="s">
        <v>13</v>
      </c>
    </row>
    <row r="2164" spans="1:11" x14ac:dyDescent="0.35">
      <c r="A2164" t="s">
        <v>5</v>
      </c>
      <c r="B2164" t="str">
        <f>"01291"</f>
        <v>01291</v>
      </c>
      <c r="C2164" t="str">
        <f>"003"</f>
        <v>003</v>
      </c>
      <c r="D2164">
        <v>2005</v>
      </c>
      <c r="E2164" s="3">
        <v>68550900</v>
      </c>
      <c r="F2164" s="3">
        <v>66401700</v>
      </c>
      <c r="G2164" t="s">
        <v>11</v>
      </c>
      <c r="H2164" s="5" t="s">
        <v>30</v>
      </c>
      <c r="I2164" t="s">
        <v>13</v>
      </c>
      <c r="J2164" t="s">
        <v>13</v>
      </c>
    </row>
    <row r="2165" spans="1:11" x14ac:dyDescent="0.35">
      <c r="A2165" t="s">
        <v>5</v>
      </c>
      <c r="B2165" t="str">
        <f>"11291"</f>
        <v>11291</v>
      </c>
      <c r="C2165" t="str">
        <f>"003"</f>
        <v>003</v>
      </c>
      <c r="D2165">
        <v>2005</v>
      </c>
      <c r="E2165" s="3">
        <v>42873200</v>
      </c>
      <c r="F2165" s="3">
        <v>27517800</v>
      </c>
      <c r="G2165" t="s">
        <v>11</v>
      </c>
      <c r="H2165" s="5" t="s">
        <v>30</v>
      </c>
      <c r="I2165" t="s">
        <v>13</v>
      </c>
      <c r="J2165" t="s">
        <v>13</v>
      </c>
    </row>
    <row r="2166" spans="1:11" x14ac:dyDescent="0.35">
      <c r="A2166" t="s">
        <v>5</v>
      </c>
      <c r="B2166" t="str">
        <f>"56291"</f>
        <v>56291</v>
      </c>
      <c r="C2166" t="str">
        <f>"004"</f>
        <v>004</v>
      </c>
      <c r="D2166">
        <v>2006</v>
      </c>
      <c r="E2166" s="3">
        <v>3822800</v>
      </c>
      <c r="F2166" s="3">
        <v>2358700</v>
      </c>
      <c r="G2166" t="s">
        <v>11</v>
      </c>
      <c r="H2166" s="5" t="s">
        <v>30</v>
      </c>
      <c r="I2166" t="s">
        <v>13</v>
      </c>
      <c r="J2166" t="s">
        <v>13</v>
      </c>
    </row>
    <row r="2167" spans="1:11" x14ac:dyDescent="0.35">
      <c r="A2167" t="s">
        <v>5</v>
      </c>
      <c r="B2167" t="str">
        <f>"29291"</f>
        <v>29291</v>
      </c>
      <c r="C2167" t="str">
        <f>"004"</f>
        <v>004</v>
      </c>
      <c r="D2167">
        <v>2006</v>
      </c>
      <c r="E2167" s="3">
        <v>419900</v>
      </c>
      <c r="F2167" s="3">
        <v>-129800</v>
      </c>
      <c r="G2167" t="s">
        <v>52</v>
      </c>
      <c r="H2167" s="5" t="s">
        <v>30</v>
      </c>
      <c r="I2167" t="s">
        <v>13</v>
      </c>
      <c r="J2167" t="s">
        <v>13</v>
      </c>
    </row>
    <row r="2168" spans="1:11" x14ac:dyDescent="0.35">
      <c r="A2168" t="s">
        <v>31</v>
      </c>
      <c r="B2168" t="s">
        <v>13</v>
      </c>
      <c r="C2168" t="s">
        <v>7</v>
      </c>
      <c r="D2168" t="s">
        <v>8</v>
      </c>
      <c r="E2168" s="3">
        <v>167881700</v>
      </c>
      <c r="F2168" s="3">
        <v>130945300</v>
      </c>
      <c r="G2168" t="s">
        <v>11</v>
      </c>
      <c r="H2168" s="5">
        <v>572656800</v>
      </c>
      <c r="I2168" t="s">
        <v>13</v>
      </c>
      <c r="J2168" t="s">
        <v>13</v>
      </c>
      <c r="K2168">
        <v>22.87</v>
      </c>
    </row>
    <row r="2170" spans="1:11" x14ac:dyDescent="0.35">
      <c r="A2170" t="s">
        <v>439</v>
      </c>
      <c r="B2170" t="str">
        <f>"71291"</f>
        <v>71291</v>
      </c>
      <c r="C2170" t="str">
        <f>"006"</f>
        <v>006</v>
      </c>
      <c r="D2170">
        <v>2004</v>
      </c>
      <c r="E2170" s="3">
        <v>18361700</v>
      </c>
      <c r="F2170" s="3">
        <v>14446600</v>
      </c>
      <c r="G2170" t="s">
        <v>11</v>
      </c>
      <c r="H2170" s="5" t="s">
        <v>30</v>
      </c>
      <c r="I2170" t="s">
        <v>13</v>
      </c>
      <c r="J2170" t="s">
        <v>13</v>
      </c>
    </row>
    <row r="2171" spans="1:11" x14ac:dyDescent="0.35">
      <c r="A2171" t="s">
        <v>5</v>
      </c>
      <c r="B2171" t="str">
        <f>"71291"</f>
        <v>71291</v>
      </c>
      <c r="C2171" t="str">
        <f>"007"</f>
        <v>007</v>
      </c>
      <c r="D2171">
        <v>2005</v>
      </c>
      <c r="E2171" s="3">
        <v>47285600</v>
      </c>
      <c r="F2171" s="3">
        <v>12335900</v>
      </c>
      <c r="G2171" t="s">
        <v>11</v>
      </c>
      <c r="H2171" s="5" t="s">
        <v>30</v>
      </c>
      <c r="I2171" t="s">
        <v>13</v>
      </c>
      <c r="J2171" t="s">
        <v>13</v>
      </c>
    </row>
    <row r="2172" spans="1:11" x14ac:dyDescent="0.35">
      <c r="A2172" t="s">
        <v>5</v>
      </c>
      <c r="B2172" t="str">
        <f>"71291"</f>
        <v>71291</v>
      </c>
      <c r="C2172" t="str">
        <f>"008"</f>
        <v>008</v>
      </c>
      <c r="D2172">
        <v>2019</v>
      </c>
      <c r="E2172" s="3">
        <v>24104400</v>
      </c>
      <c r="F2172" s="3">
        <v>24104400</v>
      </c>
      <c r="G2172" t="s">
        <v>11</v>
      </c>
      <c r="H2172" s="5" t="s">
        <v>30</v>
      </c>
      <c r="I2172" t="s">
        <v>13</v>
      </c>
      <c r="J2172" t="s">
        <v>13</v>
      </c>
    </row>
    <row r="2173" spans="1:11" x14ac:dyDescent="0.35">
      <c r="A2173" t="s">
        <v>31</v>
      </c>
      <c r="B2173" t="s">
        <v>13</v>
      </c>
      <c r="C2173" t="s">
        <v>7</v>
      </c>
      <c r="D2173" t="s">
        <v>8</v>
      </c>
      <c r="E2173" s="3">
        <v>89751700</v>
      </c>
      <c r="F2173" s="3">
        <v>50886900</v>
      </c>
      <c r="G2173" t="s">
        <v>11</v>
      </c>
      <c r="H2173" s="5">
        <v>1358225200</v>
      </c>
      <c r="I2173" t="s">
        <v>13</v>
      </c>
      <c r="J2173" t="s">
        <v>13</v>
      </c>
      <c r="K2173">
        <v>3.75</v>
      </c>
    </row>
    <row r="2175" spans="1:11" x14ac:dyDescent="0.35">
      <c r="A2175" t="s">
        <v>440</v>
      </c>
      <c r="B2175" t="str">
        <f>"10191"</f>
        <v>10191</v>
      </c>
      <c r="C2175" t="str">
        <f>"001"</f>
        <v>001</v>
      </c>
      <c r="D2175">
        <v>1996</v>
      </c>
      <c r="E2175" s="3">
        <v>3704400</v>
      </c>
      <c r="F2175" s="3">
        <v>3204600</v>
      </c>
      <c r="G2175" t="s">
        <v>11</v>
      </c>
      <c r="H2175" s="5" t="s">
        <v>30</v>
      </c>
      <c r="I2175" t="s">
        <v>13</v>
      </c>
      <c r="J2175" t="s">
        <v>13</v>
      </c>
    </row>
    <row r="2176" spans="1:11" x14ac:dyDescent="0.35">
      <c r="A2176" t="s">
        <v>5</v>
      </c>
      <c r="B2176" t="str">
        <f>"10191"</f>
        <v>10191</v>
      </c>
      <c r="C2176" t="str">
        <f>"002"</f>
        <v>002</v>
      </c>
      <c r="D2176">
        <v>2010</v>
      </c>
      <c r="E2176" s="3">
        <v>1478000</v>
      </c>
      <c r="F2176" s="3">
        <v>1049300</v>
      </c>
      <c r="G2176" t="s">
        <v>11</v>
      </c>
      <c r="H2176" s="5" t="s">
        <v>30</v>
      </c>
      <c r="I2176" t="s">
        <v>13</v>
      </c>
      <c r="J2176" t="s">
        <v>13</v>
      </c>
    </row>
    <row r="2177" spans="1:11" x14ac:dyDescent="0.35">
      <c r="A2177" t="s">
        <v>5</v>
      </c>
      <c r="B2177" t="str">
        <f>"10191"</f>
        <v>10191</v>
      </c>
      <c r="C2177" t="str">
        <f>"003"</f>
        <v>003</v>
      </c>
      <c r="D2177">
        <v>2012</v>
      </c>
      <c r="E2177" s="3">
        <v>1132200</v>
      </c>
      <c r="F2177" s="3">
        <v>869400</v>
      </c>
      <c r="G2177" t="s">
        <v>11</v>
      </c>
      <c r="H2177" s="5" t="s">
        <v>30</v>
      </c>
      <c r="I2177" t="s">
        <v>13</v>
      </c>
      <c r="J2177" t="s">
        <v>13</v>
      </c>
    </row>
    <row r="2178" spans="1:11" x14ac:dyDescent="0.35">
      <c r="A2178" t="s">
        <v>31</v>
      </c>
      <c r="B2178" t="s">
        <v>13</v>
      </c>
      <c r="C2178" t="s">
        <v>7</v>
      </c>
      <c r="D2178" t="s">
        <v>8</v>
      </c>
      <c r="E2178" s="3">
        <v>6314600</v>
      </c>
      <c r="F2178" s="3">
        <v>5123300</v>
      </c>
      <c r="G2178" t="s">
        <v>11</v>
      </c>
      <c r="H2178" s="5">
        <v>30878100</v>
      </c>
      <c r="I2178" t="s">
        <v>13</v>
      </c>
      <c r="J2178" t="s">
        <v>13</v>
      </c>
      <c r="K2178">
        <v>16.59</v>
      </c>
    </row>
    <row r="2180" spans="1:11" x14ac:dyDescent="0.35">
      <c r="A2180" t="s">
        <v>441</v>
      </c>
      <c r="B2180" t="str">
        <f>"58191"</f>
        <v>58191</v>
      </c>
      <c r="C2180" t="str">
        <f>"001"</f>
        <v>001</v>
      </c>
      <c r="D2180">
        <v>2000</v>
      </c>
      <c r="E2180" s="3">
        <v>7196100</v>
      </c>
      <c r="F2180" s="3">
        <v>6994700</v>
      </c>
      <c r="G2180" t="s">
        <v>11</v>
      </c>
      <c r="H2180" s="5" t="s">
        <v>30</v>
      </c>
      <c r="I2180" t="s">
        <v>13</v>
      </c>
      <c r="J2180" t="s">
        <v>13</v>
      </c>
    </row>
    <row r="2181" spans="1:11" x14ac:dyDescent="0.35">
      <c r="A2181" t="s">
        <v>5</v>
      </c>
      <c r="B2181" t="str">
        <f>"58191"</f>
        <v>58191</v>
      </c>
      <c r="C2181" t="str">
        <f>"002"</f>
        <v>002</v>
      </c>
      <c r="D2181">
        <v>2011</v>
      </c>
      <c r="E2181" s="3">
        <v>3559700</v>
      </c>
      <c r="F2181" s="3">
        <v>2151800</v>
      </c>
      <c r="G2181" t="s">
        <v>11</v>
      </c>
      <c r="H2181" s="5" t="s">
        <v>30</v>
      </c>
      <c r="I2181" t="s">
        <v>13</v>
      </c>
      <c r="J2181" t="s">
        <v>13</v>
      </c>
    </row>
    <row r="2182" spans="1:11" x14ac:dyDescent="0.35">
      <c r="A2182" t="s">
        <v>5</v>
      </c>
      <c r="B2182" t="str">
        <f>"58191"</f>
        <v>58191</v>
      </c>
      <c r="C2182" t="str">
        <f>"003"</f>
        <v>003</v>
      </c>
      <c r="D2182">
        <v>2015</v>
      </c>
      <c r="E2182" s="3">
        <v>6447300</v>
      </c>
      <c r="F2182" s="3">
        <v>6444000</v>
      </c>
      <c r="G2182" t="s">
        <v>11</v>
      </c>
      <c r="H2182" s="5" t="s">
        <v>30</v>
      </c>
      <c r="I2182" t="s">
        <v>13</v>
      </c>
      <c r="J2182" t="s">
        <v>13</v>
      </c>
    </row>
    <row r="2183" spans="1:11" x14ac:dyDescent="0.35">
      <c r="A2183" t="s">
        <v>31</v>
      </c>
      <c r="B2183" t="s">
        <v>13</v>
      </c>
      <c r="C2183" t="s">
        <v>7</v>
      </c>
      <c r="D2183" t="s">
        <v>8</v>
      </c>
      <c r="E2183" s="3">
        <v>17203100</v>
      </c>
      <c r="F2183" s="3">
        <v>15590500</v>
      </c>
      <c r="G2183" t="s">
        <v>11</v>
      </c>
      <c r="H2183" s="5">
        <v>71442000</v>
      </c>
      <c r="I2183" t="s">
        <v>13</v>
      </c>
      <c r="J2183" t="s">
        <v>13</v>
      </c>
      <c r="K2183">
        <v>21.82</v>
      </c>
    </row>
    <row r="2185" spans="1:11" x14ac:dyDescent="0.35">
      <c r="A2185" t="s">
        <v>442</v>
      </c>
      <c r="B2185" t="str">
        <f>"55192"</f>
        <v>55192</v>
      </c>
      <c r="C2185" t="str">
        <f>"003"</f>
        <v>003</v>
      </c>
      <c r="D2185">
        <v>1995</v>
      </c>
      <c r="E2185" s="3">
        <v>37685300</v>
      </c>
      <c r="F2185" s="3">
        <v>36684300</v>
      </c>
      <c r="G2185" t="s">
        <v>11</v>
      </c>
      <c r="H2185" s="5" t="s">
        <v>30</v>
      </c>
      <c r="I2185" t="s">
        <v>13</v>
      </c>
      <c r="J2185" t="s">
        <v>13</v>
      </c>
    </row>
    <row r="2186" spans="1:11" x14ac:dyDescent="0.35">
      <c r="A2186" t="s">
        <v>5</v>
      </c>
      <c r="B2186" t="str">
        <f>"55192"</f>
        <v>55192</v>
      </c>
      <c r="C2186" t="str">
        <f>"004"</f>
        <v>004</v>
      </c>
      <c r="D2186">
        <v>2005</v>
      </c>
      <c r="E2186" s="3">
        <v>910400</v>
      </c>
      <c r="F2186" s="3">
        <v>716800</v>
      </c>
      <c r="G2186" t="s">
        <v>11</v>
      </c>
      <c r="H2186" s="5" t="s">
        <v>30</v>
      </c>
      <c r="I2186" t="s">
        <v>13</v>
      </c>
      <c r="J2186" t="s">
        <v>13</v>
      </c>
    </row>
    <row r="2187" spans="1:11" x14ac:dyDescent="0.35">
      <c r="A2187" t="s">
        <v>31</v>
      </c>
      <c r="B2187" t="s">
        <v>13</v>
      </c>
      <c r="C2187" t="s">
        <v>7</v>
      </c>
      <c r="D2187" t="s">
        <v>8</v>
      </c>
      <c r="E2187" s="3">
        <v>38595700</v>
      </c>
      <c r="F2187" s="3">
        <v>37401100</v>
      </c>
      <c r="G2187" t="s">
        <v>11</v>
      </c>
      <c r="H2187" s="5">
        <v>139294700</v>
      </c>
      <c r="I2187" t="s">
        <v>13</v>
      </c>
      <c r="J2187" t="s">
        <v>13</v>
      </c>
      <c r="K2187">
        <v>26.85</v>
      </c>
    </row>
    <row r="2189" spans="1:11" x14ac:dyDescent="0.35">
      <c r="A2189" t="s">
        <v>443</v>
      </c>
      <c r="B2189" t="str">
        <f>"05191"</f>
        <v>05191</v>
      </c>
      <c r="C2189" t="str">
        <f>"003"</f>
        <v>003</v>
      </c>
      <c r="D2189">
        <v>2015</v>
      </c>
      <c r="E2189" s="3">
        <v>19583400</v>
      </c>
      <c r="F2189" s="3">
        <v>10629500</v>
      </c>
      <c r="G2189" t="s">
        <v>11</v>
      </c>
      <c r="H2189" s="5" t="s">
        <v>30</v>
      </c>
      <c r="I2189" t="s">
        <v>13</v>
      </c>
      <c r="J2189" t="s">
        <v>13</v>
      </c>
    </row>
    <row r="2190" spans="1:11" x14ac:dyDescent="0.35">
      <c r="A2190" t="s">
        <v>5</v>
      </c>
      <c r="B2190" t="str">
        <f>"44191"</f>
        <v>44191</v>
      </c>
      <c r="C2190" t="str">
        <f>"003"</f>
        <v>003</v>
      </c>
      <c r="D2190">
        <v>2015</v>
      </c>
      <c r="E2190" s="3">
        <v>48125100</v>
      </c>
      <c r="F2190" s="3">
        <v>46182200</v>
      </c>
      <c r="G2190" t="s">
        <v>11</v>
      </c>
      <c r="H2190" s="5" t="s">
        <v>30</v>
      </c>
      <c r="I2190" t="s">
        <v>13</v>
      </c>
      <c r="J2190" t="s">
        <v>13</v>
      </c>
    </row>
    <row r="2191" spans="1:11" x14ac:dyDescent="0.35">
      <c r="A2191" t="s">
        <v>5</v>
      </c>
      <c r="B2191" t="str">
        <f>"05191"</f>
        <v>05191</v>
      </c>
      <c r="C2191" t="str">
        <f>"004"</f>
        <v>004</v>
      </c>
      <c r="D2191">
        <v>2016</v>
      </c>
      <c r="E2191" s="3">
        <v>14315300</v>
      </c>
      <c r="F2191" s="3">
        <v>14306900</v>
      </c>
      <c r="G2191" t="s">
        <v>11</v>
      </c>
      <c r="H2191" s="5" t="s">
        <v>30</v>
      </c>
      <c r="I2191" t="s">
        <v>13</v>
      </c>
      <c r="J2191" t="s">
        <v>13</v>
      </c>
    </row>
    <row r="2192" spans="1:11" x14ac:dyDescent="0.35">
      <c r="A2192" t="s">
        <v>5</v>
      </c>
      <c r="B2192" t="str">
        <f>"44191"</f>
        <v>44191</v>
      </c>
      <c r="C2192" t="str">
        <f>"004"</f>
        <v>004</v>
      </c>
      <c r="D2192">
        <v>2016</v>
      </c>
      <c r="E2192" s="3">
        <v>4404200</v>
      </c>
      <c r="F2192" s="3">
        <v>3316700</v>
      </c>
      <c r="G2192" t="s">
        <v>11</v>
      </c>
      <c r="H2192" s="5" t="s">
        <v>30</v>
      </c>
      <c r="I2192" t="s">
        <v>13</v>
      </c>
      <c r="J2192" t="s">
        <v>13</v>
      </c>
    </row>
    <row r="2193" spans="1:11" x14ac:dyDescent="0.35">
      <c r="A2193" t="s">
        <v>5</v>
      </c>
      <c r="B2193" t="str">
        <f>"05191"</f>
        <v>05191</v>
      </c>
      <c r="C2193" t="str">
        <f>"005"</f>
        <v>005</v>
      </c>
      <c r="D2193">
        <v>2018</v>
      </c>
      <c r="E2193" s="3">
        <v>14286100</v>
      </c>
      <c r="F2193" s="3">
        <v>8971000</v>
      </c>
      <c r="G2193" t="s">
        <v>11</v>
      </c>
      <c r="H2193" s="5" t="s">
        <v>30</v>
      </c>
      <c r="I2193" t="s">
        <v>13</v>
      </c>
      <c r="J2193" t="s">
        <v>13</v>
      </c>
    </row>
    <row r="2194" spans="1:11" x14ac:dyDescent="0.35">
      <c r="A2194" t="s">
        <v>31</v>
      </c>
      <c r="B2194" t="s">
        <v>13</v>
      </c>
      <c r="C2194" t="s">
        <v>7</v>
      </c>
      <c r="D2194" t="s">
        <v>8</v>
      </c>
      <c r="E2194" s="3">
        <v>100714100</v>
      </c>
      <c r="F2194" s="3">
        <v>83406300</v>
      </c>
      <c r="G2194" t="s">
        <v>11</v>
      </c>
      <c r="H2194" s="5">
        <v>432226500</v>
      </c>
      <c r="I2194" t="s">
        <v>13</v>
      </c>
      <c r="J2194" t="s">
        <v>13</v>
      </c>
      <c r="K2194">
        <v>19.3</v>
      </c>
    </row>
    <row r="2196" spans="1:11" x14ac:dyDescent="0.35">
      <c r="A2196" t="s">
        <v>444</v>
      </c>
      <c r="B2196" t="str">
        <f>"51194"</f>
        <v>51194</v>
      </c>
      <c r="C2196" t="str">
        <f>"001"</f>
        <v>001</v>
      </c>
      <c r="D2196">
        <v>2019</v>
      </c>
      <c r="E2196" s="3">
        <v>64567100</v>
      </c>
      <c r="F2196" s="3">
        <v>58513700</v>
      </c>
      <c r="G2196" t="s">
        <v>11</v>
      </c>
      <c r="H2196" s="5" t="s">
        <v>30</v>
      </c>
      <c r="I2196" t="s">
        <v>13</v>
      </c>
      <c r="J2196" t="s">
        <v>13</v>
      </c>
    </row>
    <row r="2197" spans="1:11" x14ac:dyDescent="0.35">
      <c r="A2197" t="s">
        <v>31</v>
      </c>
      <c r="B2197" t="s">
        <v>13</v>
      </c>
      <c r="C2197" t="s">
        <v>7</v>
      </c>
      <c r="D2197" t="s">
        <v>8</v>
      </c>
      <c r="E2197" s="3">
        <v>64567100</v>
      </c>
      <c r="F2197" s="3">
        <v>58513700</v>
      </c>
      <c r="G2197" t="s">
        <v>11</v>
      </c>
      <c r="H2197" s="5">
        <v>829135100</v>
      </c>
      <c r="I2197" t="s">
        <v>13</v>
      </c>
      <c r="J2197" t="s">
        <v>13</v>
      </c>
      <c r="K2197">
        <v>7.06</v>
      </c>
    </row>
    <row r="2199" spans="1:11" x14ac:dyDescent="0.35">
      <c r="A2199" t="s">
        <v>445</v>
      </c>
    </row>
    <row r="2202" spans="1:11" x14ac:dyDescent="0.35">
      <c r="A2202" t="s">
        <v>446</v>
      </c>
    </row>
    <row r="2204" spans="1:11" x14ac:dyDescent="0.35">
      <c r="A2204" t="s">
        <v>447</v>
      </c>
      <c r="E2204" s="3">
        <v>32084453065</v>
      </c>
    </row>
    <row r="2206" spans="1:11" x14ac:dyDescent="0.35">
      <c r="A2206" t="s">
        <v>448</v>
      </c>
      <c r="E2206" s="3">
        <v>46924991200</v>
      </c>
    </row>
    <row r="2208" spans="1:11" x14ac:dyDescent="0.35">
      <c r="A2208" t="s">
        <v>449</v>
      </c>
      <c r="E2208" s="3">
        <v>475319653000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2022</_x002e_DocumentYear>
    <_dlc_DocId xmlns="bb65cc95-6d4e-4879-a879-9838761499af">33E6D4FPPFNA-691263572-5965</_dlc_DocId>
    <_dlc_DocIdUrl xmlns="bb65cc95-6d4e-4879-a879-9838761499af">
      <Url>http://apwmad0p7106:9444/_layouts/15/DocIdRedir.aspx?ID=33E6D4FPPFNA-691263572-5965</Url>
      <Description>33E6D4FPPFNA-691263572-5965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407C03-716D-498D-AB01-7032918F4A3D}"/>
</file>

<file path=customXml/itemProps2.xml><?xml version="1.0" encoding="utf-8"?>
<ds:datastoreItem xmlns:ds="http://schemas.openxmlformats.org/officeDocument/2006/customXml" ds:itemID="{4A5463A0-6623-4824-92F8-A0FE3842649C}"/>
</file>

<file path=customXml/itemProps3.xml><?xml version="1.0" encoding="utf-8"?>
<ds:datastoreItem xmlns:ds="http://schemas.openxmlformats.org/officeDocument/2006/customXml" ds:itemID="{A8EA77AA-9C35-4BDD-B639-0898E6454D59}"/>
</file>

<file path=customXml/itemProps4.xml><?xml version="1.0" encoding="utf-8"?>
<ds:datastoreItem xmlns:ds="http://schemas.openxmlformats.org/officeDocument/2006/customXml" ds:itemID="{C76AF12E-02DC-45BA-91B8-453D7DC4E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TID304WI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TIF Value Limitation Report</dc:title>
  <cp:lastModifiedBy>Lentz, Matthew C - DOR</cp:lastModifiedBy>
  <dcterms:created xsi:type="dcterms:W3CDTF">2022-08-10T14:43:56Z</dcterms:created>
  <dcterms:modified xsi:type="dcterms:W3CDTF">2022-08-12T22:11:31Z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6f74b2de-f333-4380-8e9f-c02e8234bfdd</vt:lpwstr>
  </property>
</Properties>
</file>