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OneDrive - State of Wisconsin\Docs to upload\2021 Aug\eq\5 - TID304WI_TID Val Limitation\"/>
    </mc:Choice>
  </mc:AlternateContent>
  <xr:revisionPtr revIDLastSave="0" documentId="13_ncr:1_{7D7C69FE-11EB-4669-9A14-B39BBC1F30EE}" xr6:coauthVersionLast="45" xr6:coauthVersionMax="45" xr10:uidLastSave="{00000000-0000-0000-0000-000000000000}"/>
  <bookViews>
    <workbookView xWindow="-24240" yWindow="-3080" windowWidth="18240" windowHeight="13420" xr2:uid="{00000000-000D-0000-FFFF-FFFF00000000}"/>
  </bookViews>
  <sheets>
    <sheet name="TID304WI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C10" i="1"/>
  <c r="B11" i="1"/>
  <c r="C11" i="1"/>
  <c r="B12" i="1"/>
  <c r="C12" i="1"/>
  <c r="B13" i="1"/>
  <c r="C13" i="1"/>
  <c r="B14" i="1"/>
  <c r="C14" i="1"/>
  <c r="B17" i="1"/>
  <c r="C17" i="1"/>
  <c r="B18" i="1"/>
  <c r="C18" i="1"/>
  <c r="B21" i="1"/>
  <c r="C21" i="1"/>
  <c r="B22" i="1"/>
  <c r="C22" i="1"/>
  <c r="B23" i="1"/>
  <c r="C23" i="1"/>
  <c r="B26" i="1"/>
  <c r="C26" i="1"/>
  <c r="B29" i="1"/>
  <c r="C29" i="1"/>
  <c r="B32" i="1"/>
  <c r="C32" i="1"/>
  <c r="B33" i="1"/>
  <c r="C33" i="1"/>
  <c r="B34" i="1"/>
  <c r="C34" i="1"/>
  <c r="B37" i="1"/>
  <c r="C37" i="1"/>
  <c r="B38" i="1"/>
  <c r="C38" i="1"/>
  <c r="B39" i="1"/>
  <c r="C39" i="1"/>
  <c r="B40" i="1"/>
  <c r="C40" i="1"/>
  <c r="B43" i="1"/>
  <c r="C43" i="1"/>
  <c r="B46" i="1"/>
  <c r="C46" i="1"/>
  <c r="B47" i="1"/>
  <c r="C47" i="1"/>
  <c r="B48" i="1"/>
  <c r="C48" i="1"/>
  <c r="B49" i="1"/>
  <c r="C49" i="1"/>
  <c r="B50" i="1"/>
  <c r="C50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3" i="1"/>
  <c r="C63" i="1"/>
  <c r="B64" i="1"/>
  <c r="C64" i="1"/>
  <c r="B67" i="1"/>
  <c r="C67" i="1"/>
  <c r="B70" i="1"/>
  <c r="C70" i="1"/>
  <c r="B73" i="1"/>
  <c r="C73" i="1"/>
  <c r="B76" i="1"/>
  <c r="C76" i="1"/>
  <c r="B77" i="1"/>
  <c r="C77" i="1"/>
  <c r="B78" i="1"/>
  <c r="C78" i="1"/>
  <c r="B81" i="1"/>
  <c r="C81" i="1"/>
  <c r="B82" i="1"/>
  <c r="C82" i="1"/>
  <c r="B83" i="1"/>
  <c r="C83" i="1"/>
  <c r="B86" i="1"/>
  <c r="C86" i="1"/>
  <c r="B87" i="1"/>
  <c r="C87" i="1"/>
  <c r="B90" i="1"/>
  <c r="C90" i="1"/>
  <c r="B91" i="1"/>
  <c r="C91" i="1"/>
  <c r="B94" i="1"/>
  <c r="C94" i="1"/>
  <c r="B97" i="1"/>
  <c r="C97" i="1"/>
  <c r="B98" i="1"/>
  <c r="C98" i="1"/>
  <c r="B99" i="1"/>
  <c r="C99" i="1"/>
  <c r="B102" i="1"/>
  <c r="C102" i="1"/>
  <c r="B103" i="1"/>
  <c r="C103" i="1"/>
  <c r="B104" i="1"/>
  <c r="C104" i="1"/>
  <c r="B105" i="1"/>
  <c r="C105" i="1"/>
  <c r="B108" i="1"/>
  <c r="C108" i="1"/>
  <c r="B109" i="1"/>
  <c r="C109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20" i="1"/>
  <c r="C120" i="1"/>
  <c r="B121" i="1"/>
  <c r="C121" i="1"/>
  <c r="B124" i="1"/>
  <c r="C124" i="1"/>
  <c r="B125" i="1"/>
  <c r="C125" i="1"/>
  <c r="B126" i="1"/>
  <c r="C126" i="1"/>
  <c r="B127" i="1"/>
  <c r="C127" i="1"/>
  <c r="B128" i="1"/>
  <c r="C128" i="1"/>
  <c r="B131" i="1"/>
  <c r="C131" i="1"/>
  <c r="B132" i="1"/>
  <c r="C132" i="1"/>
  <c r="B133" i="1"/>
  <c r="C133" i="1"/>
  <c r="B134" i="1"/>
  <c r="C134" i="1"/>
  <c r="B137" i="1"/>
  <c r="C137" i="1"/>
  <c r="B140" i="1"/>
  <c r="C140" i="1"/>
  <c r="B141" i="1"/>
  <c r="C141" i="1"/>
  <c r="B142" i="1"/>
  <c r="C142" i="1"/>
  <c r="B143" i="1"/>
  <c r="C143" i="1"/>
  <c r="B146" i="1"/>
  <c r="C146" i="1"/>
  <c r="B147" i="1"/>
  <c r="C147" i="1"/>
  <c r="B150" i="1"/>
  <c r="C150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2" i="1"/>
  <c r="C162" i="1"/>
  <c r="B163" i="1"/>
  <c r="C163" i="1"/>
  <c r="B164" i="1"/>
  <c r="C164" i="1"/>
  <c r="B167" i="1"/>
  <c r="C167" i="1"/>
  <c r="B170" i="1"/>
  <c r="C170" i="1"/>
  <c r="B171" i="1"/>
  <c r="C171" i="1"/>
  <c r="B174" i="1"/>
  <c r="C174" i="1"/>
  <c r="B175" i="1"/>
  <c r="C175" i="1"/>
  <c r="B176" i="1"/>
  <c r="C176" i="1"/>
  <c r="B179" i="1"/>
  <c r="C179" i="1"/>
  <c r="B180" i="1"/>
  <c r="C180" i="1"/>
  <c r="B183" i="1"/>
  <c r="C183" i="1"/>
  <c r="B184" i="1"/>
  <c r="C184" i="1"/>
  <c r="B185" i="1"/>
  <c r="C185" i="1"/>
  <c r="B186" i="1"/>
  <c r="C186" i="1"/>
  <c r="B187" i="1"/>
  <c r="C187" i="1"/>
  <c r="B190" i="1"/>
  <c r="C190" i="1"/>
  <c r="B191" i="1"/>
  <c r="C191" i="1"/>
  <c r="B192" i="1"/>
  <c r="C192" i="1"/>
  <c r="B193" i="1"/>
  <c r="C193" i="1"/>
  <c r="B196" i="1"/>
  <c r="C196" i="1"/>
  <c r="B199" i="1"/>
  <c r="C199" i="1"/>
  <c r="B202" i="1"/>
  <c r="C202" i="1"/>
  <c r="B205" i="1"/>
  <c r="C205" i="1"/>
  <c r="B206" i="1"/>
  <c r="C206" i="1"/>
  <c r="B209" i="1"/>
  <c r="C209" i="1"/>
  <c r="B212" i="1"/>
  <c r="C212" i="1"/>
  <c r="B213" i="1"/>
  <c r="C213" i="1"/>
  <c r="B216" i="1"/>
  <c r="C216" i="1"/>
  <c r="B217" i="1"/>
  <c r="C217" i="1"/>
  <c r="B218" i="1"/>
  <c r="C218" i="1"/>
  <c r="B221" i="1"/>
  <c r="C221" i="1"/>
  <c r="B222" i="1"/>
  <c r="C222" i="1"/>
  <c r="B225" i="1"/>
  <c r="C225" i="1"/>
  <c r="B226" i="1"/>
  <c r="C226" i="1"/>
  <c r="B227" i="1"/>
  <c r="C227" i="1"/>
  <c r="B228" i="1"/>
  <c r="C228" i="1"/>
  <c r="B229" i="1"/>
  <c r="C229" i="1"/>
  <c r="B232" i="1"/>
  <c r="C232" i="1"/>
  <c r="B234" i="1"/>
  <c r="C234" i="1"/>
  <c r="B235" i="1"/>
  <c r="C235" i="1"/>
  <c r="B236" i="1"/>
  <c r="C236" i="1"/>
  <c r="B237" i="1"/>
  <c r="C237" i="1"/>
  <c r="B238" i="1"/>
  <c r="C238" i="1"/>
  <c r="B241" i="1"/>
  <c r="C241" i="1"/>
  <c r="B242" i="1"/>
  <c r="C242" i="1"/>
  <c r="B243" i="1"/>
  <c r="C243" i="1"/>
  <c r="B246" i="1"/>
  <c r="C246" i="1"/>
  <c r="B247" i="1"/>
  <c r="C247" i="1"/>
  <c r="B248" i="1"/>
  <c r="C248" i="1"/>
  <c r="B251" i="1"/>
  <c r="C251" i="1"/>
  <c r="B254" i="1"/>
  <c r="C254" i="1"/>
  <c r="B257" i="1"/>
  <c r="C257" i="1"/>
  <c r="B258" i="1"/>
  <c r="C258" i="1"/>
  <c r="B261" i="1"/>
  <c r="C261" i="1"/>
  <c r="B262" i="1"/>
  <c r="C262" i="1"/>
  <c r="B263" i="1"/>
  <c r="C263" i="1"/>
  <c r="B264" i="1"/>
  <c r="C264" i="1"/>
  <c r="B267" i="1"/>
  <c r="C267" i="1"/>
  <c r="B268" i="1"/>
  <c r="C268" i="1"/>
  <c r="B271" i="1"/>
  <c r="C271" i="1"/>
  <c r="B274" i="1"/>
  <c r="C274" i="1"/>
  <c r="B277" i="1"/>
  <c r="C277" i="1"/>
  <c r="B280" i="1"/>
  <c r="C280" i="1"/>
  <c r="B283" i="1"/>
  <c r="C283" i="1"/>
  <c r="B284" i="1"/>
  <c r="C284" i="1"/>
  <c r="B287" i="1"/>
  <c r="C287" i="1"/>
  <c r="B290" i="1"/>
  <c r="C290" i="1"/>
  <c r="B291" i="1"/>
  <c r="C291" i="1"/>
  <c r="B292" i="1"/>
  <c r="C292" i="1"/>
  <c r="B293" i="1"/>
  <c r="C293" i="1"/>
  <c r="B296" i="1"/>
  <c r="C296" i="1"/>
  <c r="B299" i="1"/>
  <c r="C299" i="1"/>
  <c r="B300" i="1"/>
  <c r="C300" i="1"/>
  <c r="B303" i="1"/>
  <c r="C303" i="1"/>
  <c r="B304" i="1"/>
  <c r="C304" i="1"/>
  <c r="B305" i="1"/>
  <c r="C305" i="1"/>
  <c r="B306" i="1"/>
  <c r="C306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20" i="1"/>
  <c r="C320" i="1"/>
  <c r="B322" i="1"/>
  <c r="C322" i="1"/>
  <c r="B323" i="1"/>
  <c r="C323" i="1"/>
  <c r="B326" i="1"/>
  <c r="C326" i="1"/>
  <c r="B329" i="1"/>
  <c r="C329" i="1"/>
  <c r="B332" i="1"/>
  <c r="C332" i="1"/>
  <c r="B333" i="1"/>
  <c r="C333" i="1"/>
  <c r="B336" i="1"/>
  <c r="C336" i="1"/>
  <c r="B339" i="1"/>
  <c r="C339" i="1"/>
  <c r="B340" i="1"/>
  <c r="C340" i="1"/>
  <c r="B341" i="1"/>
  <c r="C341" i="1"/>
  <c r="B344" i="1"/>
  <c r="C344" i="1"/>
  <c r="B345" i="1"/>
  <c r="C345" i="1"/>
  <c r="B348" i="1"/>
  <c r="C348" i="1"/>
  <c r="B351" i="1"/>
  <c r="C351" i="1"/>
  <c r="B352" i="1"/>
  <c r="C352" i="1"/>
  <c r="B353" i="1"/>
  <c r="C353" i="1"/>
  <c r="B356" i="1"/>
  <c r="C356" i="1"/>
  <c r="B357" i="1"/>
  <c r="C357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8" i="1"/>
  <c r="C368" i="1"/>
  <c r="B371" i="1"/>
  <c r="C371" i="1"/>
  <c r="B374" i="1"/>
  <c r="C374" i="1"/>
  <c r="B377" i="1"/>
  <c r="C377" i="1"/>
  <c r="B378" i="1"/>
  <c r="C378" i="1"/>
  <c r="B379" i="1"/>
  <c r="C379" i="1"/>
  <c r="B380" i="1"/>
  <c r="C380" i="1"/>
  <c r="B381" i="1"/>
  <c r="C381" i="1"/>
  <c r="B384" i="1"/>
  <c r="C384" i="1"/>
  <c r="B385" i="1"/>
  <c r="C385" i="1"/>
  <c r="B386" i="1"/>
  <c r="C386" i="1"/>
  <c r="B389" i="1"/>
  <c r="C389" i="1"/>
  <c r="B392" i="1"/>
  <c r="C392" i="1"/>
  <c r="B395" i="1"/>
  <c r="C395" i="1"/>
  <c r="B398" i="1"/>
  <c r="C398" i="1"/>
  <c r="B399" i="1"/>
  <c r="C399" i="1"/>
  <c r="B400" i="1"/>
  <c r="C400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6" i="1"/>
  <c r="C416" i="1"/>
  <c r="B417" i="1"/>
  <c r="C417" i="1"/>
  <c r="B420" i="1"/>
  <c r="C420" i="1"/>
  <c r="B421" i="1"/>
  <c r="C421" i="1"/>
  <c r="B422" i="1"/>
  <c r="C422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5" i="1"/>
  <c r="C435" i="1"/>
  <c r="B438" i="1"/>
  <c r="C438" i="1"/>
  <c r="B439" i="1"/>
  <c r="C439" i="1"/>
  <c r="B442" i="1"/>
  <c r="C442" i="1"/>
  <c r="B445" i="1"/>
  <c r="C445" i="1"/>
  <c r="B448" i="1"/>
  <c r="C448" i="1"/>
  <c r="B449" i="1"/>
  <c r="C449" i="1"/>
  <c r="B452" i="1"/>
  <c r="C452" i="1"/>
  <c r="B455" i="1"/>
  <c r="C455" i="1"/>
  <c r="B456" i="1"/>
  <c r="C456" i="1"/>
  <c r="B459" i="1"/>
  <c r="C459" i="1"/>
  <c r="B460" i="1"/>
  <c r="C460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3" i="1"/>
  <c r="C473" i="1"/>
  <c r="B474" i="1"/>
  <c r="C474" i="1"/>
  <c r="B475" i="1"/>
  <c r="C475" i="1"/>
  <c r="B478" i="1"/>
  <c r="C478" i="1"/>
  <c r="B479" i="1"/>
  <c r="C479" i="1"/>
  <c r="B480" i="1"/>
  <c r="C480" i="1"/>
  <c r="B483" i="1"/>
  <c r="C483" i="1"/>
  <c r="B486" i="1"/>
  <c r="C486" i="1"/>
  <c r="B487" i="1"/>
  <c r="C487" i="1"/>
  <c r="B488" i="1"/>
  <c r="C488" i="1"/>
  <c r="B491" i="1"/>
  <c r="C491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2" i="1"/>
  <c r="C502" i="1"/>
  <c r="B505" i="1"/>
  <c r="C505" i="1"/>
  <c r="B506" i="1"/>
  <c r="C506" i="1"/>
  <c r="B507" i="1"/>
  <c r="C507" i="1"/>
  <c r="B510" i="1"/>
  <c r="C510" i="1"/>
  <c r="B511" i="1"/>
  <c r="C511" i="1"/>
  <c r="B512" i="1"/>
  <c r="C512" i="1"/>
  <c r="B513" i="1"/>
  <c r="C513" i="1"/>
  <c r="B514" i="1"/>
  <c r="C514" i="1"/>
  <c r="B517" i="1"/>
  <c r="C517" i="1"/>
  <c r="B520" i="1"/>
  <c r="C520" i="1"/>
  <c r="B521" i="1"/>
  <c r="C521" i="1"/>
  <c r="B522" i="1"/>
  <c r="C522" i="1"/>
  <c r="B523" i="1"/>
  <c r="C523" i="1"/>
  <c r="B524" i="1"/>
  <c r="C524" i="1"/>
  <c r="B527" i="1"/>
  <c r="C527" i="1"/>
  <c r="B530" i="1"/>
  <c r="C530" i="1"/>
  <c r="B531" i="1"/>
  <c r="C531" i="1"/>
  <c r="B534" i="1"/>
  <c r="C534" i="1"/>
  <c r="B537" i="1"/>
  <c r="C537" i="1"/>
  <c r="B538" i="1"/>
  <c r="C538" i="1"/>
  <c r="B539" i="1"/>
  <c r="C539" i="1"/>
  <c r="B542" i="1"/>
  <c r="C542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4" i="1"/>
  <c r="C554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2" i="1"/>
  <c r="C572" i="1"/>
  <c r="B575" i="1"/>
  <c r="C575" i="1"/>
  <c r="B578" i="1"/>
  <c r="C578" i="1"/>
  <c r="B579" i="1"/>
  <c r="C579" i="1"/>
  <c r="B580" i="1"/>
  <c r="C580" i="1"/>
  <c r="B583" i="1"/>
  <c r="C583" i="1"/>
  <c r="B584" i="1"/>
  <c r="C584" i="1"/>
  <c r="B585" i="1"/>
  <c r="C585" i="1"/>
  <c r="B586" i="1"/>
  <c r="C586" i="1"/>
  <c r="B589" i="1"/>
  <c r="C589" i="1"/>
  <c r="B590" i="1"/>
  <c r="C590" i="1"/>
  <c r="B593" i="1"/>
  <c r="C593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4" i="1"/>
  <c r="C604" i="1"/>
  <c r="B607" i="1"/>
  <c r="C607" i="1"/>
  <c r="B608" i="1"/>
  <c r="C608" i="1"/>
  <c r="B611" i="1"/>
  <c r="C611" i="1"/>
  <c r="B612" i="1"/>
  <c r="C612" i="1"/>
  <c r="B615" i="1"/>
  <c r="C615" i="1"/>
  <c r="B618" i="1"/>
  <c r="C618" i="1"/>
  <c r="B619" i="1"/>
  <c r="C619" i="1"/>
  <c r="B620" i="1"/>
  <c r="C620" i="1"/>
  <c r="B623" i="1"/>
  <c r="C623" i="1"/>
  <c r="B624" i="1"/>
  <c r="C624" i="1"/>
  <c r="B625" i="1"/>
  <c r="C625" i="1"/>
  <c r="B628" i="1"/>
  <c r="C628" i="1"/>
  <c r="B629" i="1"/>
  <c r="C629" i="1"/>
  <c r="B632" i="1"/>
  <c r="C632" i="1"/>
  <c r="B635" i="1"/>
  <c r="C635" i="1"/>
  <c r="B636" i="1"/>
  <c r="C636" i="1"/>
  <c r="B639" i="1"/>
  <c r="C639" i="1"/>
  <c r="B640" i="1"/>
  <c r="C640" i="1"/>
  <c r="B641" i="1"/>
  <c r="C641" i="1"/>
  <c r="B644" i="1"/>
  <c r="C644" i="1"/>
  <c r="B645" i="1"/>
  <c r="C645" i="1"/>
  <c r="B646" i="1"/>
  <c r="C646" i="1"/>
  <c r="B647" i="1"/>
  <c r="C647" i="1"/>
  <c r="B650" i="1"/>
  <c r="C650" i="1"/>
  <c r="B653" i="1"/>
  <c r="C653" i="1"/>
  <c r="B654" i="1"/>
  <c r="C654" i="1"/>
  <c r="B657" i="1"/>
  <c r="C657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5" i="1"/>
  <c r="C675" i="1"/>
  <c r="B676" i="1"/>
  <c r="C676" i="1"/>
  <c r="B677" i="1"/>
  <c r="C677" i="1"/>
  <c r="B680" i="1"/>
  <c r="C680" i="1"/>
  <c r="B681" i="1"/>
  <c r="C681" i="1"/>
  <c r="B682" i="1"/>
  <c r="C682" i="1"/>
  <c r="B683" i="1"/>
  <c r="C683" i="1"/>
  <c r="B684" i="1"/>
  <c r="C684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5" i="1"/>
  <c r="C695" i="1"/>
  <c r="B698" i="1"/>
  <c r="C698" i="1"/>
  <c r="B699" i="1"/>
  <c r="C699" i="1"/>
  <c r="B700" i="1"/>
  <c r="C700" i="1"/>
  <c r="B703" i="1"/>
  <c r="C703" i="1"/>
  <c r="B704" i="1"/>
  <c r="C704" i="1"/>
  <c r="B707" i="1"/>
  <c r="C707" i="1"/>
  <c r="B710" i="1"/>
  <c r="C710" i="1"/>
  <c r="B713" i="1"/>
  <c r="C713" i="1"/>
  <c r="B716" i="1"/>
  <c r="C716" i="1"/>
  <c r="B717" i="1"/>
  <c r="C717" i="1"/>
  <c r="B718" i="1"/>
  <c r="C718" i="1"/>
  <c r="B719" i="1"/>
  <c r="C719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31" i="1"/>
  <c r="C731" i="1"/>
  <c r="B732" i="1"/>
  <c r="C732" i="1"/>
  <c r="B733" i="1"/>
  <c r="C733" i="1"/>
  <c r="B736" i="1"/>
  <c r="C736" i="1"/>
  <c r="B739" i="1"/>
  <c r="C739" i="1"/>
  <c r="B740" i="1"/>
  <c r="C740" i="1"/>
  <c r="B743" i="1"/>
  <c r="C743" i="1"/>
  <c r="B744" i="1"/>
  <c r="C744" i="1"/>
  <c r="B747" i="1"/>
  <c r="C747" i="1"/>
  <c r="B750" i="1"/>
  <c r="C750" i="1"/>
  <c r="B753" i="1"/>
  <c r="C753" i="1"/>
  <c r="B754" i="1"/>
  <c r="C754" i="1"/>
  <c r="B757" i="1"/>
  <c r="C757" i="1"/>
  <c r="B760" i="1"/>
  <c r="C760" i="1"/>
  <c r="B761" i="1"/>
  <c r="C761" i="1"/>
  <c r="B764" i="1"/>
  <c r="C764" i="1"/>
  <c r="B765" i="1"/>
  <c r="C765" i="1"/>
  <c r="B768" i="1"/>
  <c r="C768" i="1"/>
  <c r="B769" i="1"/>
  <c r="C769" i="1"/>
  <c r="B770" i="1"/>
  <c r="C770" i="1"/>
  <c r="B773" i="1"/>
  <c r="C773" i="1"/>
  <c r="B774" i="1"/>
  <c r="C774" i="1"/>
  <c r="B775" i="1"/>
  <c r="C775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7" i="1"/>
  <c r="C787" i="1"/>
  <c r="B788" i="1"/>
  <c r="C788" i="1"/>
  <c r="B791" i="1"/>
  <c r="C791" i="1"/>
  <c r="B792" i="1"/>
  <c r="C792" i="1"/>
  <c r="B795" i="1"/>
  <c r="C795" i="1"/>
  <c r="B798" i="1"/>
  <c r="C798" i="1"/>
  <c r="B799" i="1"/>
  <c r="C799" i="1"/>
  <c r="B802" i="1"/>
  <c r="C802" i="1"/>
  <c r="B803" i="1"/>
  <c r="C803" i="1"/>
  <c r="B804" i="1"/>
  <c r="C804" i="1"/>
  <c r="B805" i="1"/>
  <c r="C805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4" i="1"/>
  <c r="C824" i="1"/>
  <c r="B825" i="1"/>
  <c r="C825" i="1"/>
  <c r="B826" i="1"/>
  <c r="C826" i="1"/>
  <c r="B827" i="1"/>
  <c r="C827" i="1"/>
  <c r="B828" i="1"/>
  <c r="C828" i="1"/>
  <c r="B831" i="1"/>
  <c r="C831" i="1"/>
  <c r="B832" i="1"/>
  <c r="C832" i="1"/>
  <c r="B835" i="1"/>
  <c r="C835" i="1"/>
  <c r="B836" i="1"/>
  <c r="C836" i="1"/>
  <c r="B839" i="1"/>
  <c r="C839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50" i="1"/>
  <c r="C850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80" i="1"/>
  <c r="C880" i="1"/>
  <c r="B883" i="1"/>
  <c r="C883" i="1"/>
  <c r="B884" i="1"/>
  <c r="C884" i="1"/>
  <c r="B887" i="1"/>
  <c r="C887" i="1"/>
  <c r="B888" i="1"/>
  <c r="C888" i="1"/>
  <c r="B891" i="1"/>
  <c r="C891" i="1"/>
  <c r="B892" i="1"/>
  <c r="C892" i="1"/>
  <c r="B893" i="1"/>
  <c r="C893" i="1"/>
  <c r="B896" i="1"/>
  <c r="C896" i="1"/>
  <c r="B899" i="1"/>
  <c r="C899" i="1"/>
  <c r="B900" i="1"/>
  <c r="C900" i="1"/>
  <c r="B901" i="1"/>
  <c r="C901" i="1"/>
  <c r="B902" i="1"/>
  <c r="C902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8" i="1"/>
  <c r="C918" i="1"/>
  <c r="B921" i="1"/>
  <c r="C921" i="1"/>
  <c r="B922" i="1"/>
  <c r="C922" i="1"/>
  <c r="B923" i="1"/>
  <c r="C923" i="1"/>
  <c r="B924" i="1"/>
  <c r="C924" i="1"/>
  <c r="B925" i="1"/>
  <c r="C925" i="1"/>
  <c r="B928" i="1"/>
  <c r="C928" i="1"/>
  <c r="B929" i="1"/>
  <c r="C929" i="1"/>
  <c r="B930" i="1"/>
  <c r="C930" i="1"/>
  <c r="B933" i="1"/>
  <c r="C933" i="1"/>
  <c r="B934" i="1"/>
  <c r="C934" i="1"/>
  <c r="B937" i="1"/>
  <c r="C937" i="1"/>
  <c r="B938" i="1"/>
  <c r="C938" i="1"/>
  <c r="B939" i="1"/>
  <c r="C939" i="1"/>
  <c r="B940" i="1"/>
  <c r="C940" i="1"/>
  <c r="B941" i="1"/>
  <c r="C941" i="1"/>
  <c r="B944" i="1"/>
  <c r="C944" i="1"/>
  <c r="B945" i="1"/>
  <c r="C945" i="1"/>
  <c r="B946" i="1"/>
  <c r="C946" i="1"/>
  <c r="B947" i="1"/>
  <c r="C947" i="1"/>
  <c r="B950" i="1"/>
  <c r="C950" i="1"/>
  <c r="B951" i="1"/>
  <c r="C951" i="1"/>
  <c r="B954" i="1"/>
  <c r="C954" i="1"/>
  <c r="B955" i="1"/>
  <c r="C955" i="1"/>
  <c r="B958" i="1"/>
  <c r="C958" i="1"/>
  <c r="B960" i="1"/>
  <c r="C960" i="1"/>
  <c r="B963" i="1"/>
  <c r="C963" i="1"/>
  <c r="B966" i="1"/>
  <c r="C966" i="1"/>
  <c r="B969" i="1"/>
  <c r="C969" i="1"/>
  <c r="B970" i="1"/>
  <c r="C970" i="1"/>
  <c r="B971" i="1"/>
  <c r="C971" i="1"/>
  <c r="B972" i="1"/>
  <c r="C972" i="1"/>
  <c r="B973" i="1"/>
  <c r="C973" i="1"/>
  <c r="B976" i="1"/>
  <c r="C976" i="1"/>
  <c r="B977" i="1"/>
  <c r="C977" i="1"/>
  <c r="B978" i="1"/>
  <c r="C978" i="1"/>
  <c r="B981" i="1"/>
  <c r="C981" i="1"/>
  <c r="B984" i="1"/>
  <c r="C984" i="1"/>
  <c r="B985" i="1"/>
  <c r="C985" i="1"/>
  <c r="B988" i="1"/>
  <c r="C988" i="1"/>
  <c r="B991" i="1"/>
  <c r="C991" i="1"/>
  <c r="B992" i="1"/>
  <c r="C992" i="1"/>
  <c r="B993" i="1"/>
  <c r="C993" i="1"/>
  <c r="B996" i="1"/>
  <c r="C996" i="1"/>
  <c r="B999" i="1"/>
  <c r="C999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5" i="1"/>
  <c r="C1015" i="1"/>
  <c r="B1018" i="1"/>
  <c r="C1018" i="1"/>
  <c r="B1019" i="1"/>
  <c r="C1019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31" i="1"/>
  <c r="C1031" i="1"/>
  <c r="B1034" i="1"/>
  <c r="C1034" i="1"/>
  <c r="B1035" i="1"/>
  <c r="C1035" i="1"/>
  <c r="B1038" i="1"/>
  <c r="C1038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51" i="1"/>
  <c r="C1051" i="1"/>
  <c r="B1054" i="1"/>
  <c r="C1054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5" i="1"/>
  <c r="C1065" i="1"/>
  <c r="B1068" i="1"/>
  <c r="C1068" i="1"/>
  <c r="B1069" i="1"/>
  <c r="C1069" i="1"/>
  <c r="B1072" i="1"/>
  <c r="C1072" i="1"/>
  <c r="B1073" i="1"/>
  <c r="C1073" i="1"/>
  <c r="B1076" i="1"/>
  <c r="C1076" i="1"/>
  <c r="B1077" i="1"/>
  <c r="C1077" i="1"/>
  <c r="B1080" i="1"/>
  <c r="C1080" i="1"/>
  <c r="B1081" i="1"/>
  <c r="C1081" i="1"/>
  <c r="B1082" i="1"/>
  <c r="C1082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5" i="1"/>
  <c r="C1125" i="1"/>
  <c r="B1126" i="1"/>
  <c r="C1126" i="1"/>
  <c r="B1127" i="1"/>
  <c r="C1127" i="1"/>
  <c r="B1128" i="1"/>
  <c r="C1128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3" i="1"/>
  <c r="C1143" i="1"/>
  <c r="B1146" i="1"/>
  <c r="C1146" i="1"/>
  <c r="B1147" i="1"/>
  <c r="C1147" i="1"/>
  <c r="B1150" i="1"/>
  <c r="C1150" i="1"/>
  <c r="B1151" i="1"/>
  <c r="C1151" i="1"/>
  <c r="B1154" i="1"/>
  <c r="C1154" i="1"/>
  <c r="B1155" i="1"/>
  <c r="C1155" i="1"/>
  <c r="B1156" i="1"/>
  <c r="C1156" i="1"/>
  <c r="B1157" i="1"/>
  <c r="C1157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217" i="1"/>
  <c r="C1217" i="1"/>
  <c r="B1220" i="1"/>
  <c r="C1220" i="1"/>
  <c r="B1221" i="1"/>
  <c r="C1221" i="1"/>
  <c r="B1224" i="1"/>
  <c r="C1224" i="1"/>
  <c r="B1225" i="1"/>
  <c r="C1225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6" i="1"/>
  <c r="C1236" i="1"/>
  <c r="B1237" i="1"/>
  <c r="C1237" i="1"/>
  <c r="B1238" i="1"/>
  <c r="C1238" i="1"/>
  <c r="B1239" i="1"/>
  <c r="C1239" i="1"/>
  <c r="B1240" i="1"/>
  <c r="C1240" i="1"/>
  <c r="B1243" i="1"/>
  <c r="C1243" i="1"/>
  <c r="B1246" i="1"/>
  <c r="C1246" i="1"/>
  <c r="B1247" i="1"/>
  <c r="C1247" i="1"/>
  <c r="B1250" i="1"/>
  <c r="C1250" i="1"/>
  <c r="B1251" i="1"/>
  <c r="C1251" i="1"/>
  <c r="B1252" i="1"/>
  <c r="C1252" i="1"/>
  <c r="B1255" i="1"/>
  <c r="C1255" i="1"/>
  <c r="B1256" i="1"/>
  <c r="C1256" i="1"/>
  <c r="B1257" i="1"/>
  <c r="C1257" i="1"/>
  <c r="B1258" i="1"/>
  <c r="C1258" i="1"/>
  <c r="B1259" i="1"/>
  <c r="C1259" i="1"/>
  <c r="B1262" i="1"/>
  <c r="C1262" i="1"/>
  <c r="B1263" i="1"/>
  <c r="C1263" i="1"/>
  <c r="B1264" i="1"/>
  <c r="C1264" i="1"/>
  <c r="B1267" i="1"/>
  <c r="C1267" i="1"/>
  <c r="B1270" i="1"/>
  <c r="C1270" i="1"/>
  <c r="B1271" i="1"/>
  <c r="C1271" i="1"/>
  <c r="B1274" i="1"/>
  <c r="C1274" i="1"/>
  <c r="B1275" i="1"/>
  <c r="C1275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7" i="1"/>
  <c r="C1287" i="1"/>
  <c r="B1288" i="1"/>
  <c r="C1288" i="1"/>
  <c r="B1291" i="1"/>
  <c r="C1291" i="1"/>
  <c r="B1292" i="1"/>
  <c r="C1292" i="1"/>
  <c r="B1293" i="1"/>
  <c r="C1293" i="1"/>
  <c r="B1294" i="1"/>
  <c r="C1294" i="1"/>
  <c r="B1297" i="1"/>
  <c r="C1297" i="1"/>
  <c r="B1300" i="1"/>
  <c r="C1300" i="1"/>
  <c r="B1301" i="1"/>
  <c r="C1301" i="1"/>
  <c r="B1304" i="1"/>
  <c r="C1304" i="1"/>
  <c r="B1305" i="1"/>
  <c r="C1305" i="1"/>
  <c r="B1308" i="1"/>
  <c r="C1308" i="1"/>
  <c r="B1309" i="1"/>
  <c r="C1309" i="1"/>
  <c r="B1312" i="1"/>
  <c r="C1312" i="1"/>
  <c r="B1313" i="1"/>
  <c r="C1313" i="1"/>
  <c r="B1314" i="1"/>
  <c r="C1314" i="1"/>
  <c r="B1315" i="1"/>
  <c r="C1315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6" i="1"/>
  <c r="C1326" i="1"/>
  <c r="B1327" i="1"/>
  <c r="C1327" i="1"/>
  <c r="B1330" i="1"/>
  <c r="C1330" i="1"/>
  <c r="B1331" i="1"/>
  <c r="C1331" i="1"/>
  <c r="B1334" i="1"/>
  <c r="C1334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9" i="1"/>
  <c r="C1349" i="1"/>
  <c r="B1350" i="1"/>
  <c r="C1350" i="1"/>
  <c r="B1353" i="1"/>
  <c r="C1353" i="1"/>
  <c r="B1354" i="1"/>
  <c r="C1354" i="1"/>
  <c r="B1355" i="1"/>
  <c r="C1355" i="1"/>
  <c r="B1358" i="1"/>
  <c r="C1358" i="1"/>
  <c r="B1359" i="1"/>
  <c r="C1359" i="1"/>
  <c r="B1362" i="1"/>
  <c r="C1362" i="1"/>
  <c r="B1365" i="1"/>
  <c r="C1365" i="1"/>
  <c r="B1366" i="1"/>
  <c r="C1366" i="1"/>
  <c r="B1369" i="1"/>
  <c r="C1369" i="1"/>
  <c r="B1370" i="1"/>
  <c r="C1370" i="1"/>
  <c r="B1373" i="1"/>
  <c r="C1373" i="1"/>
  <c r="B1374" i="1"/>
  <c r="C1374" i="1"/>
  <c r="B1375" i="1"/>
  <c r="C1375" i="1"/>
  <c r="B1378" i="1"/>
  <c r="C1378" i="1"/>
  <c r="B1379" i="1"/>
  <c r="C1379" i="1"/>
  <c r="B1380" i="1"/>
  <c r="C1380" i="1"/>
  <c r="B1383" i="1"/>
  <c r="C1383" i="1"/>
  <c r="B1386" i="1"/>
  <c r="C1386" i="1"/>
  <c r="B1387" i="1"/>
  <c r="C1387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9" i="1"/>
  <c r="C1419" i="1"/>
  <c r="B1420" i="1"/>
  <c r="C1420" i="1"/>
  <c r="B1423" i="1"/>
  <c r="C1423" i="1"/>
  <c r="B1424" i="1"/>
  <c r="C1424" i="1"/>
  <c r="B1427" i="1"/>
  <c r="C1427" i="1"/>
  <c r="B1428" i="1"/>
  <c r="C1428" i="1"/>
  <c r="B1431" i="1"/>
  <c r="C1431" i="1"/>
  <c r="B1434" i="1"/>
  <c r="C1434" i="1"/>
  <c r="B1435" i="1"/>
  <c r="C1435" i="1"/>
  <c r="B1438" i="1"/>
  <c r="C1438" i="1"/>
  <c r="B1441" i="1"/>
  <c r="C1441" i="1"/>
  <c r="B1444" i="1"/>
  <c r="C1444" i="1"/>
  <c r="B1445" i="1"/>
  <c r="C1445" i="1"/>
  <c r="B1446" i="1"/>
  <c r="C1446" i="1"/>
  <c r="B1449" i="1"/>
  <c r="C1449" i="1"/>
  <c r="B1452" i="1"/>
  <c r="C1452" i="1"/>
  <c r="B1455" i="1"/>
  <c r="C1455" i="1"/>
  <c r="B1458" i="1"/>
  <c r="C1458" i="1"/>
  <c r="B1459" i="1"/>
  <c r="C1459" i="1"/>
  <c r="B1460" i="1"/>
  <c r="C1460" i="1"/>
  <c r="B1463" i="1"/>
  <c r="C1463" i="1"/>
  <c r="B1464" i="1"/>
  <c r="C1464" i="1"/>
  <c r="B1465" i="1"/>
  <c r="C1465" i="1"/>
  <c r="B1466" i="1"/>
  <c r="C1466" i="1"/>
  <c r="B1467" i="1"/>
  <c r="C1467" i="1"/>
  <c r="B1470" i="1"/>
  <c r="C1470" i="1"/>
  <c r="B1471" i="1"/>
  <c r="C1471" i="1"/>
  <c r="B1472" i="1"/>
  <c r="C1472" i="1"/>
  <c r="B1473" i="1"/>
  <c r="C1473" i="1"/>
  <c r="B1474" i="1"/>
  <c r="C1474" i="1"/>
  <c r="B1477" i="1"/>
  <c r="C1477" i="1"/>
  <c r="B1478" i="1"/>
  <c r="C1478" i="1"/>
  <c r="B1479" i="1"/>
  <c r="C1479" i="1"/>
  <c r="B1482" i="1"/>
  <c r="C1482" i="1"/>
  <c r="B1485" i="1"/>
  <c r="C1485" i="1"/>
  <c r="B1486" i="1"/>
  <c r="C1486" i="1"/>
  <c r="B1487" i="1"/>
  <c r="C1487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9" i="1"/>
  <c r="C1499" i="1"/>
  <c r="B1502" i="1"/>
  <c r="C1502" i="1"/>
  <c r="B1505" i="1"/>
  <c r="C1505" i="1"/>
  <c r="B1506" i="1"/>
  <c r="C1506" i="1"/>
  <c r="B1507" i="1"/>
  <c r="C1507" i="1"/>
  <c r="B1510" i="1"/>
  <c r="C1510" i="1"/>
  <c r="B1513" i="1"/>
  <c r="C1513" i="1"/>
  <c r="B1516" i="1"/>
  <c r="C1516" i="1"/>
  <c r="B1517" i="1"/>
  <c r="C1517" i="1"/>
  <c r="B1520" i="1"/>
  <c r="C1520" i="1"/>
  <c r="B1523" i="1"/>
  <c r="C1523" i="1"/>
  <c r="B1524" i="1"/>
  <c r="C1524" i="1"/>
  <c r="B1525" i="1"/>
  <c r="C1525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7" i="1"/>
  <c r="C1547" i="1"/>
  <c r="B1550" i="1"/>
  <c r="C1550" i="1"/>
  <c r="B1551" i="1"/>
  <c r="C1551" i="1"/>
  <c r="B1554" i="1"/>
  <c r="C1554" i="1"/>
  <c r="B1555" i="1"/>
  <c r="C1555" i="1"/>
  <c r="B1556" i="1"/>
  <c r="C1556" i="1"/>
  <c r="B1557" i="1"/>
  <c r="C1557" i="1"/>
  <c r="B1560" i="1"/>
  <c r="C1560" i="1"/>
  <c r="B1563" i="1"/>
  <c r="C1563" i="1"/>
  <c r="B1564" i="1"/>
  <c r="C1564" i="1"/>
  <c r="B1565" i="1"/>
  <c r="C1565" i="1"/>
  <c r="B1566" i="1"/>
  <c r="C1566" i="1"/>
  <c r="B1567" i="1"/>
  <c r="C1567" i="1"/>
  <c r="B1570" i="1"/>
  <c r="C1570" i="1"/>
  <c r="B1573" i="1"/>
  <c r="C1573" i="1"/>
  <c r="B1576" i="1"/>
  <c r="C1576" i="1"/>
  <c r="B1577" i="1"/>
  <c r="C1577" i="1"/>
  <c r="B1578" i="1"/>
  <c r="C1578" i="1"/>
  <c r="B1581" i="1"/>
  <c r="C1581" i="1"/>
  <c r="B1582" i="1"/>
  <c r="C1582" i="1"/>
  <c r="B1585" i="1"/>
  <c r="C1585" i="1"/>
  <c r="B1588" i="1"/>
  <c r="C1588" i="1"/>
  <c r="B1591" i="1"/>
  <c r="C1591" i="1"/>
  <c r="B1592" i="1"/>
  <c r="C1592" i="1"/>
  <c r="B1595" i="1"/>
  <c r="C1595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4" i="1"/>
  <c r="C1614" i="1"/>
  <c r="B1615" i="1"/>
  <c r="C1615" i="1"/>
  <c r="B1616" i="1"/>
  <c r="C1616" i="1"/>
  <c r="B1617" i="1"/>
  <c r="C1617" i="1"/>
  <c r="B1620" i="1"/>
  <c r="C1620" i="1"/>
  <c r="B1621" i="1"/>
  <c r="C1621" i="1"/>
  <c r="B1624" i="1"/>
  <c r="C1624" i="1"/>
  <c r="B1627" i="1"/>
  <c r="C1627" i="1"/>
  <c r="B1628" i="1"/>
  <c r="C1628" i="1"/>
  <c r="B1631" i="1"/>
  <c r="C1631" i="1"/>
  <c r="B1634" i="1"/>
  <c r="C1634" i="1"/>
  <c r="B1635" i="1"/>
  <c r="C1635" i="1"/>
  <c r="B1638" i="1"/>
  <c r="C1638" i="1"/>
  <c r="B1641" i="1"/>
  <c r="C1641" i="1"/>
  <c r="B1642" i="1"/>
  <c r="C1642" i="1"/>
  <c r="B1643" i="1"/>
  <c r="C1643" i="1"/>
  <c r="B1646" i="1"/>
  <c r="C1646" i="1"/>
  <c r="B1649" i="1"/>
  <c r="C1649" i="1"/>
  <c r="B1650" i="1"/>
  <c r="C1650" i="1"/>
  <c r="B1651" i="1"/>
  <c r="C1651" i="1"/>
  <c r="B1652" i="1"/>
  <c r="C1652" i="1"/>
  <c r="B1655" i="1"/>
  <c r="C1655" i="1"/>
  <c r="B1658" i="1"/>
  <c r="C1658" i="1"/>
  <c r="B1659" i="1"/>
  <c r="C1659" i="1"/>
  <c r="B1660" i="1"/>
  <c r="C1660" i="1"/>
  <c r="B1663" i="1"/>
  <c r="C1663" i="1"/>
  <c r="B1664" i="1"/>
  <c r="C1664" i="1"/>
  <c r="B1667" i="1"/>
  <c r="C1667" i="1"/>
  <c r="B1670" i="1"/>
  <c r="C1670" i="1"/>
  <c r="B1671" i="1"/>
  <c r="C1671" i="1"/>
  <c r="B1672" i="1"/>
  <c r="C1672" i="1"/>
  <c r="B1673" i="1"/>
  <c r="C1673" i="1"/>
  <c r="B1674" i="1"/>
  <c r="C1674" i="1"/>
  <c r="B1677" i="1"/>
  <c r="C1677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1687" i="1"/>
  <c r="C1687" i="1"/>
  <c r="B1688" i="1"/>
  <c r="C1688" i="1"/>
  <c r="B1689" i="1"/>
  <c r="C1689" i="1"/>
  <c r="B1692" i="1"/>
  <c r="C1692" i="1"/>
  <c r="B1693" i="1"/>
  <c r="C1693" i="1"/>
  <c r="B1694" i="1"/>
  <c r="C1694" i="1"/>
  <c r="B1695" i="1"/>
  <c r="C1695" i="1"/>
  <c r="B1696" i="1"/>
  <c r="C1696" i="1"/>
  <c r="B1699" i="1"/>
  <c r="C1699" i="1"/>
  <c r="B1700" i="1"/>
  <c r="C1700" i="1"/>
  <c r="B1703" i="1"/>
  <c r="C1703" i="1"/>
  <c r="B1704" i="1"/>
  <c r="C1704" i="1"/>
  <c r="B1705" i="1"/>
  <c r="C1705" i="1"/>
  <c r="B1706" i="1"/>
  <c r="C1706" i="1"/>
  <c r="B1709" i="1"/>
  <c r="C1709" i="1"/>
  <c r="B1710" i="1"/>
  <c r="C1710" i="1"/>
  <c r="B1711" i="1"/>
  <c r="C1711" i="1"/>
  <c r="B1714" i="1"/>
  <c r="C1714" i="1"/>
  <c r="B1715" i="1"/>
  <c r="C1715" i="1"/>
  <c r="B1716" i="1"/>
  <c r="C1716" i="1"/>
  <c r="B1717" i="1"/>
  <c r="C1717" i="1"/>
  <c r="B1718" i="1"/>
  <c r="C1718" i="1"/>
  <c r="B1721" i="1"/>
  <c r="C1721" i="1"/>
  <c r="B1722" i="1"/>
  <c r="C1722" i="1"/>
  <c r="B1725" i="1"/>
  <c r="C1725" i="1"/>
  <c r="B1726" i="1"/>
  <c r="C1726" i="1"/>
  <c r="B1729" i="1"/>
  <c r="C1729" i="1"/>
  <c r="B1730" i="1"/>
  <c r="C1730" i="1"/>
  <c r="B1733" i="1"/>
  <c r="C1733" i="1"/>
  <c r="B1734" i="1"/>
  <c r="C1734" i="1"/>
  <c r="B1737" i="1"/>
  <c r="C1737" i="1"/>
  <c r="B1738" i="1"/>
  <c r="C1738" i="1"/>
  <c r="B1739" i="1"/>
  <c r="C1739" i="1"/>
  <c r="B1740" i="1"/>
  <c r="C1740" i="1"/>
  <c r="B1741" i="1"/>
  <c r="C1741" i="1"/>
  <c r="B1742" i="1"/>
  <c r="C1742" i="1"/>
  <c r="B1743" i="1"/>
  <c r="C1743" i="1"/>
  <c r="B1744" i="1"/>
  <c r="C1744" i="1"/>
  <c r="B1745" i="1"/>
  <c r="C1745" i="1"/>
  <c r="B1746" i="1"/>
  <c r="C1746" i="1"/>
  <c r="B1747" i="1"/>
  <c r="C1747" i="1"/>
  <c r="B1750" i="1"/>
  <c r="C1750" i="1"/>
  <c r="B1751" i="1"/>
  <c r="C1751" i="1"/>
  <c r="B1752" i="1"/>
  <c r="C1752" i="1"/>
  <c r="B1753" i="1"/>
  <c r="C1753" i="1"/>
  <c r="B1756" i="1"/>
  <c r="C1756" i="1"/>
  <c r="B1757" i="1"/>
  <c r="C1757" i="1"/>
  <c r="B1758" i="1"/>
  <c r="C1758" i="1"/>
  <c r="B1759" i="1"/>
  <c r="C1759" i="1"/>
  <c r="B1762" i="1"/>
  <c r="C1762" i="1"/>
  <c r="B1763" i="1"/>
  <c r="C1763" i="1"/>
  <c r="B1764" i="1"/>
  <c r="C1764" i="1"/>
  <c r="B1767" i="1"/>
  <c r="C1767" i="1"/>
  <c r="B1768" i="1"/>
  <c r="C1768" i="1"/>
  <c r="B1769" i="1"/>
  <c r="C1769" i="1"/>
  <c r="B1772" i="1"/>
  <c r="C1772" i="1"/>
  <c r="B1773" i="1"/>
  <c r="C1773" i="1"/>
  <c r="B1776" i="1"/>
  <c r="C1776" i="1"/>
  <c r="B1779" i="1"/>
  <c r="C1779" i="1"/>
  <c r="B1780" i="1"/>
  <c r="C1780" i="1"/>
  <c r="B1783" i="1"/>
  <c r="C1783" i="1"/>
  <c r="B1786" i="1"/>
  <c r="C1786" i="1"/>
  <c r="B1789" i="1"/>
  <c r="C1789" i="1"/>
  <c r="B1790" i="1"/>
  <c r="C1790" i="1"/>
  <c r="B1791" i="1"/>
  <c r="C1791" i="1"/>
  <c r="B1792" i="1"/>
  <c r="C1792" i="1"/>
  <c r="B1793" i="1"/>
  <c r="C1793" i="1"/>
  <c r="B1794" i="1"/>
  <c r="C1794" i="1"/>
  <c r="B1795" i="1"/>
  <c r="C1795" i="1"/>
  <c r="B1796" i="1"/>
  <c r="C1796" i="1"/>
  <c r="B1797" i="1"/>
  <c r="C1797" i="1"/>
  <c r="B1800" i="1"/>
  <c r="C1800" i="1"/>
  <c r="B1801" i="1"/>
  <c r="C1801" i="1"/>
  <c r="B1802" i="1"/>
  <c r="C1802" i="1"/>
  <c r="B1803" i="1"/>
  <c r="C1803" i="1"/>
  <c r="B1804" i="1"/>
  <c r="C1804" i="1"/>
  <c r="B1807" i="1"/>
  <c r="C1807" i="1"/>
  <c r="B1808" i="1"/>
  <c r="C1808" i="1"/>
  <c r="B1811" i="1"/>
  <c r="C1811" i="1"/>
  <c r="B1814" i="1"/>
  <c r="C1814" i="1"/>
  <c r="B1815" i="1"/>
  <c r="C1815" i="1"/>
  <c r="B1816" i="1"/>
  <c r="C1816" i="1"/>
  <c r="B1817" i="1"/>
  <c r="C1817" i="1"/>
  <c r="B1820" i="1"/>
  <c r="C1820" i="1"/>
  <c r="B1823" i="1"/>
  <c r="C1823" i="1"/>
  <c r="B1824" i="1"/>
  <c r="C1824" i="1"/>
  <c r="B1825" i="1"/>
  <c r="C1825" i="1"/>
  <c r="B1828" i="1"/>
  <c r="C1828" i="1"/>
  <c r="B1829" i="1"/>
  <c r="C1829" i="1"/>
  <c r="B1830" i="1"/>
  <c r="C1830" i="1"/>
  <c r="B1831" i="1"/>
  <c r="C1831" i="1"/>
  <c r="B1832" i="1"/>
  <c r="C1832" i="1"/>
  <c r="B1833" i="1"/>
  <c r="C1833" i="1"/>
  <c r="B1836" i="1"/>
  <c r="C1836" i="1"/>
  <c r="B1837" i="1"/>
  <c r="C1837" i="1"/>
  <c r="B1838" i="1"/>
  <c r="C1838" i="1"/>
  <c r="B1839" i="1"/>
  <c r="C1839" i="1"/>
  <c r="B1840" i="1"/>
  <c r="C1840" i="1"/>
  <c r="B1841" i="1"/>
  <c r="C1841" i="1"/>
  <c r="B1844" i="1"/>
  <c r="C1844" i="1"/>
  <c r="B1847" i="1"/>
  <c r="C1847" i="1"/>
  <c r="B1848" i="1"/>
  <c r="C1848" i="1"/>
  <c r="B1851" i="1"/>
  <c r="C1851" i="1"/>
  <c r="B1854" i="1"/>
  <c r="C1854" i="1"/>
  <c r="B1857" i="1"/>
  <c r="C1857" i="1"/>
  <c r="B1858" i="1"/>
  <c r="C1858" i="1"/>
  <c r="B1861" i="1"/>
  <c r="C1861" i="1"/>
  <c r="B1862" i="1"/>
  <c r="C1862" i="1"/>
  <c r="B1865" i="1"/>
  <c r="C1865" i="1"/>
  <c r="B1866" i="1"/>
  <c r="C1866" i="1"/>
  <c r="B1867" i="1"/>
  <c r="C1867" i="1"/>
  <c r="B1870" i="1"/>
  <c r="C1870" i="1"/>
  <c r="B1871" i="1"/>
  <c r="C1871" i="1"/>
  <c r="B1872" i="1"/>
  <c r="C1872" i="1"/>
  <c r="B1873" i="1"/>
  <c r="C1873" i="1"/>
  <c r="B1874" i="1"/>
  <c r="C1874" i="1"/>
  <c r="B1877" i="1"/>
  <c r="C1877" i="1"/>
  <c r="B1880" i="1"/>
  <c r="C1880" i="1"/>
  <c r="B1881" i="1"/>
  <c r="C1881" i="1"/>
  <c r="B1884" i="1"/>
  <c r="C1884" i="1"/>
  <c r="B1887" i="1"/>
  <c r="C1887" i="1"/>
  <c r="B1888" i="1"/>
  <c r="C1888" i="1"/>
  <c r="B1889" i="1"/>
  <c r="C1889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8" i="1"/>
  <c r="C1898" i="1"/>
  <c r="B1899" i="1"/>
  <c r="C1899" i="1"/>
  <c r="B1900" i="1"/>
  <c r="C1900" i="1"/>
  <c r="B1903" i="1"/>
  <c r="C1903" i="1"/>
  <c r="B1904" i="1"/>
  <c r="C1904" i="1"/>
  <c r="B1907" i="1"/>
  <c r="C1907" i="1"/>
  <c r="B1910" i="1"/>
  <c r="C1910" i="1"/>
  <c r="B1913" i="1"/>
  <c r="C1913" i="1"/>
  <c r="B1914" i="1"/>
  <c r="C1914" i="1"/>
  <c r="B1915" i="1"/>
  <c r="C1915" i="1"/>
  <c r="B1916" i="1"/>
  <c r="C1916" i="1"/>
  <c r="B1917" i="1"/>
  <c r="C1917" i="1"/>
  <c r="B1920" i="1"/>
  <c r="C1920" i="1"/>
  <c r="B1923" i="1"/>
  <c r="C1923" i="1"/>
  <c r="B1924" i="1"/>
  <c r="C1924" i="1"/>
  <c r="B1925" i="1"/>
  <c r="C1925" i="1"/>
  <c r="B1926" i="1"/>
  <c r="C1926" i="1"/>
  <c r="B1929" i="1"/>
  <c r="C1929" i="1"/>
  <c r="B1930" i="1"/>
  <c r="C1930" i="1"/>
  <c r="B1931" i="1"/>
  <c r="C1931" i="1"/>
  <c r="B1932" i="1"/>
  <c r="C1932" i="1"/>
  <c r="B1933" i="1"/>
  <c r="C1933" i="1"/>
  <c r="B1934" i="1"/>
  <c r="C1934" i="1"/>
  <c r="B1937" i="1"/>
  <c r="C1937" i="1"/>
  <c r="B1940" i="1"/>
  <c r="C1940" i="1"/>
  <c r="B1943" i="1"/>
  <c r="C1943" i="1"/>
  <c r="B1946" i="1"/>
  <c r="C1946" i="1"/>
  <c r="B1947" i="1"/>
  <c r="C1947" i="1"/>
  <c r="B1950" i="1"/>
  <c r="C1950" i="1"/>
  <c r="B1951" i="1"/>
  <c r="C1951" i="1"/>
  <c r="B1952" i="1"/>
  <c r="C1952" i="1"/>
  <c r="B1955" i="1"/>
  <c r="C1955" i="1"/>
  <c r="B1956" i="1"/>
  <c r="C1956" i="1"/>
  <c r="B1957" i="1"/>
  <c r="C1957" i="1"/>
  <c r="B1960" i="1"/>
  <c r="C1960" i="1"/>
  <c r="B1961" i="1"/>
  <c r="C1961" i="1"/>
  <c r="B1962" i="1"/>
  <c r="C1962" i="1"/>
  <c r="B1963" i="1"/>
  <c r="C1963" i="1"/>
  <c r="B1966" i="1"/>
  <c r="C1966" i="1"/>
  <c r="B1968" i="1"/>
  <c r="C1968" i="1"/>
  <c r="B1969" i="1"/>
  <c r="C1969" i="1"/>
  <c r="B1970" i="1"/>
  <c r="C1970" i="1"/>
  <c r="B1971" i="1"/>
  <c r="C1971" i="1"/>
  <c r="B1972" i="1"/>
  <c r="C1972" i="1"/>
  <c r="B1973" i="1"/>
  <c r="C1973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4" i="1"/>
  <c r="C1994" i="1"/>
  <c r="B1997" i="1"/>
  <c r="C1997" i="1"/>
  <c r="B1998" i="1"/>
  <c r="C1998" i="1"/>
  <c r="B1999" i="1"/>
  <c r="C1999" i="1"/>
  <c r="B2000" i="1"/>
  <c r="C2000" i="1"/>
  <c r="B2001" i="1"/>
  <c r="C2001" i="1"/>
  <c r="B2002" i="1"/>
  <c r="C2002" i="1"/>
  <c r="B2005" i="1"/>
  <c r="C2005" i="1"/>
  <c r="B2006" i="1"/>
  <c r="C2006" i="1"/>
  <c r="B2007" i="1"/>
  <c r="C2007" i="1"/>
  <c r="B2008" i="1"/>
  <c r="C2008" i="1"/>
  <c r="B2009" i="1"/>
  <c r="C2009" i="1"/>
  <c r="B2010" i="1"/>
  <c r="C2010" i="1"/>
  <c r="B2011" i="1"/>
  <c r="C2011" i="1"/>
  <c r="B2014" i="1"/>
  <c r="C2014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4" i="1"/>
  <c r="C2024" i="1"/>
  <c r="B2027" i="1"/>
  <c r="C2027" i="1"/>
  <c r="B2030" i="1"/>
  <c r="C2030" i="1"/>
  <c r="B2031" i="1"/>
  <c r="C2031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40" i="1"/>
  <c r="C2040" i="1"/>
  <c r="B2043" i="1"/>
  <c r="C2043" i="1"/>
  <c r="B2044" i="1"/>
  <c r="C2044" i="1"/>
  <c r="B2045" i="1"/>
  <c r="C2045" i="1"/>
  <c r="B2046" i="1"/>
  <c r="C2046" i="1"/>
  <c r="B2047" i="1"/>
  <c r="C2047" i="1"/>
  <c r="B2048" i="1"/>
  <c r="C2048" i="1"/>
  <c r="B2049" i="1"/>
  <c r="C2049" i="1"/>
  <c r="B2050" i="1"/>
  <c r="C2050" i="1"/>
  <c r="B2051" i="1"/>
  <c r="C2051" i="1"/>
  <c r="B2052" i="1"/>
  <c r="C2052" i="1"/>
  <c r="B2053" i="1"/>
  <c r="C2053" i="1"/>
  <c r="B2054" i="1"/>
  <c r="C2054" i="1"/>
  <c r="B2057" i="1"/>
  <c r="C2057" i="1"/>
  <c r="B2060" i="1"/>
  <c r="C2060" i="1"/>
  <c r="B2061" i="1"/>
  <c r="C2061" i="1"/>
  <c r="B2062" i="1"/>
  <c r="C2062" i="1"/>
  <c r="B2063" i="1"/>
  <c r="C2063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4" i="1"/>
  <c r="C2074" i="1"/>
  <c r="B2075" i="1"/>
  <c r="C2075" i="1"/>
  <c r="B2078" i="1"/>
  <c r="C2078" i="1"/>
  <c r="B2081" i="1"/>
  <c r="C2081" i="1"/>
  <c r="B2082" i="1"/>
  <c r="C2082" i="1"/>
  <c r="B2085" i="1"/>
  <c r="C2085" i="1"/>
  <c r="B2088" i="1"/>
  <c r="C2088" i="1"/>
  <c r="B2089" i="1"/>
  <c r="C2089" i="1"/>
  <c r="B2092" i="1"/>
  <c r="C2092" i="1"/>
  <c r="B2094" i="1"/>
  <c r="C2094" i="1"/>
  <c r="B2095" i="1"/>
  <c r="C2095" i="1"/>
  <c r="B2096" i="1"/>
  <c r="C2096" i="1"/>
  <c r="B2097" i="1"/>
  <c r="C2097" i="1"/>
  <c r="B2100" i="1"/>
  <c r="C2100" i="1"/>
  <c r="B2103" i="1"/>
  <c r="C2103" i="1"/>
  <c r="B2104" i="1"/>
  <c r="C2104" i="1"/>
  <c r="B2107" i="1"/>
  <c r="C2107" i="1"/>
  <c r="B2108" i="1"/>
  <c r="C2108" i="1"/>
  <c r="B2111" i="1"/>
  <c r="C2111" i="1"/>
  <c r="B2114" i="1"/>
  <c r="C2114" i="1"/>
  <c r="B2115" i="1"/>
  <c r="C2115" i="1"/>
  <c r="B2118" i="1"/>
  <c r="C2118" i="1"/>
  <c r="B2121" i="1"/>
  <c r="C2121" i="1"/>
  <c r="B2122" i="1"/>
  <c r="C2122" i="1"/>
  <c r="B2125" i="1"/>
  <c r="C2125" i="1"/>
  <c r="B2128" i="1"/>
  <c r="C2128" i="1"/>
  <c r="B2131" i="1"/>
  <c r="C2131" i="1"/>
  <c r="B2132" i="1"/>
  <c r="C2132" i="1"/>
  <c r="B2133" i="1"/>
  <c r="C2133" i="1"/>
  <c r="B2134" i="1"/>
  <c r="C2134" i="1"/>
  <c r="B2135" i="1"/>
  <c r="C2135" i="1"/>
  <c r="B2138" i="1"/>
  <c r="C2138" i="1"/>
  <c r="B2139" i="1"/>
  <c r="C2139" i="1"/>
  <c r="B2140" i="1"/>
  <c r="C2140" i="1"/>
  <c r="B2141" i="1"/>
  <c r="C2141" i="1"/>
  <c r="B2142" i="1"/>
  <c r="C2142" i="1"/>
  <c r="B2143" i="1"/>
  <c r="C2143" i="1"/>
  <c r="B2146" i="1"/>
  <c r="C2146" i="1"/>
  <c r="B2147" i="1"/>
  <c r="C2147" i="1"/>
  <c r="B2148" i="1"/>
  <c r="C2148" i="1"/>
  <c r="B2151" i="1"/>
  <c r="C2151" i="1"/>
  <c r="B2152" i="1"/>
  <c r="C2152" i="1"/>
  <c r="B2153" i="1"/>
  <c r="C2153" i="1"/>
  <c r="B2156" i="1"/>
  <c r="C2156" i="1"/>
  <c r="B2157" i="1"/>
  <c r="C2157" i="1"/>
  <c r="B2158" i="1"/>
  <c r="C2158" i="1"/>
  <c r="B2161" i="1"/>
  <c r="C2161" i="1"/>
  <c r="B2162" i="1"/>
  <c r="C2162" i="1"/>
  <c r="B2165" i="1"/>
  <c r="C2165" i="1"/>
  <c r="B2166" i="1"/>
  <c r="C2166" i="1"/>
  <c r="B2167" i="1"/>
  <c r="C2167" i="1"/>
  <c r="B2168" i="1"/>
  <c r="C2168" i="1"/>
  <c r="B2169" i="1"/>
  <c r="C2169" i="1"/>
  <c r="B2172" i="1"/>
  <c r="C2172" i="1"/>
</calcChain>
</file>

<file path=xl/sharedStrings.xml><?xml version="1.0" encoding="utf-8"?>
<sst xmlns="http://schemas.openxmlformats.org/spreadsheetml/2006/main" count="9652" uniqueCount="456">
  <si>
    <t>Wisconsin Department of Revenue</t>
  </si>
  <si>
    <t>TID304WI</t>
  </si>
  <si>
    <t>2021 Tax Incremental Financing (TIF) Value Limitation Report</t>
  </si>
  <si>
    <t>Date:  08-10-2021</t>
  </si>
  <si>
    <t>Time:  12:08 PM</t>
  </si>
  <si>
    <t xml:space="preserve">                                                   </t>
  </si>
  <si>
    <t xml:space="preserve">TID      </t>
  </si>
  <si>
    <t xml:space="preserve">          </t>
  </si>
  <si>
    <t xml:space="preserve">     </t>
  </si>
  <si>
    <t xml:space="preserve">        2021 TID</t>
  </si>
  <si>
    <t xml:space="preserve">2021 TID                                </t>
  </si>
  <si>
    <t xml:space="preserve">  </t>
  </si>
  <si>
    <t xml:space="preserve">    2021 Total Muni</t>
  </si>
  <si>
    <t xml:space="preserve">         </t>
  </si>
  <si>
    <t xml:space="preserve">Co-muni  </t>
  </si>
  <si>
    <t xml:space="preserve">Base </t>
  </si>
  <si>
    <t xml:space="preserve">         Current</t>
  </si>
  <si>
    <t xml:space="preserve">Value                                   </t>
  </si>
  <si>
    <t xml:space="preserve">          Equalized</t>
  </si>
  <si>
    <t xml:space="preserve">Municipality                                       </t>
  </si>
  <si>
    <t xml:space="preserve">Code     </t>
  </si>
  <si>
    <t xml:space="preserve">TID No.   </t>
  </si>
  <si>
    <t xml:space="preserve">Year </t>
  </si>
  <si>
    <t xml:space="preserve">           Value</t>
  </si>
  <si>
    <t xml:space="preserve">Increment                               </t>
  </si>
  <si>
    <t xml:space="preserve">              Value</t>
  </si>
  <si>
    <t xml:space="preserve">  5% Test</t>
  </si>
  <si>
    <t xml:space="preserve">  7% Test</t>
  </si>
  <si>
    <t xml:space="preserve"> 12% Test</t>
  </si>
  <si>
    <t>---------------------------------------------------</t>
  </si>
  <si>
    <t>---------</t>
  </si>
  <si>
    <t>----------</t>
  </si>
  <si>
    <t>-----</t>
  </si>
  <si>
    <t>----------------</t>
  </si>
  <si>
    <t>----------------------------------------</t>
  </si>
  <si>
    <t>--</t>
  </si>
  <si>
    <t>-------------------</t>
  </si>
  <si>
    <t xml:space="preserve">Abbotsford                                         </t>
  </si>
  <si>
    <t xml:space="preserve">                   </t>
  </si>
  <si>
    <t xml:space="preserve">        Municipal Totals                           </t>
  </si>
  <si>
    <t xml:space="preserve">Adams                                              </t>
  </si>
  <si>
    <t xml:space="preserve">Algoma                                             </t>
  </si>
  <si>
    <t xml:space="preserve">Allouez                                            </t>
  </si>
  <si>
    <t xml:space="preserve">Alma                                               </t>
  </si>
  <si>
    <t xml:space="preserve">Altoona                                            </t>
  </si>
  <si>
    <t xml:space="preserve">Amery                                              </t>
  </si>
  <si>
    <t xml:space="preserve">Amherst                                            </t>
  </si>
  <si>
    <t xml:space="preserve">Antigo                                             </t>
  </si>
  <si>
    <t xml:space="preserve">* </t>
  </si>
  <si>
    <t xml:space="preserve">Appleton                                           </t>
  </si>
  <si>
    <t xml:space="preserve">Arcadia                                            </t>
  </si>
  <si>
    <t xml:space="preserve">Arena                                              </t>
  </si>
  <si>
    <t xml:space="preserve">Argyle                                             </t>
  </si>
  <si>
    <t xml:space="preserve">Arlington                                          </t>
  </si>
  <si>
    <t xml:space="preserve">Ashland                                            </t>
  </si>
  <si>
    <t xml:space="preserve">Ashwaubenon                                        </t>
  </si>
  <si>
    <t xml:space="preserve">Athens                                             </t>
  </si>
  <si>
    <t xml:space="preserve">Auburndale                                         </t>
  </si>
  <si>
    <t xml:space="preserve">Augusta                                            </t>
  </si>
  <si>
    <t xml:space="preserve">Baldwin                                            </t>
  </si>
  <si>
    <t xml:space="preserve">Balsam Lake                                        </t>
  </si>
  <si>
    <t xml:space="preserve">Bangor                                             </t>
  </si>
  <si>
    <t xml:space="preserve">Baraboo                                            </t>
  </si>
  <si>
    <t xml:space="preserve">Barneveld                                          </t>
  </si>
  <si>
    <t xml:space="preserve">Barron                                             </t>
  </si>
  <si>
    <t xml:space="preserve">Beaver Dam                                         </t>
  </si>
  <si>
    <t xml:space="preserve">Belgium                                            </t>
  </si>
  <si>
    <t xml:space="preserve">Belleville                                         </t>
  </si>
  <si>
    <t xml:space="preserve">Bellevue                                           </t>
  </si>
  <si>
    <t xml:space="preserve">Belmont                                            </t>
  </si>
  <si>
    <t xml:space="preserve">Beloit                                             </t>
  </si>
  <si>
    <t xml:space="preserve">Berlin                                             </t>
  </si>
  <si>
    <t xml:space="preserve">Big Bend                                           </t>
  </si>
  <si>
    <t xml:space="preserve">Birchwood                                          </t>
  </si>
  <si>
    <t xml:space="preserve">Biron                                              </t>
  </si>
  <si>
    <t xml:space="preserve">Black Earth                                        </t>
  </si>
  <si>
    <t xml:space="preserve">Black River Falls                                  </t>
  </si>
  <si>
    <t xml:space="preserve">Blair                                              </t>
  </si>
  <si>
    <t xml:space="preserve">Bloomer                                            </t>
  </si>
  <si>
    <t xml:space="preserve">Bloomfield                                         </t>
  </si>
  <si>
    <t xml:space="preserve">Bonduel                                            </t>
  </si>
  <si>
    <t xml:space="preserve">Boscobel                                           </t>
  </si>
  <si>
    <t xml:space="preserve">Bowler                                             </t>
  </si>
  <si>
    <t xml:space="preserve">Boyceville                                         </t>
  </si>
  <si>
    <t xml:space="preserve">Brillion                                           </t>
  </si>
  <si>
    <t xml:space="preserve">Bristol                                            </t>
  </si>
  <si>
    <t xml:space="preserve">Brodhead                                           </t>
  </si>
  <si>
    <t xml:space="preserve">Brookfield                                         </t>
  </si>
  <si>
    <t xml:space="preserve">Brooklyn                                           </t>
  </si>
  <si>
    <t xml:space="preserve">Brown Deer                                         </t>
  </si>
  <si>
    <t xml:space="preserve">Bruce                                              </t>
  </si>
  <si>
    <t xml:space="preserve">Burlington                                         </t>
  </si>
  <si>
    <t xml:space="preserve">Cadott                                             </t>
  </si>
  <si>
    <t xml:space="preserve">Caledonia                                          </t>
  </si>
  <si>
    <t xml:space="preserve">Cambridge                                          </t>
  </si>
  <si>
    <t xml:space="preserve">Cameron                                            </t>
  </si>
  <si>
    <t xml:space="preserve">Camp Douglas                                       </t>
  </si>
  <si>
    <t xml:space="preserve">Campbellsport                                      </t>
  </si>
  <si>
    <t xml:space="preserve">Cascade                                            </t>
  </si>
  <si>
    <t xml:space="preserve">Cashton                                            </t>
  </si>
  <si>
    <t xml:space="preserve">Cedar Grove                                        </t>
  </si>
  <si>
    <t xml:space="preserve">Cedarburg                                          </t>
  </si>
  <si>
    <t xml:space="preserve">Centuria                                           </t>
  </si>
  <si>
    <t xml:space="preserve">Chetek                                             </t>
  </si>
  <si>
    <t xml:space="preserve">Chilton                                            </t>
  </si>
  <si>
    <t xml:space="preserve">Chippewa Falls                                     </t>
  </si>
  <si>
    <t xml:space="preserve">Clayton                                            </t>
  </si>
  <si>
    <t xml:space="preserve">Clear Lake                                         </t>
  </si>
  <si>
    <t xml:space="preserve">Clinton                                            </t>
  </si>
  <si>
    <t xml:space="preserve">Clintonville                                       </t>
  </si>
  <si>
    <t xml:space="preserve">Cochrane                                           </t>
  </si>
  <si>
    <t xml:space="preserve">Coleman                                            </t>
  </si>
  <si>
    <t xml:space="preserve">Colfax                                             </t>
  </si>
  <si>
    <t xml:space="preserve">Coloma                                             </t>
  </si>
  <si>
    <t xml:space="preserve">Columbus                                           </t>
  </si>
  <si>
    <t xml:space="preserve">Combined Locks                                     </t>
  </si>
  <si>
    <t xml:space="preserve">Cottage Grove                                      </t>
  </si>
  <si>
    <t xml:space="preserve">Crandon                                            </t>
  </si>
  <si>
    <t xml:space="preserve">Crivitz                                            </t>
  </si>
  <si>
    <t xml:space="preserve">Cross Plains                                       </t>
  </si>
  <si>
    <t xml:space="preserve">Cuba City                                          </t>
  </si>
  <si>
    <t xml:space="preserve">Cumberland                                         </t>
  </si>
  <si>
    <t xml:space="preserve">Dallas                                             </t>
  </si>
  <si>
    <t xml:space="preserve">Dane                                               </t>
  </si>
  <si>
    <t xml:space="preserve">Darien                                             </t>
  </si>
  <si>
    <t xml:space="preserve">Darlington                                         </t>
  </si>
  <si>
    <t xml:space="preserve">De Pere                                            </t>
  </si>
  <si>
    <t xml:space="preserve">De Soto                                            </t>
  </si>
  <si>
    <t xml:space="preserve">Deerfield                                          </t>
  </si>
  <si>
    <t xml:space="preserve">Deforest                                           </t>
  </si>
  <si>
    <t xml:space="preserve">Delafield                                          </t>
  </si>
  <si>
    <t xml:space="preserve">Delavan                                            </t>
  </si>
  <si>
    <t xml:space="preserve">Dickeyville                                        </t>
  </si>
  <si>
    <t xml:space="preserve">Dodgeville                                         </t>
  </si>
  <si>
    <t xml:space="preserve">Dorchester                                         </t>
  </si>
  <si>
    <t xml:space="preserve">Durand                                             </t>
  </si>
  <si>
    <t xml:space="preserve">Eagle River                                        </t>
  </si>
  <si>
    <t xml:space="preserve">East Troy                                          </t>
  </si>
  <si>
    <t xml:space="preserve">Eau Claire                                         </t>
  </si>
  <si>
    <t xml:space="preserve">Edgar                                              </t>
  </si>
  <si>
    <t xml:space="preserve">Edgerton                                           </t>
  </si>
  <si>
    <t xml:space="preserve">Elk Mound                                          </t>
  </si>
  <si>
    <t xml:space="preserve">Elkhart Lake                                       </t>
  </si>
  <si>
    <t xml:space="preserve">Elkhorn                                            </t>
  </si>
  <si>
    <t xml:space="preserve">Ellsworth                                          </t>
  </si>
  <si>
    <t xml:space="preserve">Elm Grove                                          </t>
  </si>
  <si>
    <t xml:space="preserve">Elmwood                                            </t>
  </si>
  <si>
    <t xml:space="preserve">Elroy                                              </t>
  </si>
  <si>
    <t xml:space="preserve">Endeavor                                           </t>
  </si>
  <si>
    <t xml:space="preserve">Evansville                                         </t>
  </si>
  <si>
    <t xml:space="preserve">Fairwater                                          </t>
  </si>
  <si>
    <t xml:space="preserve">Fall Creek                                         </t>
  </si>
  <si>
    <t xml:space="preserve">Fall River                                         </t>
  </si>
  <si>
    <t xml:space="preserve">Fennimore                                          </t>
  </si>
  <si>
    <t xml:space="preserve">Ferryville                                         </t>
  </si>
  <si>
    <t xml:space="preserve">Fitchburg                                          </t>
  </si>
  <si>
    <t xml:space="preserve">Florence                                           </t>
  </si>
  <si>
    <t xml:space="preserve">Fond Du Lac                                        </t>
  </si>
  <si>
    <t xml:space="preserve">Fontana                                            </t>
  </si>
  <si>
    <t xml:space="preserve">Footville                                          </t>
  </si>
  <si>
    <t xml:space="preserve">Fort Atkinson                                      </t>
  </si>
  <si>
    <t xml:space="preserve">Fox Crossing                                       </t>
  </si>
  <si>
    <t xml:space="preserve">Fox Lake                                           </t>
  </si>
  <si>
    <t xml:space="preserve">Francis Creek                                      </t>
  </si>
  <si>
    <t xml:space="preserve">Franklin                                           </t>
  </si>
  <si>
    <t xml:space="preserve">Frederic                                           </t>
  </si>
  <si>
    <t xml:space="preserve">Freedom                                            </t>
  </si>
  <si>
    <t xml:space="preserve">Friendship                                         </t>
  </si>
  <si>
    <t xml:space="preserve">Galesville                                         </t>
  </si>
  <si>
    <t xml:space="preserve">Gays Mills                                         </t>
  </si>
  <si>
    <t xml:space="preserve">Germantown                                         </t>
  </si>
  <si>
    <t xml:space="preserve">Gillett                                            </t>
  </si>
  <si>
    <t xml:space="preserve">Glenbeulah                                         </t>
  </si>
  <si>
    <t xml:space="preserve">Glendale                                           </t>
  </si>
  <si>
    <t xml:space="preserve">Grafton                                            </t>
  </si>
  <si>
    <t xml:space="preserve">Grand Chute                                        </t>
  </si>
  <si>
    <t xml:space="preserve">Granton                                            </t>
  </si>
  <si>
    <t xml:space="preserve">Grantsburg                                         </t>
  </si>
  <si>
    <t xml:space="preserve">Gratiot                                            </t>
  </si>
  <si>
    <t xml:space="preserve">Green Bay                                          </t>
  </si>
  <si>
    <t xml:space="preserve">Green Lake                                         </t>
  </si>
  <si>
    <t xml:space="preserve">Greendale                                          </t>
  </si>
  <si>
    <t xml:space="preserve">Greenfield                                         </t>
  </si>
  <si>
    <t xml:space="preserve">Greenville                                         </t>
  </si>
  <si>
    <t xml:space="preserve">Greenwood                                          </t>
  </si>
  <si>
    <t xml:space="preserve">Gresham                                            </t>
  </si>
  <si>
    <t xml:space="preserve">Hales Corners                                      </t>
  </si>
  <si>
    <t xml:space="preserve">Hammond                                            </t>
  </si>
  <si>
    <t xml:space="preserve">Hancock                                            </t>
  </si>
  <si>
    <t xml:space="preserve">Harrison                                           </t>
  </si>
  <si>
    <t xml:space="preserve">Hartford                                           </t>
  </si>
  <si>
    <t xml:space="preserve">Hartland                                           </t>
  </si>
  <si>
    <t xml:space="preserve">Hatley                                             </t>
  </si>
  <si>
    <t xml:space="preserve">Hawkins                                            </t>
  </si>
  <si>
    <t xml:space="preserve">Hayward                                            </t>
  </si>
  <si>
    <t xml:space="preserve">Highland                                           </t>
  </si>
  <si>
    <t xml:space="preserve">Hilbert                                            </t>
  </si>
  <si>
    <t xml:space="preserve">Hillsboro                                          </t>
  </si>
  <si>
    <t xml:space="preserve">Hixton                                             </t>
  </si>
  <si>
    <t xml:space="preserve">Hobart                                             </t>
  </si>
  <si>
    <t xml:space="preserve">Holmen                                             </t>
  </si>
  <si>
    <t xml:space="preserve">Horicon                                            </t>
  </si>
  <si>
    <t xml:space="preserve">Hortonville                                        </t>
  </si>
  <si>
    <t xml:space="preserve">Howard                                             </t>
  </si>
  <si>
    <t xml:space="preserve">Howards Grove                                      </t>
  </si>
  <si>
    <t xml:space="preserve">Hudson                                             </t>
  </si>
  <si>
    <t xml:space="preserve">Hustisford                                         </t>
  </si>
  <si>
    <t xml:space="preserve">Independence                                       </t>
  </si>
  <si>
    <t xml:space="preserve">Jackson                                            </t>
  </si>
  <si>
    <t xml:space="preserve">Janesville                                         </t>
  </si>
  <si>
    <t xml:space="preserve">Jefferson                                          </t>
  </si>
  <si>
    <t xml:space="preserve">Johnson Creek                                      </t>
  </si>
  <si>
    <t xml:space="preserve">Junction City                                      </t>
  </si>
  <si>
    <t xml:space="preserve">Juneau                                             </t>
  </si>
  <si>
    <t xml:space="preserve">Kaukauna                                           </t>
  </si>
  <si>
    <t xml:space="preserve">Kellnersville                                      </t>
  </si>
  <si>
    <t xml:space="preserve">Kenosha                                            </t>
  </si>
  <si>
    <t xml:space="preserve">Kewaskum                                           </t>
  </si>
  <si>
    <t xml:space="preserve">Kewaunee                                           </t>
  </si>
  <si>
    <t xml:space="preserve">Kiel                                               </t>
  </si>
  <si>
    <t xml:space="preserve">Kimberly                                           </t>
  </si>
  <si>
    <t xml:space="preserve">Knapp                                              </t>
  </si>
  <si>
    <t xml:space="preserve">Kronenwetter                                       </t>
  </si>
  <si>
    <t xml:space="preserve">La Crosse                                          </t>
  </si>
  <si>
    <t xml:space="preserve">La Farge                                           </t>
  </si>
  <si>
    <t xml:space="preserve">Ladysmith                                          </t>
  </si>
  <si>
    <t xml:space="preserve">Lake Delton                                        </t>
  </si>
  <si>
    <t xml:space="preserve">Lake Hallie                                        </t>
  </si>
  <si>
    <t xml:space="preserve">Lake Mills                                         </t>
  </si>
  <si>
    <t xml:space="preserve">Lancaster                                          </t>
  </si>
  <si>
    <t xml:space="preserve">Lannon                                             </t>
  </si>
  <si>
    <t xml:space="preserve">Lawrence                                           </t>
  </si>
  <si>
    <t xml:space="preserve">Ledgeview                                          </t>
  </si>
  <si>
    <t xml:space="preserve">Lena                                               </t>
  </si>
  <si>
    <t xml:space="preserve">Lisbon                                             </t>
  </si>
  <si>
    <t xml:space="preserve">Little Chute                                       </t>
  </si>
  <si>
    <t xml:space="preserve">Lodi                                               </t>
  </si>
  <si>
    <t xml:space="preserve">Loganville                                         </t>
  </si>
  <si>
    <t xml:space="preserve">Lomira                                             </t>
  </si>
  <si>
    <t xml:space="preserve">Loyal                                              </t>
  </si>
  <si>
    <t xml:space="preserve">Luck                                               </t>
  </si>
  <si>
    <t xml:space="preserve">Luxemburg                                          </t>
  </si>
  <si>
    <t xml:space="preserve">Madison                                            </t>
  </si>
  <si>
    <t xml:space="preserve">Maine                                              </t>
  </si>
  <si>
    <t xml:space="preserve">Manawa                                             </t>
  </si>
  <si>
    <t xml:space="preserve">Manitowoc                                          </t>
  </si>
  <si>
    <t xml:space="preserve">Maple Bluff                                        </t>
  </si>
  <si>
    <t xml:space="preserve">Marathon                                           </t>
  </si>
  <si>
    <t xml:space="preserve">Maribel                                            </t>
  </si>
  <si>
    <t xml:space="preserve">Marinette                                          </t>
  </si>
  <si>
    <t xml:space="preserve">Markesan                                           </t>
  </si>
  <si>
    <t xml:space="preserve">Marshall                                           </t>
  </si>
  <si>
    <t xml:space="preserve">Marshfield                                         </t>
  </si>
  <si>
    <t xml:space="preserve">Mason                                              </t>
  </si>
  <si>
    <t xml:space="preserve">Mauston                                            </t>
  </si>
  <si>
    <t xml:space="preserve">Mayville                                           </t>
  </si>
  <si>
    <t xml:space="preserve">Mazomanie                                          </t>
  </si>
  <si>
    <t xml:space="preserve">Mcfarland                                          </t>
  </si>
  <si>
    <t xml:space="preserve">Medford                                            </t>
  </si>
  <si>
    <t xml:space="preserve">Menasha                                            </t>
  </si>
  <si>
    <t xml:space="preserve">Menomonee Falls                                    </t>
  </si>
  <si>
    <t xml:space="preserve">Menomonie                                          </t>
  </si>
  <si>
    <t xml:space="preserve">Mequon                                             </t>
  </si>
  <si>
    <t xml:space="preserve">Merrill                                            </t>
  </si>
  <si>
    <t xml:space="preserve">Merrillan                                          </t>
  </si>
  <si>
    <t xml:space="preserve">Middleton                                          </t>
  </si>
  <si>
    <t xml:space="preserve">Milltown                                           </t>
  </si>
  <si>
    <t xml:space="preserve">Milton                                             </t>
  </si>
  <si>
    <t xml:space="preserve">Milwaukee                                          </t>
  </si>
  <si>
    <t xml:space="preserve">Minong                                             </t>
  </si>
  <si>
    <t xml:space="preserve">Mondovi                                            </t>
  </si>
  <si>
    <t xml:space="preserve">Monona                                             </t>
  </si>
  <si>
    <t xml:space="preserve">Monroe                                             </t>
  </si>
  <si>
    <t xml:space="preserve">Montfort                                           </t>
  </si>
  <si>
    <t xml:space="preserve">Mosinee                                            </t>
  </si>
  <si>
    <t xml:space="preserve">Mount Horeb                                        </t>
  </si>
  <si>
    <t xml:space="preserve">Mount Pleasant                                     </t>
  </si>
  <si>
    <t xml:space="preserve">Mukwonago                                          </t>
  </si>
  <si>
    <t xml:space="preserve">Muscoda                                            </t>
  </si>
  <si>
    <t xml:space="preserve">Muskego                                            </t>
  </si>
  <si>
    <t xml:space="preserve">Necedah                                            </t>
  </si>
  <si>
    <t xml:space="preserve">Neenah                                             </t>
  </si>
  <si>
    <t xml:space="preserve">Neillsville                                        </t>
  </si>
  <si>
    <t xml:space="preserve">Nekoosa                                            </t>
  </si>
  <si>
    <t xml:space="preserve">New Auburn                                         </t>
  </si>
  <si>
    <t xml:space="preserve">New Berlin                                         </t>
  </si>
  <si>
    <t xml:space="preserve">New Glarus                                         </t>
  </si>
  <si>
    <t xml:space="preserve">New Holstein                                       </t>
  </si>
  <si>
    <t xml:space="preserve">New Lisbon                                         </t>
  </si>
  <si>
    <t xml:space="preserve">New Richmond                                       </t>
  </si>
  <si>
    <t xml:space="preserve">Niagara                                            </t>
  </si>
  <si>
    <t xml:space="preserve">North Fond Du Lac                                  </t>
  </si>
  <si>
    <t xml:space="preserve">North Freedom                                      </t>
  </si>
  <si>
    <t xml:space="preserve">Oak Creek                                          </t>
  </si>
  <si>
    <t xml:space="preserve">Oakfield                                           </t>
  </si>
  <si>
    <t xml:space="preserve">Oconomowoc                                         </t>
  </si>
  <si>
    <t xml:space="preserve">Oconto                                             </t>
  </si>
  <si>
    <t xml:space="preserve">Omro                                               </t>
  </si>
  <si>
    <t xml:space="preserve">Onalaska                                           </t>
  </si>
  <si>
    <t xml:space="preserve">Ontario                                            </t>
  </si>
  <si>
    <t xml:space="preserve">Oostburg                                           </t>
  </si>
  <si>
    <t xml:space="preserve">Oregon                                             </t>
  </si>
  <si>
    <t xml:space="preserve">Orfordville                                        </t>
  </si>
  <si>
    <t xml:space="preserve">Osceola                                            </t>
  </si>
  <si>
    <t xml:space="preserve">Oshkosh                                            </t>
  </si>
  <si>
    <t xml:space="preserve">Osseo                                              </t>
  </si>
  <si>
    <t xml:space="preserve">Owen                                               </t>
  </si>
  <si>
    <t xml:space="preserve">Paddock Lake                                       </t>
  </si>
  <si>
    <t xml:space="preserve">Palmyra                                            </t>
  </si>
  <si>
    <t xml:space="preserve">Park Falls                                         </t>
  </si>
  <si>
    <t xml:space="preserve">Pepin                                              </t>
  </si>
  <si>
    <t xml:space="preserve">Pewaukee                                           </t>
  </si>
  <si>
    <t xml:space="preserve">Phillips                                           </t>
  </si>
  <si>
    <t xml:space="preserve">Pittsville                                         </t>
  </si>
  <si>
    <t xml:space="preserve">Plain                                              </t>
  </si>
  <si>
    <t xml:space="preserve">Plainfield                                         </t>
  </si>
  <si>
    <t xml:space="preserve">Platteville                                        </t>
  </si>
  <si>
    <t xml:space="preserve">Pleasant Prairie                                   </t>
  </si>
  <si>
    <t xml:space="preserve">Plover                                             </t>
  </si>
  <si>
    <t xml:space="preserve">Plymouth                                           </t>
  </si>
  <si>
    <t xml:space="preserve">Port Edwards                                       </t>
  </si>
  <si>
    <t xml:space="preserve">Port Washington                                    </t>
  </si>
  <si>
    <t xml:space="preserve">Portage                                            </t>
  </si>
  <si>
    <t xml:space="preserve">Pound                                              </t>
  </si>
  <si>
    <t xml:space="preserve">Prairie Du Chien                                   </t>
  </si>
  <si>
    <t xml:space="preserve">Prairie Du Sac                                     </t>
  </si>
  <si>
    <t xml:space="preserve">Prairie Farm                                       </t>
  </si>
  <si>
    <t xml:space="preserve">Prentice                                           </t>
  </si>
  <si>
    <t xml:space="preserve">Prescott                                           </t>
  </si>
  <si>
    <t xml:space="preserve">Princeton                                          </t>
  </si>
  <si>
    <t xml:space="preserve">Pulaski                                            </t>
  </si>
  <si>
    <t xml:space="preserve">Racine                                             </t>
  </si>
  <si>
    <t xml:space="preserve">Random Lake                                        </t>
  </si>
  <si>
    <t xml:space="preserve">Redgranite                                         </t>
  </si>
  <si>
    <t xml:space="preserve">Reedsburg                                          </t>
  </si>
  <si>
    <t xml:space="preserve">Reeseville                                         </t>
  </si>
  <si>
    <t xml:space="preserve">Rhinelander                                        </t>
  </si>
  <si>
    <t xml:space="preserve">Rib Lake                                           </t>
  </si>
  <si>
    <t xml:space="preserve">Rib Mountain                                       </t>
  </si>
  <si>
    <t xml:space="preserve">Rice Lake                                          </t>
  </si>
  <si>
    <t xml:space="preserve">Richland Center                                    </t>
  </si>
  <si>
    <t xml:space="preserve">Ridgeland                                          </t>
  </si>
  <si>
    <t xml:space="preserve">Ridgeway                                           </t>
  </si>
  <si>
    <t xml:space="preserve">Rio                                                </t>
  </si>
  <si>
    <t xml:space="preserve">Ripon                                              </t>
  </si>
  <si>
    <t xml:space="preserve">River Falls                                        </t>
  </si>
  <si>
    <t xml:space="preserve">Roberts                                            </t>
  </si>
  <si>
    <t xml:space="preserve">Rock Springs                                       </t>
  </si>
  <si>
    <t xml:space="preserve">Rockland                                           </t>
  </si>
  <si>
    <t xml:space="preserve">Rome                                               </t>
  </si>
  <si>
    <t xml:space="preserve">Rosendale                                          </t>
  </si>
  <si>
    <t xml:space="preserve">Rothschild                                         </t>
  </si>
  <si>
    <t xml:space="preserve">Saint Francis                                      </t>
  </si>
  <si>
    <t xml:space="preserve">Salem Lakes                                        </t>
  </si>
  <si>
    <t xml:space="preserve">Sauk City                                          </t>
  </si>
  <si>
    <t xml:space="preserve">Saukville                                          </t>
  </si>
  <si>
    <t xml:space="preserve">Schofield                                          </t>
  </si>
  <si>
    <t xml:space="preserve">Seymour                                            </t>
  </si>
  <si>
    <t xml:space="preserve">Sharon                                             </t>
  </si>
  <si>
    <t xml:space="preserve">Shawano                                            </t>
  </si>
  <si>
    <t xml:space="preserve">Sheboygan                                          </t>
  </si>
  <si>
    <t xml:space="preserve">Sheboygan Falls                                    </t>
  </si>
  <si>
    <t xml:space="preserve">Sherwood                                           </t>
  </si>
  <si>
    <t xml:space="preserve">Shorewood                                          </t>
  </si>
  <si>
    <t xml:space="preserve">Shorewood Hills                                    </t>
  </si>
  <si>
    <t xml:space="preserve">Shullsburg                                         </t>
  </si>
  <si>
    <t xml:space="preserve">Siren                                              </t>
  </si>
  <si>
    <t xml:space="preserve">Sister Bay                                         </t>
  </si>
  <si>
    <t xml:space="preserve">Slinger                                            </t>
  </si>
  <si>
    <t xml:space="preserve">Solon Springs                                      </t>
  </si>
  <si>
    <t xml:space="preserve">Somers                                             </t>
  </si>
  <si>
    <t xml:space="preserve">Somerset                                           </t>
  </si>
  <si>
    <t xml:space="preserve">South Milwaukee                                    </t>
  </si>
  <si>
    <t xml:space="preserve">Sparta                                             </t>
  </si>
  <si>
    <t xml:space="preserve">Spencer                                            </t>
  </si>
  <si>
    <t xml:space="preserve">Spooner                                            </t>
  </si>
  <si>
    <t xml:space="preserve">Spring Green                                       </t>
  </si>
  <si>
    <t xml:space="preserve">Spring Valley                                      </t>
  </si>
  <si>
    <t xml:space="preserve">Stanley                                            </t>
  </si>
  <si>
    <t xml:space="preserve">Stetsonville                                       </t>
  </si>
  <si>
    <t xml:space="preserve">Stevens Point                                      </t>
  </si>
  <si>
    <t xml:space="preserve">Stoughton                                          </t>
  </si>
  <si>
    <t xml:space="preserve">Stratford                                          </t>
  </si>
  <si>
    <t xml:space="preserve">Strum                                              </t>
  </si>
  <si>
    <t xml:space="preserve">Sturgeon Bay                                       </t>
  </si>
  <si>
    <t xml:space="preserve">Sturtevant                                         </t>
  </si>
  <si>
    <t xml:space="preserve">Suamico                                            </t>
  </si>
  <si>
    <t xml:space="preserve">Sun Prairie                                        </t>
  </si>
  <si>
    <t xml:space="preserve">Superior                                           </t>
  </si>
  <si>
    <t xml:space="preserve">Suring                                             </t>
  </si>
  <si>
    <t xml:space="preserve">Sussex                                             </t>
  </si>
  <si>
    <t xml:space="preserve">Taylor                                             </t>
  </si>
  <si>
    <t xml:space="preserve">Thiensville                                        </t>
  </si>
  <si>
    <t xml:space="preserve">Thorp                                              </t>
  </si>
  <si>
    <t xml:space="preserve">Tigerton                                           </t>
  </si>
  <si>
    <t xml:space="preserve">Tomah                                              </t>
  </si>
  <si>
    <t xml:space="preserve">Tomahawk                                           </t>
  </si>
  <si>
    <t xml:space="preserve">Trempealeau                                        </t>
  </si>
  <si>
    <t xml:space="preserve">Turtle Lake                                        </t>
  </si>
  <si>
    <t xml:space="preserve">Twin Lakes                                         </t>
  </si>
  <si>
    <t xml:space="preserve">Two Rivers                                         </t>
  </si>
  <si>
    <t xml:space="preserve">Union Grove                                        </t>
  </si>
  <si>
    <t xml:space="preserve">Unity                                              </t>
  </si>
  <si>
    <t xml:space="preserve">Valders                                            </t>
  </si>
  <si>
    <t xml:space="preserve">Vernon                                             </t>
  </si>
  <si>
    <t xml:space="preserve">Verona                                             </t>
  </si>
  <si>
    <t xml:space="preserve">Vesper                                             </t>
  </si>
  <si>
    <t xml:space="preserve">Viola                                              </t>
  </si>
  <si>
    <t xml:space="preserve">Viroqua                                            </t>
  </si>
  <si>
    <t xml:space="preserve">Wales                                              </t>
  </si>
  <si>
    <t xml:space="preserve">Walworth                                           </t>
  </si>
  <si>
    <t xml:space="preserve">Warrens                                            </t>
  </si>
  <si>
    <t xml:space="preserve">Washburn                                           </t>
  </si>
  <si>
    <t xml:space="preserve">Waterford                                          </t>
  </si>
  <si>
    <t xml:space="preserve">Waterloo                                           </t>
  </si>
  <si>
    <t xml:space="preserve">Watertown                                          </t>
  </si>
  <si>
    <t xml:space="preserve">Waukesha                                           </t>
  </si>
  <si>
    <t xml:space="preserve">Waunakee                                           </t>
  </si>
  <si>
    <t xml:space="preserve">Waupaca                                            </t>
  </si>
  <si>
    <t xml:space="preserve">Waupun                                             </t>
  </si>
  <si>
    <t xml:space="preserve">Wausau                                             </t>
  </si>
  <si>
    <t xml:space="preserve">Wausaukee                                          </t>
  </si>
  <si>
    <t xml:space="preserve">Wautoma                                            </t>
  </si>
  <si>
    <t xml:space="preserve">Wauwatosa                                          </t>
  </si>
  <si>
    <t xml:space="preserve">Webster                                            </t>
  </si>
  <si>
    <t xml:space="preserve">West Allis                                         </t>
  </si>
  <si>
    <t xml:space="preserve">West Baraboo                                       </t>
  </si>
  <si>
    <t xml:space="preserve">West Bend                                          </t>
  </si>
  <si>
    <t xml:space="preserve">West Milwaukee                                     </t>
  </si>
  <si>
    <t xml:space="preserve">West Salem                                         </t>
  </si>
  <si>
    <t xml:space="preserve">Westby                                             </t>
  </si>
  <si>
    <t xml:space="preserve">Westfield                                          </t>
  </si>
  <si>
    <t xml:space="preserve">Weston                                             </t>
  </si>
  <si>
    <t xml:space="preserve">Weyauwega                                          </t>
  </si>
  <si>
    <t xml:space="preserve">Weyerhaeuser                                       </t>
  </si>
  <si>
    <t xml:space="preserve">Whitefish Bay                                      </t>
  </si>
  <si>
    <t xml:space="preserve">Whitehall                                          </t>
  </si>
  <si>
    <t xml:space="preserve">Whitelaw                                           </t>
  </si>
  <si>
    <t xml:space="preserve">Whitewater                                         </t>
  </si>
  <si>
    <t xml:space="preserve">Whiting                                            </t>
  </si>
  <si>
    <t xml:space="preserve">Wild Rose                                          </t>
  </si>
  <si>
    <t xml:space="preserve">Wilton                                             </t>
  </si>
  <si>
    <t xml:space="preserve">Windsor                                            </t>
  </si>
  <si>
    <t xml:space="preserve">Winneconne                                         </t>
  </si>
  <si>
    <t xml:space="preserve">Wisconsin Dells                                    </t>
  </si>
  <si>
    <t xml:space="preserve">Wisconsin Rapids                                   </t>
  </si>
  <si>
    <t xml:space="preserve">Withee                                             </t>
  </si>
  <si>
    <t xml:space="preserve">Wittenberg                                         </t>
  </si>
  <si>
    <t xml:space="preserve">Woodville                                          </t>
  </si>
  <si>
    <t xml:space="preserve">Wrightstown                                        </t>
  </si>
  <si>
    <t xml:space="preserve">Yorkville                                          </t>
  </si>
  <si>
    <t>*A negative increment is treated as zero increment</t>
  </si>
  <si>
    <t xml:space="preserve">          NOTE:  With the exception of Muni Equalized Value column  totals do not include Environmental Remediation TID information</t>
  </si>
  <si>
    <t xml:space="preserve">          2021 TID Total Value Increment    :</t>
  </si>
  <si>
    <t xml:space="preserve">          2021 Muni Total TID Current Value :</t>
  </si>
  <si>
    <t xml:space="preserve">          2021 Muni Total Equalized Value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</si>
</sst>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5"/>
  <sheetViews>
    <sheetView tabSelected="1" workbookViewId="0">
      <pane ySplit="8" topLeftCell="A9" activePane="bottomLeft" state="frozen"/>
      <selection pane="bottomLeft" activeCell="A5" sqref="A5"/>
    </sheetView>
  </sheetViews>
  <sheetFormatPr defaultRowHeight="14.5" x14ac:dyDescent="0.35"/>
  <cols>
    <col min="1" max="1" width="114.26953125" bestFit="1" customWidth="1"/>
    <col min="2" max="2" width="9" bestFit="1" customWidth="1"/>
    <col min="3" max="3" width="8.453125" bestFit="1" customWidth="1"/>
    <col min="4" max="4" width="5.26953125" bestFit="1" customWidth="1"/>
    <col min="5" max="5" width="14.81640625" bestFit="1" customWidth="1"/>
    <col min="6" max="6" width="29" bestFit="1" customWidth="1"/>
    <col min="7" max="7" width="2.26953125" bestFit="1" customWidth="1"/>
    <col min="8" max="8" width="16.26953125" bestFit="1" customWidth="1"/>
    <col min="9" max="10" width="8.1796875" bestFit="1" customWidth="1"/>
    <col min="11" max="11" width="15.54296875" bestFit="1" customWidth="1"/>
  </cols>
  <sheetData>
    <row r="1" spans="1:11" s="2" customFormat="1" x14ac:dyDescent="0.35"/>
    <row r="2" spans="1:11" s="2" customFormat="1" x14ac:dyDescent="0.35">
      <c r="A2" s="2" t="s">
        <v>0</v>
      </c>
      <c r="K2" s="2" t="s">
        <v>1</v>
      </c>
    </row>
    <row r="3" spans="1:11" s="2" customFormat="1" x14ac:dyDescent="0.35">
      <c r="A3" s="2" t="s">
        <v>2</v>
      </c>
      <c r="K3" s="2" t="s">
        <v>3</v>
      </c>
    </row>
    <row r="4" spans="1:11" s="2" customFormat="1" x14ac:dyDescent="0.35">
      <c r="K4" s="2" t="s">
        <v>4</v>
      </c>
    </row>
    <row r="5" spans="1:11" s="2" customFormat="1" x14ac:dyDescent="0.35"/>
    <row r="6" spans="1:11" s="2" customFormat="1" x14ac:dyDescent="0.3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13</v>
      </c>
    </row>
    <row r="7" spans="1:11" s="2" customFormat="1" x14ac:dyDescent="0.35">
      <c r="A7" s="2" t="s">
        <v>5</v>
      </c>
      <c r="B7" s="2" t="s">
        <v>14</v>
      </c>
      <c r="C7" s="2" t="s">
        <v>7</v>
      </c>
      <c r="D7" s="2" t="s">
        <v>15</v>
      </c>
      <c r="E7" s="2" t="s">
        <v>16</v>
      </c>
      <c r="F7" s="2" t="s">
        <v>17</v>
      </c>
      <c r="G7" s="2" t="s">
        <v>11</v>
      </c>
      <c r="H7" s="2" t="s">
        <v>18</v>
      </c>
      <c r="I7" s="2" t="s">
        <v>13</v>
      </c>
      <c r="J7" s="2" t="s">
        <v>13</v>
      </c>
    </row>
    <row r="8" spans="1:11" s="2" customFormat="1" x14ac:dyDescent="0.35">
      <c r="A8" s="3" t="s">
        <v>19</v>
      </c>
      <c r="B8" s="3" t="s">
        <v>20</v>
      </c>
      <c r="C8" s="3" t="s">
        <v>21</v>
      </c>
      <c r="D8" s="3" t="s">
        <v>22</v>
      </c>
      <c r="E8" s="3" t="s">
        <v>23</v>
      </c>
      <c r="F8" s="3" t="s">
        <v>24</v>
      </c>
      <c r="G8" s="3" t="s">
        <v>11</v>
      </c>
      <c r="H8" s="3" t="s">
        <v>25</v>
      </c>
      <c r="I8" s="3" t="s">
        <v>26</v>
      </c>
      <c r="J8" s="3" t="s">
        <v>27</v>
      </c>
      <c r="K8" s="3" t="s">
        <v>28</v>
      </c>
    </row>
    <row r="9" spans="1:11" s="2" customFormat="1" x14ac:dyDescent="0.35">
      <c r="A9" s="2" t="s">
        <v>29</v>
      </c>
      <c r="B9" s="2" t="s">
        <v>30</v>
      </c>
      <c r="C9" s="2" t="s">
        <v>31</v>
      </c>
      <c r="D9" s="2" t="s">
        <v>32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30</v>
      </c>
      <c r="J9" s="2" t="s">
        <v>30</v>
      </c>
      <c r="K9" s="2" t="s">
        <v>30</v>
      </c>
    </row>
    <row r="10" spans="1:11" x14ac:dyDescent="0.35">
      <c r="A10" t="s">
        <v>37</v>
      </c>
      <c r="B10" t="str">
        <f>"37201"</f>
        <v>37201</v>
      </c>
      <c r="C10" t="str">
        <f>"005"</f>
        <v>005</v>
      </c>
      <c r="D10">
        <v>2008</v>
      </c>
      <c r="E10" s="1">
        <v>12013000</v>
      </c>
      <c r="F10" s="1">
        <v>58900</v>
      </c>
      <c r="G10" s="1" t="s">
        <v>11</v>
      </c>
      <c r="H10" s="1" t="s">
        <v>38</v>
      </c>
      <c r="I10" t="s">
        <v>13</v>
      </c>
      <c r="J10" t="s">
        <v>13</v>
      </c>
    </row>
    <row r="11" spans="1:11" x14ac:dyDescent="0.35">
      <c r="A11" t="s">
        <v>5</v>
      </c>
      <c r="B11" t="str">
        <f>"10201"</f>
        <v>10201</v>
      </c>
      <c r="C11" t="str">
        <f>"005"</f>
        <v>005</v>
      </c>
      <c r="D11">
        <v>2008</v>
      </c>
      <c r="E11" s="1">
        <v>592500</v>
      </c>
      <c r="F11" s="1">
        <v>133700</v>
      </c>
      <c r="G11" s="1" t="s">
        <v>11</v>
      </c>
      <c r="H11" s="1" t="s">
        <v>38</v>
      </c>
      <c r="I11" t="s">
        <v>13</v>
      </c>
      <c r="J11" t="s">
        <v>13</v>
      </c>
    </row>
    <row r="12" spans="1:11" x14ac:dyDescent="0.35">
      <c r="A12" t="s">
        <v>5</v>
      </c>
      <c r="B12" t="str">
        <f>"10201"</f>
        <v>10201</v>
      </c>
      <c r="C12" t="str">
        <f>"006"</f>
        <v>006</v>
      </c>
      <c r="D12">
        <v>2016</v>
      </c>
      <c r="E12" s="1">
        <v>24584700</v>
      </c>
      <c r="F12" s="1">
        <v>21637600</v>
      </c>
      <c r="G12" s="1" t="s">
        <v>11</v>
      </c>
      <c r="H12" s="1" t="s">
        <v>38</v>
      </c>
      <c r="I12" t="s">
        <v>13</v>
      </c>
      <c r="J12" t="s">
        <v>13</v>
      </c>
    </row>
    <row r="13" spans="1:11" x14ac:dyDescent="0.35">
      <c r="A13" t="s">
        <v>5</v>
      </c>
      <c r="B13" t="str">
        <f>"37201"</f>
        <v>37201</v>
      </c>
      <c r="C13" t="str">
        <f>"006"</f>
        <v>006</v>
      </c>
      <c r="D13">
        <v>2016</v>
      </c>
      <c r="E13" s="1">
        <v>22124300</v>
      </c>
      <c r="F13" s="1">
        <v>16201200</v>
      </c>
      <c r="G13" s="1" t="s">
        <v>11</v>
      </c>
      <c r="H13" s="1" t="s">
        <v>38</v>
      </c>
      <c r="I13" t="s">
        <v>13</v>
      </c>
      <c r="J13" t="s">
        <v>13</v>
      </c>
    </row>
    <row r="14" spans="1:11" x14ac:dyDescent="0.35">
      <c r="A14" t="s">
        <v>5</v>
      </c>
      <c r="B14" t="str">
        <f>"10201"</f>
        <v>10201</v>
      </c>
      <c r="C14" t="str">
        <f>"007"</f>
        <v>007</v>
      </c>
      <c r="D14">
        <v>2016</v>
      </c>
      <c r="E14" s="1">
        <v>2081900</v>
      </c>
      <c r="F14" s="1">
        <v>462400</v>
      </c>
      <c r="G14" s="1" t="s">
        <v>11</v>
      </c>
      <c r="H14" s="1" t="s">
        <v>38</v>
      </c>
      <c r="I14" t="s">
        <v>13</v>
      </c>
      <c r="J14" t="s">
        <v>13</v>
      </c>
    </row>
    <row r="15" spans="1:11" x14ac:dyDescent="0.35">
      <c r="A15" t="s">
        <v>39</v>
      </c>
      <c r="B15" t="s">
        <v>13</v>
      </c>
      <c r="C15" t="s">
        <v>7</v>
      </c>
      <c r="D15" t="s">
        <v>8</v>
      </c>
      <c r="E15" s="1">
        <v>61396400</v>
      </c>
      <c r="F15" s="1">
        <v>38493800</v>
      </c>
      <c r="G15" s="1" t="s">
        <v>11</v>
      </c>
      <c r="H15" s="1">
        <v>164561800</v>
      </c>
      <c r="I15" t="s">
        <v>13</v>
      </c>
      <c r="J15" t="s">
        <v>13</v>
      </c>
      <c r="K15">
        <v>23.39</v>
      </c>
    </row>
    <row r="16" spans="1:11" x14ac:dyDescent="0.35">
      <c r="E16" s="1"/>
      <c r="F16" s="1"/>
      <c r="G16" s="1"/>
      <c r="H16" s="1"/>
    </row>
    <row r="17" spans="1:11" x14ac:dyDescent="0.35">
      <c r="A17" t="s">
        <v>40</v>
      </c>
      <c r="B17" t="str">
        <f>"01201"</f>
        <v>01201</v>
      </c>
      <c r="C17" t="str">
        <f>"002"</f>
        <v>002</v>
      </c>
      <c r="D17">
        <v>1996</v>
      </c>
      <c r="E17" s="1">
        <v>19521100</v>
      </c>
      <c r="F17" s="1">
        <v>9935900</v>
      </c>
      <c r="G17" s="1" t="s">
        <v>11</v>
      </c>
      <c r="H17" s="1" t="s">
        <v>38</v>
      </c>
      <c r="I17" t="s">
        <v>13</v>
      </c>
      <c r="J17" t="s">
        <v>13</v>
      </c>
    </row>
    <row r="18" spans="1:11" x14ac:dyDescent="0.35">
      <c r="A18" t="s">
        <v>5</v>
      </c>
      <c r="B18" t="str">
        <f>"01201"</f>
        <v>01201</v>
      </c>
      <c r="C18" t="str">
        <f>"003"</f>
        <v>003</v>
      </c>
      <c r="D18">
        <v>1996</v>
      </c>
      <c r="E18" s="1">
        <v>19171300</v>
      </c>
      <c r="F18" s="1">
        <v>14001600</v>
      </c>
      <c r="G18" s="1" t="s">
        <v>11</v>
      </c>
      <c r="H18" s="1" t="s">
        <v>38</v>
      </c>
      <c r="I18" t="s">
        <v>13</v>
      </c>
      <c r="J18" t="s">
        <v>13</v>
      </c>
    </row>
    <row r="19" spans="1:11" x14ac:dyDescent="0.35">
      <c r="A19" t="s">
        <v>39</v>
      </c>
      <c r="B19" t="s">
        <v>13</v>
      </c>
      <c r="C19" t="s">
        <v>7</v>
      </c>
      <c r="D19" t="s">
        <v>8</v>
      </c>
      <c r="E19" s="1">
        <v>38692400</v>
      </c>
      <c r="F19" s="1">
        <v>23937500</v>
      </c>
      <c r="G19" s="1" t="s">
        <v>11</v>
      </c>
      <c r="H19" s="1">
        <v>91458200</v>
      </c>
      <c r="I19" t="s">
        <v>13</v>
      </c>
      <c r="J19" t="s">
        <v>13</v>
      </c>
      <c r="K19">
        <v>26.17</v>
      </c>
    </row>
    <row r="20" spans="1:11" x14ac:dyDescent="0.35">
      <c r="E20" s="1"/>
      <c r="F20" s="1"/>
      <c r="G20" s="1"/>
      <c r="H20" s="1"/>
    </row>
    <row r="21" spans="1:11" x14ac:dyDescent="0.35">
      <c r="A21" t="s">
        <v>41</v>
      </c>
      <c r="B21" t="str">
        <f>"31201"</f>
        <v>31201</v>
      </c>
      <c r="C21" t="str">
        <f>"001"</f>
        <v>001</v>
      </c>
      <c r="D21">
        <v>2005</v>
      </c>
      <c r="E21" s="1">
        <v>8817600</v>
      </c>
      <c r="F21" s="1">
        <v>918400</v>
      </c>
      <c r="G21" s="1" t="s">
        <v>11</v>
      </c>
      <c r="H21" s="1" t="s">
        <v>38</v>
      </c>
      <c r="I21" t="s">
        <v>13</v>
      </c>
      <c r="J21" t="s">
        <v>13</v>
      </c>
    </row>
    <row r="22" spans="1:11" x14ac:dyDescent="0.35">
      <c r="A22" t="s">
        <v>5</v>
      </c>
      <c r="B22" t="str">
        <f>"31201"</f>
        <v>31201</v>
      </c>
      <c r="C22" t="str">
        <f>"002"</f>
        <v>002</v>
      </c>
      <c r="D22">
        <v>2006</v>
      </c>
      <c r="E22" s="1">
        <v>7326300</v>
      </c>
      <c r="F22" s="1">
        <v>5415600</v>
      </c>
      <c r="G22" s="1" t="s">
        <v>11</v>
      </c>
      <c r="H22" s="1" t="s">
        <v>38</v>
      </c>
      <c r="I22" t="s">
        <v>13</v>
      </c>
      <c r="J22" t="s">
        <v>13</v>
      </c>
    </row>
    <row r="23" spans="1:11" x14ac:dyDescent="0.35">
      <c r="A23" t="s">
        <v>5</v>
      </c>
      <c r="B23" t="str">
        <f>"31201"</f>
        <v>31201</v>
      </c>
      <c r="C23" t="str">
        <f>"003"</f>
        <v>003</v>
      </c>
      <c r="D23">
        <v>2019</v>
      </c>
      <c r="E23" s="1">
        <v>2587200</v>
      </c>
      <c r="F23" s="1">
        <v>2069500</v>
      </c>
      <c r="G23" s="1" t="s">
        <v>11</v>
      </c>
      <c r="H23" s="1" t="s">
        <v>38</v>
      </c>
      <c r="I23" t="s">
        <v>13</v>
      </c>
      <c r="J23" t="s">
        <v>13</v>
      </c>
    </row>
    <row r="24" spans="1:11" x14ac:dyDescent="0.35">
      <c r="A24" t="s">
        <v>39</v>
      </c>
      <c r="B24" t="s">
        <v>13</v>
      </c>
      <c r="C24" t="s">
        <v>7</v>
      </c>
      <c r="D24" t="s">
        <v>8</v>
      </c>
      <c r="E24" s="1">
        <v>18731100</v>
      </c>
      <c r="F24" s="1">
        <v>8403500</v>
      </c>
      <c r="G24" s="1" t="s">
        <v>11</v>
      </c>
      <c r="H24" s="1">
        <v>210490000</v>
      </c>
      <c r="I24" t="s">
        <v>13</v>
      </c>
      <c r="J24" t="s">
        <v>13</v>
      </c>
      <c r="K24">
        <v>3.99</v>
      </c>
    </row>
    <row r="25" spans="1:11" x14ac:dyDescent="0.35">
      <c r="E25" s="1"/>
      <c r="F25" s="1"/>
      <c r="G25" s="1"/>
      <c r="H25" s="1"/>
    </row>
    <row r="26" spans="1:11" x14ac:dyDescent="0.35">
      <c r="A26" t="s">
        <v>42</v>
      </c>
      <c r="B26" t="str">
        <f>"05102"</f>
        <v>05102</v>
      </c>
      <c r="C26" t="str">
        <f>"001"</f>
        <v>001</v>
      </c>
      <c r="D26">
        <v>2012</v>
      </c>
      <c r="E26" s="1">
        <v>119951100</v>
      </c>
      <c r="F26" s="1">
        <v>35543700</v>
      </c>
      <c r="G26" s="1" t="s">
        <v>11</v>
      </c>
      <c r="H26" s="1" t="s">
        <v>38</v>
      </c>
      <c r="I26" t="s">
        <v>13</v>
      </c>
      <c r="J26" t="s">
        <v>13</v>
      </c>
    </row>
    <row r="27" spans="1:11" x14ac:dyDescent="0.35">
      <c r="A27" t="s">
        <v>39</v>
      </c>
      <c r="B27" t="s">
        <v>13</v>
      </c>
      <c r="C27" t="s">
        <v>7</v>
      </c>
      <c r="D27" t="s">
        <v>8</v>
      </c>
      <c r="E27" s="1">
        <v>119951100</v>
      </c>
      <c r="F27" s="1">
        <v>35543700</v>
      </c>
      <c r="G27" s="1" t="s">
        <v>11</v>
      </c>
      <c r="H27" s="1">
        <v>1226029900</v>
      </c>
      <c r="I27" t="s">
        <v>13</v>
      </c>
      <c r="J27" t="s">
        <v>13</v>
      </c>
      <c r="K27">
        <v>2.9</v>
      </c>
    </row>
    <row r="28" spans="1:11" x14ac:dyDescent="0.35">
      <c r="E28" s="1"/>
      <c r="F28" s="1"/>
      <c r="G28" s="1"/>
      <c r="H28" s="1"/>
    </row>
    <row r="29" spans="1:11" x14ac:dyDescent="0.35">
      <c r="A29" t="s">
        <v>43</v>
      </c>
      <c r="B29" t="str">
        <f>"06201"</f>
        <v>06201</v>
      </c>
      <c r="C29" t="str">
        <f>"001"</f>
        <v>001</v>
      </c>
      <c r="D29">
        <v>1994</v>
      </c>
      <c r="E29" s="1">
        <v>4678400</v>
      </c>
      <c r="F29" s="1">
        <v>3909300</v>
      </c>
      <c r="G29" s="1" t="s">
        <v>11</v>
      </c>
      <c r="H29" s="1" t="s">
        <v>38</v>
      </c>
      <c r="I29" t="s">
        <v>13</v>
      </c>
      <c r="J29" t="s">
        <v>13</v>
      </c>
    </row>
    <row r="30" spans="1:11" x14ac:dyDescent="0.35">
      <c r="A30" t="s">
        <v>39</v>
      </c>
      <c r="B30" t="s">
        <v>13</v>
      </c>
      <c r="C30" t="s">
        <v>7</v>
      </c>
      <c r="D30" t="s">
        <v>8</v>
      </c>
      <c r="E30" s="1">
        <v>4678400</v>
      </c>
      <c r="F30" s="1">
        <v>3909300</v>
      </c>
      <c r="G30" s="1" t="s">
        <v>11</v>
      </c>
      <c r="H30" s="1">
        <v>63492600</v>
      </c>
      <c r="I30" t="s">
        <v>13</v>
      </c>
      <c r="J30" t="s">
        <v>13</v>
      </c>
      <c r="K30">
        <v>6.16</v>
      </c>
    </row>
    <row r="31" spans="1:11" x14ac:dyDescent="0.35">
      <c r="E31" s="1"/>
      <c r="F31" s="1"/>
      <c r="G31" s="1"/>
      <c r="H31" s="1"/>
    </row>
    <row r="32" spans="1:11" x14ac:dyDescent="0.35">
      <c r="A32" t="s">
        <v>44</v>
      </c>
      <c r="B32" t="str">
        <f>"18201"</f>
        <v>18201</v>
      </c>
      <c r="C32" t="str">
        <f>"002"</f>
        <v>002</v>
      </c>
      <c r="D32">
        <v>2000</v>
      </c>
      <c r="E32" s="1">
        <v>14267100</v>
      </c>
      <c r="F32" s="1">
        <v>13072200</v>
      </c>
      <c r="G32" s="1" t="s">
        <v>11</v>
      </c>
      <c r="H32" s="1" t="s">
        <v>38</v>
      </c>
      <c r="I32" t="s">
        <v>13</v>
      </c>
      <c r="J32" t="s">
        <v>13</v>
      </c>
    </row>
    <row r="33" spans="1:11" x14ac:dyDescent="0.35">
      <c r="A33" t="s">
        <v>5</v>
      </c>
      <c r="B33" t="str">
        <f>"18201"</f>
        <v>18201</v>
      </c>
      <c r="C33" t="str">
        <f>"003"</f>
        <v>003</v>
      </c>
      <c r="D33">
        <v>2001</v>
      </c>
      <c r="E33" s="1">
        <v>258680900</v>
      </c>
      <c r="F33" s="1">
        <v>253843600</v>
      </c>
      <c r="G33" s="1" t="s">
        <v>11</v>
      </c>
      <c r="H33" s="1" t="s">
        <v>38</v>
      </c>
      <c r="I33" t="s">
        <v>13</v>
      </c>
      <c r="J33" t="s">
        <v>13</v>
      </c>
    </row>
    <row r="34" spans="1:11" x14ac:dyDescent="0.35">
      <c r="A34" t="s">
        <v>5</v>
      </c>
      <c r="B34" t="str">
        <f>"18201"</f>
        <v>18201</v>
      </c>
      <c r="C34" t="str">
        <f>"004"</f>
        <v>004</v>
      </c>
      <c r="D34">
        <v>2008</v>
      </c>
      <c r="E34" s="1">
        <v>28863900</v>
      </c>
      <c r="F34" s="1">
        <v>21172400</v>
      </c>
      <c r="G34" s="1" t="s">
        <v>11</v>
      </c>
      <c r="H34" s="1" t="s">
        <v>38</v>
      </c>
      <c r="I34" t="s">
        <v>13</v>
      </c>
      <c r="J34" t="s">
        <v>13</v>
      </c>
    </row>
    <row r="35" spans="1:11" x14ac:dyDescent="0.35">
      <c r="A35" t="s">
        <v>39</v>
      </c>
      <c r="B35" t="s">
        <v>13</v>
      </c>
      <c r="C35" t="s">
        <v>7</v>
      </c>
      <c r="D35" t="s">
        <v>8</v>
      </c>
      <c r="E35" s="1">
        <v>301811900</v>
      </c>
      <c r="F35" s="1">
        <v>288088200</v>
      </c>
      <c r="G35" s="1" t="s">
        <v>11</v>
      </c>
      <c r="H35" s="1">
        <v>902693200</v>
      </c>
      <c r="I35" t="s">
        <v>13</v>
      </c>
      <c r="J35" t="s">
        <v>13</v>
      </c>
      <c r="K35">
        <v>31.91</v>
      </c>
    </row>
    <row r="36" spans="1:11" x14ac:dyDescent="0.35">
      <c r="E36" s="1"/>
      <c r="F36" s="1"/>
      <c r="G36" s="1"/>
      <c r="H36" s="1"/>
    </row>
    <row r="37" spans="1:11" x14ac:dyDescent="0.35">
      <c r="A37" t="s">
        <v>45</v>
      </c>
      <c r="B37" t="str">
        <f>"48201"</f>
        <v>48201</v>
      </c>
      <c r="C37" t="str">
        <f>"006"</f>
        <v>006</v>
      </c>
      <c r="D37">
        <v>2004</v>
      </c>
      <c r="E37" s="1">
        <v>26435800</v>
      </c>
      <c r="F37" s="1">
        <v>11994900</v>
      </c>
      <c r="G37" s="1" t="s">
        <v>11</v>
      </c>
      <c r="H37" s="1" t="s">
        <v>38</v>
      </c>
      <c r="I37" t="s">
        <v>13</v>
      </c>
      <c r="J37" t="s">
        <v>13</v>
      </c>
    </row>
    <row r="38" spans="1:11" x14ac:dyDescent="0.35">
      <c r="A38" t="s">
        <v>5</v>
      </c>
      <c r="B38" t="str">
        <f>"48201"</f>
        <v>48201</v>
      </c>
      <c r="C38" t="str">
        <f>"007"</f>
        <v>007</v>
      </c>
      <c r="D38">
        <v>2010</v>
      </c>
      <c r="E38" s="1">
        <v>5828200</v>
      </c>
      <c r="F38" s="1">
        <v>2509700</v>
      </c>
      <c r="G38" s="1" t="s">
        <v>11</v>
      </c>
      <c r="H38" s="1" t="s">
        <v>38</v>
      </c>
      <c r="I38" t="s">
        <v>13</v>
      </c>
      <c r="J38" t="s">
        <v>13</v>
      </c>
    </row>
    <row r="39" spans="1:11" x14ac:dyDescent="0.35">
      <c r="A39" t="s">
        <v>5</v>
      </c>
      <c r="B39" t="str">
        <f>"48201"</f>
        <v>48201</v>
      </c>
      <c r="C39" t="str">
        <f>"008"</f>
        <v>008</v>
      </c>
      <c r="D39">
        <v>2016</v>
      </c>
      <c r="E39" s="1">
        <v>13871000</v>
      </c>
      <c r="F39" s="1">
        <v>2684800</v>
      </c>
      <c r="G39" s="1" t="s">
        <v>11</v>
      </c>
      <c r="H39" s="1" t="s">
        <v>38</v>
      </c>
      <c r="I39" t="s">
        <v>13</v>
      </c>
      <c r="J39" t="s">
        <v>13</v>
      </c>
    </row>
    <row r="40" spans="1:11" x14ac:dyDescent="0.35">
      <c r="A40" t="s">
        <v>5</v>
      </c>
      <c r="B40" t="str">
        <f>"48201"</f>
        <v>48201</v>
      </c>
      <c r="C40" t="str">
        <f>"009"</f>
        <v>009</v>
      </c>
      <c r="D40">
        <v>2019</v>
      </c>
      <c r="E40" s="1">
        <v>34598700</v>
      </c>
      <c r="F40" s="1">
        <v>6235800</v>
      </c>
      <c r="G40" s="1" t="s">
        <v>11</v>
      </c>
      <c r="H40" s="1" t="s">
        <v>38</v>
      </c>
      <c r="I40" t="s">
        <v>13</v>
      </c>
      <c r="J40" t="s">
        <v>13</v>
      </c>
    </row>
    <row r="41" spans="1:11" x14ac:dyDescent="0.35">
      <c r="A41" t="s">
        <v>39</v>
      </c>
      <c r="B41" t="s">
        <v>13</v>
      </c>
      <c r="C41" t="s">
        <v>7</v>
      </c>
      <c r="D41" t="s">
        <v>8</v>
      </c>
      <c r="E41" s="1">
        <v>80733700</v>
      </c>
      <c r="F41" s="1">
        <v>23425200</v>
      </c>
      <c r="G41" s="1" t="s">
        <v>11</v>
      </c>
      <c r="H41" s="1">
        <v>259120200</v>
      </c>
      <c r="I41" t="s">
        <v>13</v>
      </c>
      <c r="J41" t="s">
        <v>13</v>
      </c>
      <c r="K41">
        <v>9.0399999999999991</v>
      </c>
    </row>
    <row r="42" spans="1:11" x14ac:dyDescent="0.35">
      <c r="E42" s="1"/>
      <c r="F42" s="1"/>
      <c r="G42" s="1"/>
      <c r="H42" s="1"/>
    </row>
    <row r="43" spans="1:11" x14ac:dyDescent="0.35">
      <c r="A43" t="s">
        <v>46</v>
      </c>
      <c r="B43" t="str">
        <f>"49102"</f>
        <v>49102</v>
      </c>
      <c r="C43" t="str">
        <f>"002"</f>
        <v>002</v>
      </c>
      <c r="D43">
        <v>2003</v>
      </c>
      <c r="E43" s="1">
        <v>1740000</v>
      </c>
      <c r="F43" s="1">
        <v>1722800</v>
      </c>
      <c r="G43" s="1" t="s">
        <v>11</v>
      </c>
      <c r="H43" s="1" t="s">
        <v>38</v>
      </c>
      <c r="I43" t="s">
        <v>13</v>
      </c>
      <c r="J43" t="s">
        <v>13</v>
      </c>
    </row>
    <row r="44" spans="1:11" x14ac:dyDescent="0.35">
      <c r="A44" t="s">
        <v>39</v>
      </c>
      <c r="B44" t="s">
        <v>13</v>
      </c>
      <c r="C44" t="s">
        <v>7</v>
      </c>
      <c r="D44" t="s">
        <v>8</v>
      </c>
      <c r="E44" s="1">
        <v>1740000</v>
      </c>
      <c r="F44" s="1">
        <v>1722800</v>
      </c>
      <c r="G44" s="1" t="s">
        <v>11</v>
      </c>
      <c r="H44" s="1">
        <v>86421300</v>
      </c>
      <c r="I44" t="s">
        <v>13</v>
      </c>
      <c r="J44" t="s">
        <v>13</v>
      </c>
      <c r="K44">
        <v>1.99</v>
      </c>
    </row>
    <row r="45" spans="1:11" x14ac:dyDescent="0.35">
      <c r="E45" s="1"/>
      <c r="F45" s="1"/>
      <c r="G45" s="1"/>
      <c r="H45" s="1"/>
    </row>
    <row r="46" spans="1:11" x14ac:dyDescent="0.35">
      <c r="A46" t="s">
        <v>47</v>
      </c>
      <c r="B46" t="str">
        <f>"34201"</f>
        <v>34201</v>
      </c>
      <c r="C46" t="str">
        <f>"003"</f>
        <v>003</v>
      </c>
      <c r="D46">
        <v>1999</v>
      </c>
      <c r="E46" s="1">
        <v>8690800</v>
      </c>
      <c r="F46" s="1">
        <v>3524800</v>
      </c>
      <c r="G46" s="1" t="s">
        <v>11</v>
      </c>
      <c r="H46" s="1" t="s">
        <v>38</v>
      </c>
      <c r="I46" t="s">
        <v>13</v>
      </c>
      <c r="J46" t="s">
        <v>13</v>
      </c>
    </row>
    <row r="47" spans="1:11" x14ac:dyDescent="0.35">
      <c r="A47" t="s">
        <v>5</v>
      </c>
      <c r="B47" t="str">
        <f>"34201"</f>
        <v>34201</v>
      </c>
      <c r="C47" t="str">
        <f>"004"</f>
        <v>004</v>
      </c>
      <c r="D47">
        <v>1999</v>
      </c>
      <c r="E47" s="1">
        <v>26753200</v>
      </c>
      <c r="F47" s="1">
        <v>8429200</v>
      </c>
      <c r="G47" s="1" t="s">
        <v>11</v>
      </c>
      <c r="H47" s="1" t="s">
        <v>38</v>
      </c>
      <c r="I47" t="s">
        <v>13</v>
      </c>
      <c r="J47" t="s">
        <v>13</v>
      </c>
    </row>
    <row r="48" spans="1:11" x14ac:dyDescent="0.35">
      <c r="A48" t="s">
        <v>5</v>
      </c>
      <c r="B48" t="str">
        <f>"34201"</f>
        <v>34201</v>
      </c>
      <c r="C48" t="str">
        <f>"005"</f>
        <v>005</v>
      </c>
      <c r="D48">
        <v>2001</v>
      </c>
      <c r="E48" s="1">
        <v>12327700</v>
      </c>
      <c r="F48" s="1">
        <v>3023500</v>
      </c>
      <c r="G48" s="1" t="s">
        <v>11</v>
      </c>
      <c r="H48" s="1" t="s">
        <v>38</v>
      </c>
      <c r="I48" t="s">
        <v>13</v>
      </c>
      <c r="J48" t="s">
        <v>13</v>
      </c>
    </row>
    <row r="49" spans="1:11" x14ac:dyDescent="0.35">
      <c r="A49" t="s">
        <v>5</v>
      </c>
      <c r="B49" t="str">
        <f>"34201"</f>
        <v>34201</v>
      </c>
      <c r="C49" t="str">
        <f>"006"</f>
        <v>006</v>
      </c>
      <c r="D49">
        <v>2008</v>
      </c>
      <c r="E49" s="1">
        <v>8067100</v>
      </c>
      <c r="F49" s="1">
        <v>7437300</v>
      </c>
      <c r="G49" s="1" t="s">
        <v>11</v>
      </c>
      <c r="H49" s="1" t="s">
        <v>38</v>
      </c>
      <c r="I49" t="s">
        <v>13</v>
      </c>
      <c r="J49" t="s">
        <v>13</v>
      </c>
    </row>
    <row r="50" spans="1:11" x14ac:dyDescent="0.35">
      <c r="A50" t="s">
        <v>5</v>
      </c>
      <c r="B50" t="str">
        <f>"34201"</f>
        <v>34201</v>
      </c>
      <c r="C50" t="str">
        <f>"007"</f>
        <v>007</v>
      </c>
      <c r="D50">
        <v>2010</v>
      </c>
      <c r="E50" s="1">
        <v>13951700</v>
      </c>
      <c r="F50" s="1">
        <v>-393100</v>
      </c>
      <c r="G50" s="1" t="s">
        <v>48</v>
      </c>
      <c r="H50" s="1" t="s">
        <v>38</v>
      </c>
      <c r="I50" t="s">
        <v>13</v>
      </c>
      <c r="J50" t="s">
        <v>13</v>
      </c>
    </row>
    <row r="51" spans="1:11" x14ac:dyDescent="0.35">
      <c r="A51" t="s">
        <v>39</v>
      </c>
      <c r="B51" t="s">
        <v>13</v>
      </c>
      <c r="C51" t="s">
        <v>7</v>
      </c>
      <c r="D51" t="s">
        <v>8</v>
      </c>
      <c r="E51" s="1">
        <v>69790500</v>
      </c>
      <c r="F51" s="1">
        <v>22414800</v>
      </c>
      <c r="G51" s="1" t="s">
        <v>11</v>
      </c>
      <c r="H51" s="1">
        <v>392105100</v>
      </c>
      <c r="I51" t="s">
        <v>13</v>
      </c>
      <c r="J51" t="s">
        <v>13</v>
      </c>
      <c r="K51">
        <v>5.72</v>
      </c>
    </row>
    <row r="52" spans="1:11" x14ac:dyDescent="0.35">
      <c r="E52" s="1"/>
      <c r="F52" s="1"/>
      <c r="G52" s="1"/>
      <c r="H52" s="1"/>
    </row>
    <row r="53" spans="1:11" x14ac:dyDescent="0.35">
      <c r="A53" t="s">
        <v>49</v>
      </c>
      <c r="B53" t="str">
        <f>"44201"</f>
        <v>44201</v>
      </c>
      <c r="C53" t="str">
        <f>"003"</f>
        <v>003</v>
      </c>
      <c r="D53">
        <v>1993</v>
      </c>
      <c r="E53" s="1">
        <v>68263300</v>
      </c>
      <c r="F53" s="1">
        <v>56135200</v>
      </c>
      <c r="G53" s="1" t="s">
        <v>11</v>
      </c>
      <c r="H53" s="1" t="s">
        <v>38</v>
      </c>
      <c r="I53" t="s">
        <v>13</v>
      </c>
      <c r="J53" t="s">
        <v>13</v>
      </c>
    </row>
    <row r="54" spans="1:11" x14ac:dyDescent="0.35">
      <c r="A54" t="s">
        <v>5</v>
      </c>
      <c r="B54" t="str">
        <f>"08201"</f>
        <v>08201</v>
      </c>
      <c r="C54" t="str">
        <f>"006"</f>
        <v>006</v>
      </c>
      <c r="D54">
        <v>2000</v>
      </c>
      <c r="E54" s="1">
        <v>137738300</v>
      </c>
      <c r="F54" s="1">
        <v>125596700</v>
      </c>
      <c r="G54" s="1" t="s">
        <v>11</v>
      </c>
      <c r="H54" s="1" t="s">
        <v>38</v>
      </c>
      <c r="I54" t="s">
        <v>13</v>
      </c>
      <c r="J54" t="s">
        <v>13</v>
      </c>
    </row>
    <row r="55" spans="1:11" x14ac:dyDescent="0.35">
      <c r="A55" t="s">
        <v>5</v>
      </c>
      <c r="B55" t="str">
        <f>"70201"</f>
        <v>70201</v>
      </c>
      <c r="C55" t="str">
        <f>"007"</f>
        <v>007</v>
      </c>
      <c r="D55">
        <v>2007</v>
      </c>
      <c r="E55" s="1">
        <v>40712900</v>
      </c>
      <c r="F55" s="1">
        <v>15055900</v>
      </c>
      <c r="G55" s="1" t="s">
        <v>11</v>
      </c>
      <c r="H55" s="1" t="s">
        <v>38</v>
      </c>
      <c r="I55" t="s">
        <v>13</v>
      </c>
      <c r="J55" t="s">
        <v>13</v>
      </c>
    </row>
    <row r="56" spans="1:11" x14ac:dyDescent="0.35">
      <c r="A56" t="s">
        <v>5</v>
      </c>
      <c r="B56" t="str">
        <f>"44201"</f>
        <v>44201</v>
      </c>
      <c r="C56" t="str">
        <f>"008"</f>
        <v>008</v>
      </c>
      <c r="D56">
        <v>2009</v>
      </c>
      <c r="E56" s="1">
        <v>91737600</v>
      </c>
      <c r="F56" s="1">
        <v>85602500</v>
      </c>
      <c r="G56" s="1" t="s">
        <v>11</v>
      </c>
      <c r="H56" s="1" t="s">
        <v>38</v>
      </c>
      <c r="I56" t="s">
        <v>13</v>
      </c>
      <c r="J56" t="s">
        <v>13</v>
      </c>
    </row>
    <row r="57" spans="1:11" x14ac:dyDescent="0.35">
      <c r="A57" t="s">
        <v>5</v>
      </c>
      <c r="B57" t="str">
        <f>"44201"</f>
        <v>44201</v>
      </c>
      <c r="C57" t="str">
        <f>"009"</f>
        <v>009</v>
      </c>
      <c r="D57">
        <v>2013</v>
      </c>
      <c r="E57" s="1">
        <v>22202700</v>
      </c>
      <c r="F57" s="1">
        <v>689800</v>
      </c>
      <c r="G57" s="1" t="s">
        <v>11</v>
      </c>
      <c r="H57" s="1" t="s">
        <v>38</v>
      </c>
      <c r="I57" t="s">
        <v>13</v>
      </c>
      <c r="J57" t="s">
        <v>13</v>
      </c>
    </row>
    <row r="58" spans="1:11" x14ac:dyDescent="0.35">
      <c r="A58" t="s">
        <v>5</v>
      </c>
      <c r="B58" t="str">
        <f>"44201"</f>
        <v>44201</v>
      </c>
      <c r="C58" t="str">
        <f>"010"</f>
        <v>010</v>
      </c>
      <c r="D58">
        <v>2013</v>
      </c>
      <c r="E58" s="1">
        <v>21946300</v>
      </c>
      <c r="F58" s="1">
        <v>-2597600</v>
      </c>
      <c r="G58" s="1" t="s">
        <v>48</v>
      </c>
      <c r="H58" s="1" t="s">
        <v>38</v>
      </c>
      <c r="I58" t="s">
        <v>13</v>
      </c>
      <c r="J58" t="s">
        <v>13</v>
      </c>
    </row>
    <row r="59" spans="1:11" x14ac:dyDescent="0.35">
      <c r="A59" t="s">
        <v>5</v>
      </c>
      <c r="B59" t="str">
        <f>"44201"</f>
        <v>44201</v>
      </c>
      <c r="C59" t="str">
        <f>"011"</f>
        <v>011</v>
      </c>
      <c r="D59">
        <v>2017</v>
      </c>
      <c r="E59" s="1">
        <v>122753700</v>
      </c>
      <c r="F59" s="1">
        <v>30685900</v>
      </c>
      <c r="G59" s="1" t="s">
        <v>11</v>
      </c>
      <c r="H59" s="1" t="s">
        <v>38</v>
      </c>
      <c r="I59" t="s">
        <v>13</v>
      </c>
      <c r="J59" t="s">
        <v>13</v>
      </c>
    </row>
    <row r="60" spans="1:11" x14ac:dyDescent="0.35">
      <c r="A60" t="s">
        <v>5</v>
      </c>
      <c r="B60" t="str">
        <f>"44201"</f>
        <v>44201</v>
      </c>
      <c r="C60" t="str">
        <f>"012"</f>
        <v>012</v>
      </c>
      <c r="D60">
        <v>2017</v>
      </c>
      <c r="E60" s="1">
        <v>29733400</v>
      </c>
      <c r="F60" s="1">
        <v>6758500</v>
      </c>
      <c r="G60" s="1" t="s">
        <v>11</v>
      </c>
      <c r="H60" s="1" t="s">
        <v>38</v>
      </c>
      <c r="I60" t="s">
        <v>13</v>
      </c>
      <c r="J60" t="s">
        <v>13</v>
      </c>
    </row>
    <row r="61" spans="1:11" x14ac:dyDescent="0.35">
      <c r="A61" t="s">
        <v>39</v>
      </c>
      <c r="B61" t="s">
        <v>13</v>
      </c>
      <c r="C61" t="s">
        <v>7</v>
      </c>
      <c r="D61" t="s">
        <v>8</v>
      </c>
      <c r="E61" s="1">
        <v>535088200</v>
      </c>
      <c r="F61" s="1">
        <v>320524500</v>
      </c>
      <c r="G61" s="1" t="s">
        <v>11</v>
      </c>
      <c r="H61" s="1">
        <v>6688360800</v>
      </c>
      <c r="I61" t="s">
        <v>13</v>
      </c>
      <c r="J61" t="s">
        <v>13</v>
      </c>
      <c r="K61">
        <v>4.79</v>
      </c>
    </row>
    <row r="62" spans="1:11" x14ac:dyDescent="0.35">
      <c r="E62" s="1"/>
      <c r="F62" s="1"/>
      <c r="G62" s="1"/>
      <c r="H62" s="1"/>
    </row>
    <row r="63" spans="1:11" x14ac:dyDescent="0.35">
      <c r="A63" t="s">
        <v>50</v>
      </c>
      <c r="B63" t="str">
        <f>"61201"</f>
        <v>61201</v>
      </c>
      <c r="C63" t="str">
        <f>"003"</f>
        <v>003</v>
      </c>
      <c r="D63">
        <v>1994</v>
      </c>
      <c r="E63" s="1">
        <v>21292800</v>
      </c>
      <c r="F63" s="1">
        <v>21112700</v>
      </c>
      <c r="G63" s="1" t="s">
        <v>11</v>
      </c>
      <c r="H63" s="1" t="s">
        <v>38</v>
      </c>
      <c r="I63" t="s">
        <v>13</v>
      </c>
      <c r="J63" t="s">
        <v>13</v>
      </c>
    </row>
    <row r="64" spans="1:11" x14ac:dyDescent="0.35">
      <c r="A64" t="s">
        <v>5</v>
      </c>
      <c r="B64" t="str">
        <f>"61201"</f>
        <v>61201</v>
      </c>
      <c r="C64" t="str">
        <f>"004"</f>
        <v>004</v>
      </c>
      <c r="D64">
        <v>1994</v>
      </c>
      <c r="E64" s="1">
        <v>25509400</v>
      </c>
      <c r="F64" s="1">
        <v>24922300</v>
      </c>
      <c r="G64" s="1" t="s">
        <v>11</v>
      </c>
      <c r="H64" s="1" t="s">
        <v>38</v>
      </c>
      <c r="I64" t="s">
        <v>13</v>
      </c>
      <c r="J64" t="s">
        <v>13</v>
      </c>
    </row>
    <row r="65" spans="1:11" x14ac:dyDescent="0.35">
      <c r="A65" t="s">
        <v>39</v>
      </c>
      <c r="B65" t="s">
        <v>13</v>
      </c>
      <c r="C65" t="s">
        <v>7</v>
      </c>
      <c r="D65" t="s">
        <v>8</v>
      </c>
      <c r="E65" s="1">
        <v>46802200</v>
      </c>
      <c r="F65" s="1">
        <v>46035000</v>
      </c>
      <c r="G65" s="1" t="s">
        <v>11</v>
      </c>
      <c r="H65" s="1">
        <v>209855900</v>
      </c>
      <c r="I65" t="s">
        <v>13</v>
      </c>
      <c r="J65" t="s">
        <v>13</v>
      </c>
      <c r="K65">
        <v>21.94</v>
      </c>
    </row>
    <row r="66" spans="1:11" x14ac:dyDescent="0.35">
      <c r="E66" s="1"/>
      <c r="F66" s="1"/>
      <c r="G66" s="1"/>
      <c r="H66" s="1"/>
    </row>
    <row r="67" spans="1:11" x14ac:dyDescent="0.35">
      <c r="A67" t="s">
        <v>51</v>
      </c>
      <c r="B67" t="str">
        <f>"25101"</f>
        <v>25101</v>
      </c>
      <c r="C67" t="str">
        <f>"001"</f>
        <v>001</v>
      </c>
      <c r="D67">
        <v>2006</v>
      </c>
      <c r="E67" s="1">
        <v>13892400</v>
      </c>
      <c r="F67" s="1">
        <v>8672100</v>
      </c>
      <c r="G67" s="1" t="s">
        <v>11</v>
      </c>
      <c r="H67" s="1" t="s">
        <v>38</v>
      </c>
      <c r="I67" t="s">
        <v>13</v>
      </c>
      <c r="J67" t="s">
        <v>13</v>
      </c>
    </row>
    <row r="68" spans="1:11" x14ac:dyDescent="0.35">
      <c r="A68" t="s">
        <v>39</v>
      </c>
      <c r="B68" t="s">
        <v>13</v>
      </c>
      <c r="C68" t="s">
        <v>7</v>
      </c>
      <c r="D68" t="s">
        <v>8</v>
      </c>
      <c r="E68" s="1">
        <v>13892400</v>
      </c>
      <c r="F68" s="1">
        <v>8672100</v>
      </c>
      <c r="G68" s="1" t="s">
        <v>11</v>
      </c>
      <c r="H68" s="1">
        <v>56063900</v>
      </c>
      <c r="I68" t="s">
        <v>13</v>
      </c>
      <c r="J68" t="s">
        <v>13</v>
      </c>
      <c r="K68">
        <v>15.47</v>
      </c>
    </row>
    <row r="69" spans="1:11" x14ac:dyDescent="0.35">
      <c r="E69" s="1"/>
      <c r="F69" s="1"/>
      <c r="G69" s="1"/>
      <c r="H69" s="1"/>
    </row>
    <row r="70" spans="1:11" x14ac:dyDescent="0.35">
      <c r="A70" t="s">
        <v>52</v>
      </c>
      <c r="B70" t="str">
        <f>"33101"</f>
        <v>33101</v>
      </c>
      <c r="C70" t="str">
        <f>"003"</f>
        <v>003</v>
      </c>
      <c r="D70">
        <v>2012</v>
      </c>
      <c r="E70" s="1">
        <v>1926500</v>
      </c>
      <c r="F70" s="1">
        <v>175000</v>
      </c>
      <c r="G70" s="1" t="s">
        <v>11</v>
      </c>
      <c r="H70" s="1" t="s">
        <v>38</v>
      </c>
      <c r="I70" t="s">
        <v>13</v>
      </c>
      <c r="J70" t="s">
        <v>13</v>
      </c>
    </row>
    <row r="71" spans="1:11" x14ac:dyDescent="0.35">
      <c r="A71" t="s">
        <v>39</v>
      </c>
      <c r="B71" t="s">
        <v>13</v>
      </c>
      <c r="C71" t="s">
        <v>7</v>
      </c>
      <c r="D71" t="s">
        <v>8</v>
      </c>
      <c r="E71" s="1">
        <v>1926500</v>
      </c>
      <c r="F71" s="1">
        <v>175000</v>
      </c>
      <c r="G71" s="1" t="s">
        <v>11</v>
      </c>
      <c r="H71" s="1">
        <v>41111700</v>
      </c>
      <c r="I71" t="s">
        <v>13</v>
      </c>
      <c r="J71" t="s">
        <v>13</v>
      </c>
      <c r="K71">
        <v>0.43</v>
      </c>
    </row>
    <row r="72" spans="1:11" x14ac:dyDescent="0.35">
      <c r="E72" s="1"/>
      <c r="F72" s="1"/>
      <c r="G72" s="1"/>
      <c r="H72" s="1"/>
    </row>
    <row r="73" spans="1:11" x14ac:dyDescent="0.35">
      <c r="A73" t="s">
        <v>53</v>
      </c>
      <c r="B73" t="str">
        <f>"11101"</f>
        <v>11101</v>
      </c>
      <c r="C73" t="str">
        <f>"001"</f>
        <v>001</v>
      </c>
      <c r="D73">
        <v>1999</v>
      </c>
      <c r="E73" s="1">
        <v>14027600</v>
      </c>
      <c r="F73" s="1">
        <v>11524700</v>
      </c>
      <c r="G73" s="1" t="s">
        <v>11</v>
      </c>
      <c r="H73" s="1" t="s">
        <v>38</v>
      </c>
      <c r="I73" t="s">
        <v>13</v>
      </c>
      <c r="J73" t="s">
        <v>13</v>
      </c>
    </row>
    <row r="74" spans="1:11" x14ac:dyDescent="0.35">
      <c r="A74" t="s">
        <v>39</v>
      </c>
      <c r="B74" t="s">
        <v>13</v>
      </c>
      <c r="C74" t="s">
        <v>7</v>
      </c>
      <c r="D74" t="s">
        <v>8</v>
      </c>
      <c r="E74" s="1">
        <v>14027600</v>
      </c>
      <c r="F74" s="1">
        <v>11524700</v>
      </c>
      <c r="G74" s="1" t="s">
        <v>11</v>
      </c>
      <c r="H74" s="1">
        <v>95163200</v>
      </c>
      <c r="I74" t="s">
        <v>13</v>
      </c>
      <c r="J74" t="s">
        <v>13</v>
      </c>
      <c r="K74">
        <v>12.11</v>
      </c>
    </row>
    <row r="75" spans="1:11" x14ac:dyDescent="0.35">
      <c r="E75" s="1"/>
      <c r="F75" s="1"/>
      <c r="G75" s="1"/>
      <c r="H75" s="1"/>
    </row>
    <row r="76" spans="1:11" x14ac:dyDescent="0.35">
      <c r="A76" t="s">
        <v>54</v>
      </c>
      <c r="B76" t="str">
        <f>"02201"</f>
        <v>02201</v>
      </c>
      <c r="C76" t="str">
        <f>"006"</f>
        <v>006</v>
      </c>
      <c r="D76">
        <v>1994</v>
      </c>
      <c r="E76" s="1">
        <v>17323600</v>
      </c>
      <c r="F76" s="1">
        <v>11664000</v>
      </c>
      <c r="G76" s="1" t="s">
        <v>11</v>
      </c>
      <c r="H76" s="1" t="s">
        <v>38</v>
      </c>
      <c r="I76" t="s">
        <v>13</v>
      </c>
      <c r="J76" t="s">
        <v>13</v>
      </c>
    </row>
    <row r="77" spans="1:11" x14ac:dyDescent="0.35">
      <c r="A77" t="s">
        <v>5</v>
      </c>
      <c r="B77" t="str">
        <f>"02201"</f>
        <v>02201</v>
      </c>
      <c r="C77" t="str">
        <f>"009"</f>
        <v>009</v>
      </c>
      <c r="D77">
        <v>2006</v>
      </c>
      <c r="E77" s="1">
        <v>10555900</v>
      </c>
      <c r="F77" s="1">
        <v>8196300</v>
      </c>
      <c r="G77" s="1" t="s">
        <v>11</v>
      </c>
      <c r="H77" s="1" t="s">
        <v>38</v>
      </c>
      <c r="I77" t="s">
        <v>13</v>
      </c>
      <c r="J77" t="s">
        <v>13</v>
      </c>
    </row>
    <row r="78" spans="1:11" x14ac:dyDescent="0.35">
      <c r="A78" t="s">
        <v>5</v>
      </c>
      <c r="B78" t="str">
        <f>"02201"</f>
        <v>02201</v>
      </c>
      <c r="C78" t="str">
        <f>"010"</f>
        <v>010</v>
      </c>
      <c r="D78">
        <v>2017</v>
      </c>
      <c r="E78" s="1">
        <v>6803500</v>
      </c>
      <c r="F78" s="1">
        <v>4094300</v>
      </c>
      <c r="G78" s="1" t="s">
        <v>11</v>
      </c>
      <c r="H78" s="1" t="s">
        <v>38</v>
      </c>
      <c r="I78" t="s">
        <v>13</v>
      </c>
      <c r="J78" t="s">
        <v>13</v>
      </c>
    </row>
    <row r="79" spans="1:11" x14ac:dyDescent="0.35">
      <c r="A79" t="s">
        <v>39</v>
      </c>
      <c r="B79" t="s">
        <v>13</v>
      </c>
      <c r="C79" t="s">
        <v>7</v>
      </c>
      <c r="D79" t="s">
        <v>8</v>
      </c>
      <c r="E79" s="1">
        <v>34683000</v>
      </c>
      <c r="F79" s="1">
        <v>23954600</v>
      </c>
      <c r="G79" s="1" t="s">
        <v>11</v>
      </c>
      <c r="H79" s="1">
        <v>443875600</v>
      </c>
      <c r="I79" t="s">
        <v>13</v>
      </c>
      <c r="J79" t="s">
        <v>13</v>
      </c>
      <c r="K79">
        <v>5.4</v>
      </c>
    </row>
    <row r="80" spans="1:11" x14ac:dyDescent="0.35">
      <c r="E80" s="1"/>
      <c r="F80" s="1"/>
      <c r="G80" s="1"/>
      <c r="H80" s="1"/>
    </row>
    <row r="81" spans="1:11" x14ac:dyDescent="0.35">
      <c r="A81" t="s">
        <v>55</v>
      </c>
      <c r="B81" t="str">
        <f>"05104"</f>
        <v>05104</v>
      </c>
      <c r="C81" t="str">
        <f>"003"</f>
        <v>003</v>
      </c>
      <c r="D81">
        <v>2008</v>
      </c>
      <c r="E81" s="1">
        <v>563924100</v>
      </c>
      <c r="F81" s="1">
        <v>214670200</v>
      </c>
      <c r="G81" s="1" t="s">
        <v>11</v>
      </c>
      <c r="H81" s="1" t="s">
        <v>38</v>
      </c>
      <c r="I81" t="s">
        <v>13</v>
      </c>
      <c r="J81" t="s">
        <v>13</v>
      </c>
    </row>
    <row r="82" spans="1:11" x14ac:dyDescent="0.35">
      <c r="A82" t="s">
        <v>5</v>
      </c>
      <c r="B82" t="str">
        <f>"05104"</f>
        <v>05104</v>
      </c>
      <c r="C82" t="str">
        <f>"004"</f>
        <v>004</v>
      </c>
      <c r="D82">
        <v>2008</v>
      </c>
      <c r="E82" s="1">
        <v>85142800</v>
      </c>
      <c r="F82" s="1">
        <v>69155400</v>
      </c>
      <c r="G82" s="1" t="s">
        <v>11</v>
      </c>
      <c r="H82" s="1" t="s">
        <v>38</v>
      </c>
      <c r="I82" t="s">
        <v>13</v>
      </c>
      <c r="J82" t="s">
        <v>13</v>
      </c>
    </row>
    <row r="83" spans="1:11" x14ac:dyDescent="0.35">
      <c r="A83" t="s">
        <v>5</v>
      </c>
      <c r="B83" t="str">
        <f>"05104"</f>
        <v>05104</v>
      </c>
      <c r="C83" t="str">
        <f>"005"</f>
        <v>005</v>
      </c>
      <c r="D83">
        <v>2014</v>
      </c>
      <c r="E83" s="1">
        <v>88303900</v>
      </c>
      <c r="F83" s="1">
        <v>26291300</v>
      </c>
      <c r="G83" s="1" t="s">
        <v>11</v>
      </c>
      <c r="H83" s="1" t="s">
        <v>38</v>
      </c>
      <c r="I83" t="s">
        <v>13</v>
      </c>
      <c r="J83" t="s">
        <v>13</v>
      </c>
    </row>
    <row r="84" spans="1:11" x14ac:dyDescent="0.35">
      <c r="A84" t="s">
        <v>39</v>
      </c>
      <c r="B84" t="s">
        <v>13</v>
      </c>
      <c r="C84" t="s">
        <v>7</v>
      </c>
      <c r="D84" t="s">
        <v>8</v>
      </c>
      <c r="E84" s="1">
        <v>737370800</v>
      </c>
      <c r="F84" s="1">
        <v>310116900</v>
      </c>
      <c r="G84" s="1" t="s">
        <v>11</v>
      </c>
      <c r="H84" s="1">
        <v>2864580100</v>
      </c>
      <c r="I84" t="s">
        <v>13</v>
      </c>
      <c r="J84" t="s">
        <v>13</v>
      </c>
      <c r="K84">
        <v>10.83</v>
      </c>
    </row>
    <row r="85" spans="1:11" x14ac:dyDescent="0.35">
      <c r="E85" s="1"/>
      <c r="F85" s="1"/>
      <c r="G85" s="1"/>
      <c r="H85" s="1"/>
    </row>
    <row r="86" spans="1:11" x14ac:dyDescent="0.35">
      <c r="A86" t="s">
        <v>56</v>
      </c>
      <c r="B86" t="str">
        <f>"37102"</f>
        <v>37102</v>
      </c>
      <c r="C86" t="str">
        <f>"001"</f>
        <v>001</v>
      </c>
      <c r="D86">
        <v>1995</v>
      </c>
      <c r="E86" s="1">
        <v>4879400</v>
      </c>
      <c r="F86" s="1">
        <v>4834900</v>
      </c>
      <c r="G86" s="1" t="s">
        <v>11</v>
      </c>
      <c r="H86" s="1" t="s">
        <v>38</v>
      </c>
      <c r="I86" t="s">
        <v>13</v>
      </c>
      <c r="J86" t="s">
        <v>13</v>
      </c>
    </row>
    <row r="87" spans="1:11" x14ac:dyDescent="0.35">
      <c r="A87" t="s">
        <v>5</v>
      </c>
      <c r="B87" t="str">
        <f>"37102"</f>
        <v>37102</v>
      </c>
      <c r="C87" t="str">
        <f>"002"</f>
        <v>002</v>
      </c>
      <c r="D87">
        <v>2007</v>
      </c>
      <c r="E87" s="1">
        <v>10524800</v>
      </c>
      <c r="F87" s="1">
        <v>8635300</v>
      </c>
      <c r="G87" s="1" t="s">
        <v>11</v>
      </c>
      <c r="H87" s="1" t="s">
        <v>38</v>
      </c>
      <c r="I87" t="s">
        <v>13</v>
      </c>
      <c r="J87" t="s">
        <v>13</v>
      </c>
    </row>
    <row r="88" spans="1:11" x14ac:dyDescent="0.35">
      <c r="A88" t="s">
        <v>39</v>
      </c>
      <c r="B88" t="s">
        <v>13</v>
      </c>
      <c r="C88" t="s">
        <v>7</v>
      </c>
      <c r="D88" t="s">
        <v>8</v>
      </c>
      <c r="E88" s="1">
        <v>15404200</v>
      </c>
      <c r="F88" s="1">
        <v>13470200</v>
      </c>
      <c r="G88" s="1" t="s">
        <v>11</v>
      </c>
      <c r="H88" s="1">
        <v>71237800</v>
      </c>
      <c r="I88" t="s">
        <v>13</v>
      </c>
      <c r="J88" t="s">
        <v>13</v>
      </c>
      <c r="K88">
        <v>18.91</v>
      </c>
    </row>
    <row r="89" spans="1:11" x14ac:dyDescent="0.35">
      <c r="E89" s="1"/>
      <c r="F89" s="1"/>
      <c r="G89" s="1"/>
      <c r="H89" s="1"/>
    </row>
    <row r="90" spans="1:11" x14ac:dyDescent="0.35">
      <c r="A90" t="s">
        <v>57</v>
      </c>
      <c r="B90" t="str">
        <f>"71101"</f>
        <v>71101</v>
      </c>
      <c r="C90" t="str">
        <f>"001"</f>
        <v>001</v>
      </c>
      <c r="D90">
        <v>2006</v>
      </c>
      <c r="E90" s="1">
        <v>4062700</v>
      </c>
      <c r="F90" s="1">
        <v>1989700</v>
      </c>
      <c r="G90" s="1" t="s">
        <v>11</v>
      </c>
      <c r="H90" s="1" t="s">
        <v>38</v>
      </c>
      <c r="I90" t="s">
        <v>13</v>
      </c>
      <c r="J90" t="s">
        <v>13</v>
      </c>
    </row>
    <row r="91" spans="1:11" x14ac:dyDescent="0.35">
      <c r="A91" t="s">
        <v>5</v>
      </c>
      <c r="B91" t="str">
        <f>"71101"</f>
        <v>71101</v>
      </c>
      <c r="C91" t="str">
        <f>"002"</f>
        <v>002</v>
      </c>
      <c r="D91">
        <v>2015</v>
      </c>
      <c r="E91" s="1">
        <v>3502700</v>
      </c>
      <c r="F91" s="1">
        <v>1702300</v>
      </c>
      <c r="G91" s="1" t="s">
        <v>11</v>
      </c>
      <c r="H91" s="1" t="s">
        <v>38</v>
      </c>
      <c r="I91" t="s">
        <v>13</v>
      </c>
      <c r="J91" t="s">
        <v>13</v>
      </c>
    </row>
    <row r="92" spans="1:11" x14ac:dyDescent="0.35">
      <c r="A92" t="s">
        <v>39</v>
      </c>
      <c r="B92" t="s">
        <v>13</v>
      </c>
      <c r="C92" t="s">
        <v>7</v>
      </c>
      <c r="D92" t="s">
        <v>8</v>
      </c>
      <c r="E92" s="1">
        <v>7565400</v>
      </c>
      <c r="F92" s="1">
        <v>3692000</v>
      </c>
      <c r="G92" s="1" t="s">
        <v>11</v>
      </c>
      <c r="H92" s="1">
        <v>45164200</v>
      </c>
      <c r="I92" t="s">
        <v>13</v>
      </c>
      <c r="J92" t="s">
        <v>13</v>
      </c>
      <c r="K92">
        <v>8.17</v>
      </c>
    </row>
    <row r="93" spans="1:11" x14ac:dyDescent="0.35">
      <c r="E93" s="1"/>
      <c r="F93" s="1"/>
      <c r="G93" s="1"/>
      <c r="H93" s="1"/>
    </row>
    <row r="94" spans="1:11" x14ac:dyDescent="0.35">
      <c r="A94" t="s">
        <v>58</v>
      </c>
      <c r="B94" t="str">
        <f>"18202"</f>
        <v>18202</v>
      </c>
      <c r="C94" t="str">
        <f>"004"</f>
        <v>004</v>
      </c>
      <c r="D94">
        <v>2005</v>
      </c>
      <c r="E94" s="1">
        <v>19708400</v>
      </c>
      <c r="F94" s="1">
        <v>15752700</v>
      </c>
      <c r="G94" s="1" t="s">
        <v>11</v>
      </c>
      <c r="H94" s="1" t="s">
        <v>38</v>
      </c>
      <c r="I94" t="s">
        <v>13</v>
      </c>
      <c r="J94" t="s">
        <v>13</v>
      </c>
    </row>
    <row r="95" spans="1:11" x14ac:dyDescent="0.35">
      <c r="A95" t="s">
        <v>39</v>
      </c>
      <c r="B95" t="s">
        <v>13</v>
      </c>
      <c r="C95" t="s">
        <v>7</v>
      </c>
      <c r="D95" t="s">
        <v>8</v>
      </c>
      <c r="E95" s="1">
        <v>19708400</v>
      </c>
      <c r="F95" s="1">
        <v>15752700</v>
      </c>
      <c r="G95" s="1" t="s">
        <v>11</v>
      </c>
      <c r="H95" s="1">
        <v>96543600</v>
      </c>
      <c r="I95" t="s">
        <v>13</v>
      </c>
      <c r="J95" t="s">
        <v>13</v>
      </c>
      <c r="K95">
        <v>16.32</v>
      </c>
    </row>
    <row r="96" spans="1:11" x14ac:dyDescent="0.35">
      <c r="E96" s="1"/>
      <c r="F96" s="1"/>
      <c r="G96" s="1"/>
      <c r="H96" s="1"/>
    </row>
    <row r="97" spans="1:11" x14ac:dyDescent="0.35">
      <c r="A97" t="s">
        <v>59</v>
      </c>
      <c r="B97" t="str">
        <f>"55106"</f>
        <v>55106</v>
      </c>
      <c r="C97" t="str">
        <f>"005"</f>
        <v>005</v>
      </c>
      <c r="D97">
        <v>1995</v>
      </c>
      <c r="E97" s="1">
        <v>3258100</v>
      </c>
      <c r="F97" s="1">
        <v>3235600</v>
      </c>
      <c r="G97" s="1" t="s">
        <v>11</v>
      </c>
      <c r="H97" s="1" t="s">
        <v>38</v>
      </c>
      <c r="I97" t="s">
        <v>13</v>
      </c>
      <c r="J97" t="s">
        <v>13</v>
      </c>
    </row>
    <row r="98" spans="1:11" x14ac:dyDescent="0.35">
      <c r="A98" t="s">
        <v>5</v>
      </c>
      <c r="B98" t="str">
        <f>"55106"</f>
        <v>55106</v>
      </c>
      <c r="C98" t="str">
        <f>"006"</f>
        <v>006</v>
      </c>
      <c r="D98">
        <v>2005</v>
      </c>
      <c r="E98" s="1">
        <v>16038800</v>
      </c>
      <c r="F98" s="1">
        <v>3814300</v>
      </c>
      <c r="G98" s="1" t="s">
        <v>11</v>
      </c>
      <c r="H98" s="1" t="s">
        <v>38</v>
      </c>
      <c r="I98" t="s">
        <v>13</v>
      </c>
      <c r="J98" t="s">
        <v>13</v>
      </c>
    </row>
    <row r="99" spans="1:11" x14ac:dyDescent="0.35">
      <c r="A99" t="s">
        <v>5</v>
      </c>
      <c r="B99" t="str">
        <f>"55106"</f>
        <v>55106</v>
      </c>
      <c r="C99" t="str">
        <f>"007"</f>
        <v>007</v>
      </c>
      <c r="D99">
        <v>2007</v>
      </c>
      <c r="E99" s="1">
        <v>14399400</v>
      </c>
      <c r="F99" s="1">
        <v>9397200</v>
      </c>
      <c r="G99" s="1" t="s">
        <v>11</v>
      </c>
      <c r="H99" s="1" t="s">
        <v>38</v>
      </c>
      <c r="I99" t="s">
        <v>13</v>
      </c>
      <c r="J99" t="s">
        <v>13</v>
      </c>
    </row>
    <row r="100" spans="1:11" x14ac:dyDescent="0.35">
      <c r="A100" t="s">
        <v>39</v>
      </c>
      <c r="B100" t="s">
        <v>13</v>
      </c>
      <c r="C100" t="s">
        <v>7</v>
      </c>
      <c r="D100" t="s">
        <v>8</v>
      </c>
      <c r="E100" s="1">
        <v>33696300</v>
      </c>
      <c r="F100" s="1">
        <v>16447100</v>
      </c>
      <c r="G100" s="1" t="s">
        <v>11</v>
      </c>
      <c r="H100" s="1">
        <v>401878200</v>
      </c>
      <c r="I100" t="s">
        <v>13</v>
      </c>
      <c r="J100" t="s">
        <v>13</v>
      </c>
      <c r="K100">
        <v>4.09</v>
      </c>
    </row>
    <row r="101" spans="1:11" x14ac:dyDescent="0.35">
      <c r="E101" s="1"/>
      <c r="F101" s="1"/>
      <c r="G101" s="1"/>
      <c r="H101" s="1"/>
    </row>
    <row r="102" spans="1:11" x14ac:dyDescent="0.35">
      <c r="A102" t="s">
        <v>60</v>
      </c>
      <c r="B102" t="str">
        <f>"48106"</f>
        <v>48106</v>
      </c>
      <c r="C102" t="str">
        <f>"002"</f>
        <v>002</v>
      </c>
      <c r="D102">
        <v>1995</v>
      </c>
      <c r="E102" s="1">
        <v>3332100</v>
      </c>
      <c r="F102" s="1">
        <v>3320300</v>
      </c>
      <c r="G102" s="1" t="s">
        <v>11</v>
      </c>
      <c r="H102" s="1" t="s">
        <v>38</v>
      </c>
      <c r="I102" t="s">
        <v>13</v>
      </c>
      <c r="J102" t="s">
        <v>13</v>
      </c>
    </row>
    <row r="103" spans="1:11" x14ac:dyDescent="0.35">
      <c r="A103" t="s">
        <v>5</v>
      </c>
      <c r="B103" t="str">
        <f>"48106"</f>
        <v>48106</v>
      </c>
      <c r="C103" t="str">
        <f>"003"</f>
        <v>003</v>
      </c>
      <c r="D103">
        <v>2004</v>
      </c>
      <c r="E103" s="1">
        <v>0</v>
      </c>
      <c r="F103" s="1">
        <v>-22300</v>
      </c>
      <c r="G103" s="1" t="s">
        <v>48</v>
      </c>
      <c r="H103" s="1" t="s">
        <v>38</v>
      </c>
      <c r="I103" t="s">
        <v>13</v>
      </c>
      <c r="J103" t="s">
        <v>13</v>
      </c>
    </row>
    <row r="104" spans="1:11" x14ac:dyDescent="0.35">
      <c r="A104" t="s">
        <v>5</v>
      </c>
      <c r="B104" t="str">
        <f>"48106"</f>
        <v>48106</v>
      </c>
      <c r="C104" t="str">
        <f>"005"</f>
        <v>005</v>
      </c>
      <c r="D104">
        <v>2006</v>
      </c>
      <c r="E104" s="1">
        <v>9396400</v>
      </c>
      <c r="F104" s="1">
        <v>1661300</v>
      </c>
      <c r="G104" s="1" t="s">
        <v>11</v>
      </c>
      <c r="H104" s="1" t="s">
        <v>38</v>
      </c>
      <c r="I104" t="s">
        <v>13</v>
      </c>
      <c r="J104" t="s">
        <v>13</v>
      </c>
    </row>
    <row r="105" spans="1:11" x14ac:dyDescent="0.35">
      <c r="A105" t="s">
        <v>5</v>
      </c>
      <c r="B105" t="str">
        <f>"48106"</f>
        <v>48106</v>
      </c>
      <c r="C105" t="str">
        <f>"006"</f>
        <v>006</v>
      </c>
      <c r="D105">
        <v>2013</v>
      </c>
      <c r="E105" s="1">
        <v>10256600</v>
      </c>
      <c r="F105" s="1">
        <v>2463000</v>
      </c>
      <c r="G105" s="1" t="s">
        <v>11</v>
      </c>
      <c r="H105" s="1" t="s">
        <v>38</v>
      </c>
      <c r="I105" t="s">
        <v>13</v>
      </c>
      <c r="J105" t="s">
        <v>13</v>
      </c>
    </row>
    <row r="106" spans="1:11" x14ac:dyDescent="0.35">
      <c r="A106" t="s">
        <v>39</v>
      </c>
      <c r="B106" t="s">
        <v>13</v>
      </c>
      <c r="C106" t="s">
        <v>7</v>
      </c>
      <c r="D106" t="s">
        <v>8</v>
      </c>
      <c r="E106" s="1">
        <v>22985100</v>
      </c>
      <c r="F106" s="1">
        <v>7444600</v>
      </c>
      <c r="G106" s="1" t="s">
        <v>11</v>
      </c>
      <c r="H106" s="1">
        <v>163401700</v>
      </c>
      <c r="I106" t="s">
        <v>13</v>
      </c>
      <c r="J106" t="s">
        <v>13</v>
      </c>
      <c r="K106">
        <v>4.5599999999999996</v>
      </c>
    </row>
    <row r="107" spans="1:11" x14ac:dyDescent="0.35">
      <c r="E107" s="1"/>
      <c r="F107" s="1"/>
      <c r="G107" s="1"/>
      <c r="H107" s="1"/>
    </row>
    <row r="108" spans="1:11" x14ac:dyDescent="0.35">
      <c r="A108" t="s">
        <v>61</v>
      </c>
      <c r="B108" t="str">
        <f>"32106"</f>
        <v>32106</v>
      </c>
      <c r="C108" t="str">
        <f>"001"</f>
        <v>001</v>
      </c>
      <c r="D108">
        <v>2008</v>
      </c>
      <c r="E108" s="1">
        <v>397000</v>
      </c>
      <c r="F108" s="1">
        <v>-87800</v>
      </c>
      <c r="G108" s="1" t="s">
        <v>48</v>
      </c>
      <c r="H108" s="1" t="s">
        <v>38</v>
      </c>
      <c r="I108" t="s">
        <v>13</v>
      </c>
      <c r="J108" t="s">
        <v>13</v>
      </c>
    </row>
    <row r="109" spans="1:11" x14ac:dyDescent="0.35">
      <c r="A109" t="s">
        <v>5</v>
      </c>
      <c r="B109" t="str">
        <f>"32106"</f>
        <v>32106</v>
      </c>
      <c r="C109" t="str">
        <f>"002"</f>
        <v>002</v>
      </c>
      <c r="D109">
        <v>2015</v>
      </c>
      <c r="E109" s="1">
        <v>2664400</v>
      </c>
      <c r="F109" s="1">
        <v>2043900</v>
      </c>
      <c r="G109" s="1" t="s">
        <v>11</v>
      </c>
      <c r="H109" s="1" t="s">
        <v>38</v>
      </c>
      <c r="I109" t="s">
        <v>13</v>
      </c>
      <c r="J109" t="s">
        <v>13</v>
      </c>
    </row>
    <row r="110" spans="1:11" x14ac:dyDescent="0.35">
      <c r="A110" t="s">
        <v>39</v>
      </c>
      <c r="B110" t="s">
        <v>13</v>
      </c>
      <c r="C110" t="s">
        <v>7</v>
      </c>
      <c r="D110" t="s">
        <v>8</v>
      </c>
      <c r="E110" s="1">
        <v>3061400</v>
      </c>
      <c r="F110" s="1">
        <v>2043900</v>
      </c>
      <c r="G110" s="1" t="s">
        <v>11</v>
      </c>
      <c r="H110" s="1">
        <v>106298500</v>
      </c>
      <c r="I110" t="s">
        <v>13</v>
      </c>
      <c r="J110" t="s">
        <v>13</v>
      </c>
      <c r="K110">
        <v>1.92</v>
      </c>
    </row>
    <row r="111" spans="1:11" x14ac:dyDescent="0.35">
      <c r="E111" s="1"/>
      <c r="F111" s="1"/>
      <c r="G111" s="1"/>
      <c r="H111" s="1"/>
    </row>
    <row r="112" spans="1:11" x14ac:dyDescent="0.35">
      <c r="A112" t="s">
        <v>62</v>
      </c>
      <c r="B112" t="str">
        <f t="shared" ref="B112:B117" si="0">"56206"</f>
        <v>56206</v>
      </c>
      <c r="C112" t="str">
        <f>"006"</f>
        <v>006</v>
      </c>
      <c r="D112">
        <v>1999</v>
      </c>
      <c r="E112" s="1">
        <v>42481600</v>
      </c>
      <c r="F112" s="1">
        <v>34323600</v>
      </c>
      <c r="G112" s="1" t="s">
        <v>11</v>
      </c>
      <c r="H112" s="1" t="s">
        <v>38</v>
      </c>
      <c r="I112" t="s">
        <v>13</v>
      </c>
      <c r="J112" t="s">
        <v>13</v>
      </c>
    </row>
    <row r="113" spans="1:11" x14ac:dyDescent="0.35">
      <c r="A113" t="s">
        <v>5</v>
      </c>
      <c r="B113" t="str">
        <f t="shared" si="0"/>
        <v>56206</v>
      </c>
      <c r="C113" t="str">
        <f>"007"</f>
        <v>007</v>
      </c>
      <c r="D113">
        <v>2006</v>
      </c>
      <c r="E113" s="1">
        <v>10674000</v>
      </c>
      <c r="F113" s="1">
        <v>10425700</v>
      </c>
      <c r="G113" s="1" t="s">
        <v>11</v>
      </c>
      <c r="H113" s="1" t="s">
        <v>38</v>
      </c>
      <c r="I113" t="s">
        <v>13</v>
      </c>
      <c r="J113" t="s">
        <v>13</v>
      </c>
    </row>
    <row r="114" spans="1:11" x14ac:dyDescent="0.35">
      <c r="A114" t="s">
        <v>5</v>
      </c>
      <c r="B114" t="str">
        <f t="shared" si="0"/>
        <v>56206</v>
      </c>
      <c r="C114" t="str">
        <f>"008"</f>
        <v>008</v>
      </c>
      <c r="D114">
        <v>2006</v>
      </c>
      <c r="E114" s="1">
        <v>22357400</v>
      </c>
      <c r="F114" s="1">
        <v>4840800</v>
      </c>
      <c r="G114" s="1" t="s">
        <v>11</v>
      </c>
      <c r="H114" s="1" t="s">
        <v>38</v>
      </c>
      <c r="I114" t="s">
        <v>13</v>
      </c>
      <c r="J114" t="s">
        <v>13</v>
      </c>
    </row>
    <row r="115" spans="1:11" x14ac:dyDescent="0.35">
      <c r="A115" t="s">
        <v>5</v>
      </c>
      <c r="B115" t="str">
        <f t="shared" si="0"/>
        <v>56206</v>
      </c>
      <c r="C115" t="str">
        <f>"009"</f>
        <v>009</v>
      </c>
      <c r="D115">
        <v>2008</v>
      </c>
      <c r="E115" s="1">
        <v>0</v>
      </c>
      <c r="F115" s="1">
        <v>-344100</v>
      </c>
      <c r="G115" s="1" t="s">
        <v>48</v>
      </c>
      <c r="H115" s="1" t="s">
        <v>38</v>
      </c>
      <c r="I115" t="s">
        <v>13</v>
      </c>
      <c r="J115" t="s">
        <v>13</v>
      </c>
    </row>
    <row r="116" spans="1:11" x14ac:dyDescent="0.35">
      <c r="A116" t="s">
        <v>5</v>
      </c>
      <c r="B116" t="str">
        <f t="shared" si="0"/>
        <v>56206</v>
      </c>
      <c r="C116" t="str">
        <f>"010"</f>
        <v>010</v>
      </c>
      <c r="D116">
        <v>2020</v>
      </c>
      <c r="E116" s="1">
        <v>3640300</v>
      </c>
      <c r="F116" s="1">
        <v>41500</v>
      </c>
      <c r="G116" s="1" t="s">
        <v>11</v>
      </c>
      <c r="H116" s="1" t="s">
        <v>38</v>
      </c>
      <c r="I116" t="s">
        <v>13</v>
      </c>
      <c r="J116" t="s">
        <v>13</v>
      </c>
    </row>
    <row r="117" spans="1:11" x14ac:dyDescent="0.35">
      <c r="A117" t="s">
        <v>5</v>
      </c>
      <c r="B117" t="str">
        <f t="shared" si="0"/>
        <v>56206</v>
      </c>
      <c r="C117" t="str">
        <f>"011"</f>
        <v>011</v>
      </c>
      <c r="D117">
        <v>2020</v>
      </c>
      <c r="E117" s="1">
        <v>11357200</v>
      </c>
      <c r="F117" s="1">
        <v>683700</v>
      </c>
      <c r="G117" s="1" t="s">
        <v>11</v>
      </c>
      <c r="H117" s="1" t="s">
        <v>38</v>
      </c>
      <c r="I117" t="s">
        <v>13</v>
      </c>
      <c r="J117" t="s">
        <v>13</v>
      </c>
    </row>
    <row r="118" spans="1:11" x14ac:dyDescent="0.35">
      <c r="A118" t="s">
        <v>39</v>
      </c>
      <c r="B118" t="s">
        <v>13</v>
      </c>
      <c r="C118" t="s">
        <v>7</v>
      </c>
      <c r="D118" t="s">
        <v>8</v>
      </c>
      <c r="E118" s="1">
        <v>90510500</v>
      </c>
      <c r="F118" s="1">
        <v>50315300</v>
      </c>
      <c r="G118" s="1" t="s">
        <v>11</v>
      </c>
      <c r="H118" s="1">
        <v>989632800</v>
      </c>
      <c r="I118" t="s">
        <v>13</v>
      </c>
      <c r="J118" t="s">
        <v>13</v>
      </c>
      <c r="K118">
        <v>5.08</v>
      </c>
    </row>
    <row r="119" spans="1:11" x14ac:dyDescent="0.35">
      <c r="E119" s="1"/>
      <c r="F119" s="1"/>
      <c r="G119" s="1"/>
      <c r="H119" s="1"/>
    </row>
    <row r="120" spans="1:11" x14ac:dyDescent="0.35">
      <c r="A120" t="s">
        <v>63</v>
      </c>
      <c r="B120" t="str">
        <f>"25106"</f>
        <v>25106</v>
      </c>
      <c r="C120" t="str">
        <f>"001"</f>
        <v>001</v>
      </c>
      <c r="D120">
        <v>2002</v>
      </c>
      <c r="E120" s="1">
        <v>10862600</v>
      </c>
      <c r="F120" s="1">
        <v>9130300</v>
      </c>
      <c r="G120" s="1" t="s">
        <v>11</v>
      </c>
      <c r="H120" s="1" t="s">
        <v>38</v>
      </c>
      <c r="I120" t="s">
        <v>13</v>
      </c>
      <c r="J120" t="s">
        <v>13</v>
      </c>
    </row>
    <row r="121" spans="1:11" x14ac:dyDescent="0.35">
      <c r="A121" t="s">
        <v>5</v>
      </c>
      <c r="B121" t="str">
        <f>"25106"</f>
        <v>25106</v>
      </c>
      <c r="C121" t="str">
        <f>"002"</f>
        <v>002</v>
      </c>
      <c r="D121">
        <v>2015</v>
      </c>
      <c r="E121" s="1">
        <v>39134300</v>
      </c>
      <c r="F121" s="1">
        <v>38902300</v>
      </c>
      <c r="G121" s="1" t="s">
        <v>11</v>
      </c>
      <c r="H121" s="1" t="s">
        <v>38</v>
      </c>
      <c r="I121" t="s">
        <v>13</v>
      </c>
      <c r="J121" t="s">
        <v>13</v>
      </c>
    </row>
    <row r="122" spans="1:11" x14ac:dyDescent="0.35">
      <c r="A122" t="s">
        <v>39</v>
      </c>
      <c r="B122" t="s">
        <v>13</v>
      </c>
      <c r="C122" t="s">
        <v>7</v>
      </c>
      <c r="D122" t="s">
        <v>8</v>
      </c>
      <c r="E122" s="1">
        <v>49996900</v>
      </c>
      <c r="F122" s="1">
        <v>48032600</v>
      </c>
      <c r="G122" s="1" t="s">
        <v>11</v>
      </c>
      <c r="H122" s="1">
        <v>172085100</v>
      </c>
      <c r="I122" t="s">
        <v>13</v>
      </c>
      <c r="J122" t="s">
        <v>13</v>
      </c>
      <c r="K122">
        <v>27.91</v>
      </c>
    </row>
    <row r="123" spans="1:11" x14ac:dyDescent="0.35">
      <c r="E123" s="1"/>
      <c r="F123" s="1"/>
      <c r="G123" s="1"/>
      <c r="H123" s="1"/>
    </row>
    <row r="124" spans="1:11" x14ac:dyDescent="0.35">
      <c r="A124" t="s">
        <v>64</v>
      </c>
      <c r="B124" t="str">
        <f>"03206"</f>
        <v>03206</v>
      </c>
      <c r="C124" t="str">
        <f>"002"</f>
        <v>002</v>
      </c>
      <c r="D124">
        <v>2000</v>
      </c>
      <c r="E124" s="1">
        <v>3846000</v>
      </c>
      <c r="F124" s="1">
        <v>1854600</v>
      </c>
      <c r="G124" s="1" t="s">
        <v>11</v>
      </c>
      <c r="H124" s="1" t="s">
        <v>38</v>
      </c>
      <c r="I124" t="s">
        <v>13</v>
      </c>
      <c r="J124" t="s">
        <v>13</v>
      </c>
    </row>
    <row r="125" spans="1:11" x14ac:dyDescent="0.35">
      <c r="A125" t="s">
        <v>5</v>
      </c>
      <c r="B125" t="str">
        <f>"03206"</f>
        <v>03206</v>
      </c>
      <c r="C125" t="str">
        <f>"003"</f>
        <v>003</v>
      </c>
      <c r="D125">
        <v>2005</v>
      </c>
      <c r="E125" s="1">
        <v>13208400</v>
      </c>
      <c r="F125" s="1">
        <v>3383000</v>
      </c>
      <c r="G125" s="1" t="s">
        <v>11</v>
      </c>
      <c r="H125" s="1" t="s">
        <v>38</v>
      </c>
      <c r="I125" t="s">
        <v>13</v>
      </c>
      <c r="J125" t="s">
        <v>13</v>
      </c>
    </row>
    <row r="126" spans="1:11" x14ac:dyDescent="0.35">
      <c r="A126" t="s">
        <v>5</v>
      </c>
      <c r="B126" t="str">
        <f>"03206"</f>
        <v>03206</v>
      </c>
      <c r="C126" t="str">
        <f>"004"</f>
        <v>004</v>
      </c>
      <c r="D126">
        <v>2007</v>
      </c>
      <c r="E126" s="1">
        <v>16995600</v>
      </c>
      <c r="F126" s="1">
        <v>4468400</v>
      </c>
      <c r="G126" s="1" t="s">
        <v>11</v>
      </c>
      <c r="H126" s="1" t="s">
        <v>38</v>
      </c>
      <c r="I126" t="s">
        <v>13</v>
      </c>
      <c r="J126" t="s">
        <v>13</v>
      </c>
    </row>
    <row r="127" spans="1:11" x14ac:dyDescent="0.35">
      <c r="A127" t="s">
        <v>5</v>
      </c>
      <c r="B127" t="str">
        <f>"03206"</f>
        <v>03206</v>
      </c>
      <c r="C127" t="str">
        <f>"005"</f>
        <v>005</v>
      </c>
      <c r="D127">
        <v>2010</v>
      </c>
      <c r="E127" s="1">
        <v>7952900</v>
      </c>
      <c r="F127" s="1">
        <v>2256700</v>
      </c>
      <c r="G127" s="1" t="s">
        <v>11</v>
      </c>
      <c r="H127" s="1" t="s">
        <v>38</v>
      </c>
      <c r="I127" t="s">
        <v>13</v>
      </c>
      <c r="J127" t="s">
        <v>13</v>
      </c>
    </row>
    <row r="128" spans="1:11" x14ac:dyDescent="0.35">
      <c r="A128" t="s">
        <v>5</v>
      </c>
      <c r="B128" t="str">
        <f>"03206"</f>
        <v>03206</v>
      </c>
      <c r="C128" t="str">
        <f>"006"</f>
        <v>006</v>
      </c>
      <c r="D128">
        <v>2015</v>
      </c>
      <c r="E128" s="1">
        <v>8307700</v>
      </c>
      <c r="F128" s="1">
        <v>3504400</v>
      </c>
      <c r="G128" s="1" t="s">
        <v>11</v>
      </c>
      <c r="H128" s="1" t="s">
        <v>38</v>
      </c>
      <c r="I128" t="s">
        <v>13</v>
      </c>
      <c r="J128" t="s">
        <v>13</v>
      </c>
    </row>
    <row r="129" spans="1:11" x14ac:dyDescent="0.35">
      <c r="A129" t="s">
        <v>39</v>
      </c>
      <c r="B129" t="s">
        <v>13</v>
      </c>
      <c r="C129" t="s">
        <v>7</v>
      </c>
      <c r="D129" t="s">
        <v>8</v>
      </c>
      <c r="E129" s="1">
        <v>50310600</v>
      </c>
      <c r="F129" s="1">
        <v>15467100</v>
      </c>
      <c r="G129" s="1" t="s">
        <v>11</v>
      </c>
      <c r="H129" s="1">
        <v>166664200</v>
      </c>
      <c r="I129" t="s">
        <v>13</v>
      </c>
      <c r="J129" t="s">
        <v>13</v>
      </c>
      <c r="K129">
        <v>9.2799999999999994</v>
      </c>
    </row>
    <row r="130" spans="1:11" x14ac:dyDescent="0.35">
      <c r="E130" s="1"/>
      <c r="F130" s="1"/>
      <c r="G130" s="1"/>
      <c r="H130" s="1"/>
    </row>
    <row r="131" spans="1:11" x14ac:dyDescent="0.35">
      <c r="A131" t="s">
        <v>65</v>
      </c>
      <c r="B131" t="str">
        <f>"14206"</f>
        <v>14206</v>
      </c>
      <c r="C131" t="str">
        <f>"006"</f>
        <v>006</v>
      </c>
      <c r="D131">
        <v>2009</v>
      </c>
      <c r="E131" s="1">
        <v>7131200</v>
      </c>
      <c r="F131" s="1">
        <v>6298500</v>
      </c>
      <c r="G131" s="1" t="s">
        <v>11</v>
      </c>
      <c r="H131" s="1" t="s">
        <v>38</v>
      </c>
      <c r="I131" t="s">
        <v>13</v>
      </c>
      <c r="J131" t="s">
        <v>13</v>
      </c>
    </row>
    <row r="132" spans="1:11" x14ac:dyDescent="0.35">
      <c r="A132" t="s">
        <v>5</v>
      </c>
      <c r="B132" t="str">
        <f>"14206"</f>
        <v>14206</v>
      </c>
      <c r="C132" t="str">
        <f>"007"</f>
        <v>007</v>
      </c>
      <c r="D132">
        <v>2016</v>
      </c>
      <c r="E132" s="1">
        <v>27791300</v>
      </c>
      <c r="F132" s="1">
        <v>27791300</v>
      </c>
      <c r="G132" s="1" t="s">
        <v>11</v>
      </c>
      <c r="H132" s="1" t="s">
        <v>38</v>
      </c>
      <c r="I132" t="s">
        <v>13</v>
      </c>
      <c r="J132" t="s">
        <v>13</v>
      </c>
    </row>
    <row r="133" spans="1:11" x14ac:dyDescent="0.35">
      <c r="A133" t="s">
        <v>5</v>
      </c>
      <c r="B133" t="str">
        <f>"14206"</f>
        <v>14206</v>
      </c>
      <c r="C133" t="str">
        <f>"008"</f>
        <v>008</v>
      </c>
      <c r="D133">
        <v>2018</v>
      </c>
      <c r="E133" s="1">
        <v>23682700</v>
      </c>
      <c r="F133" s="1">
        <v>16490700</v>
      </c>
      <c r="G133" s="1" t="s">
        <v>11</v>
      </c>
      <c r="H133" s="1" t="s">
        <v>38</v>
      </c>
      <c r="I133" t="s">
        <v>13</v>
      </c>
      <c r="J133" t="s">
        <v>13</v>
      </c>
    </row>
    <row r="134" spans="1:11" x14ac:dyDescent="0.35">
      <c r="A134" t="s">
        <v>5</v>
      </c>
      <c r="B134" t="str">
        <f>"14206"</f>
        <v>14206</v>
      </c>
      <c r="C134" t="str">
        <f>"009"</f>
        <v>009</v>
      </c>
      <c r="D134">
        <v>2019</v>
      </c>
      <c r="E134" s="1">
        <v>805600</v>
      </c>
      <c r="F134" s="1">
        <v>162900</v>
      </c>
      <c r="G134" s="1" t="s">
        <v>11</v>
      </c>
      <c r="H134" s="1" t="s">
        <v>38</v>
      </c>
      <c r="I134" t="s">
        <v>13</v>
      </c>
      <c r="J134" t="s">
        <v>13</v>
      </c>
    </row>
    <row r="135" spans="1:11" x14ac:dyDescent="0.35">
      <c r="A135" t="s">
        <v>39</v>
      </c>
      <c r="B135" t="s">
        <v>13</v>
      </c>
      <c r="C135" t="s">
        <v>7</v>
      </c>
      <c r="D135" t="s">
        <v>8</v>
      </c>
      <c r="E135" s="1">
        <v>59410800</v>
      </c>
      <c r="F135" s="1">
        <v>50743400</v>
      </c>
      <c r="G135" s="1" t="s">
        <v>11</v>
      </c>
      <c r="H135" s="1">
        <v>1390271700</v>
      </c>
      <c r="I135" t="s">
        <v>13</v>
      </c>
      <c r="J135" t="s">
        <v>13</v>
      </c>
      <c r="K135">
        <v>3.65</v>
      </c>
    </row>
    <row r="136" spans="1:11" x14ac:dyDescent="0.35">
      <c r="E136" s="1"/>
      <c r="F136" s="1"/>
      <c r="G136" s="1"/>
      <c r="H136" s="1"/>
    </row>
    <row r="137" spans="1:11" x14ac:dyDescent="0.35">
      <c r="A137" t="s">
        <v>66</v>
      </c>
      <c r="B137" t="str">
        <f>"45106"</f>
        <v>45106</v>
      </c>
      <c r="C137" t="str">
        <f>"004"</f>
        <v>004</v>
      </c>
      <c r="D137">
        <v>1995</v>
      </c>
      <c r="E137" s="1">
        <v>50404800</v>
      </c>
      <c r="F137" s="1">
        <v>49979900</v>
      </c>
      <c r="G137" s="1" t="s">
        <v>11</v>
      </c>
      <c r="H137" s="1" t="s">
        <v>38</v>
      </c>
      <c r="I137" t="s">
        <v>13</v>
      </c>
      <c r="J137" t="s">
        <v>13</v>
      </c>
    </row>
    <row r="138" spans="1:11" x14ac:dyDescent="0.35">
      <c r="A138" t="s">
        <v>39</v>
      </c>
      <c r="B138" t="s">
        <v>13</v>
      </c>
      <c r="C138" t="s">
        <v>7</v>
      </c>
      <c r="D138" t="s">
        <v>8</v>
      </c>
      <c r="E138" s="1">
        <v>50404800</v>
      </c>
      <c r="F138" s="1">
        <v>49979900</v>
      </c>
      <c r="G138" s="1" t="s">
        <v>11</v>
      </c>
      <c r="H138" s="1">
        <v>233905200</v>
      </c>
      <c r="I138" t="s">
        <v>13</v>
      </c>
      <c r="J138" t="s">
        <v>13</v>
      </c>
      <c r="K138">
        <v>21.37</v>
      </c>
    </row>
    <row r="139" spans="1:11" x14ac:dyDescent="0.35">
      <c r="E139" s="1"/>
      <c r="F139" s="1"/>
      <c r="G139" s="1"/>
      <c r="H139" s="1"/>
    </row>
    <row r="140" spans="1:11" x14ac:dyDescent="0.35">
      <c r="A140" t="s">
        <v>67</v>
      </c>
      <c r="B140" t="str">
        <f>"13106"</f>
        <v>13106</v>
      </c>
      <c r="C140" t="str">
        <f>"003"</f>
        <v>003</v>
      </c>
      <c r="D140">
        <v>2009</v>
      </c>
      <c r="E140" s="1">
        <v>25517500</v>
      </c>
      <c r="F140" s="1">
        <v>25355100</v>
      </c>
      <c r="G140" s="1" t="s">
        <v>11</v>
      </c>
      <c r="H140" s="1" t="s">
        <v>38</v>
      </c>
      <c r="I140" t="s">
        <v>13</v>
      </c>
      <c r="J140" t="s">
        <v>13</v>
      </c>
    </row>
    <row r="141" spans="1:11" x14ac:dyDescent="0.35">
      <c r="A141" t="s">
        <v>5</v>
      </c>
      <c r="B141" t="str">
        <f>"13106"</f>
        <v>13106</v>
      </c>
      <c r="C141" t="str">
        <f>"004"</f>
        <v>004</v>
      </c>
      <c r="D141">
        <v>2009</v>
      </c>
      <c r="E141" s="1">
        <v>1740400</v>
      </c>
      <c r="F141" s="1">
        <v>-591200</v>
      </c>
      <c r="G141" s="1" t="s">
        <v>48</v>
      </c>
      <c r="H141" s="1" t="s">
        <v>38</v>
      </c>
      <c r="I141" t="s">
        <v>13</v>
      </c>
      <c r="J141" t="s">
        <v>13</v>
      </c>
    </row>
    <row r="142" spans="1:11" x14ac:dyDescent="0.35">
      <c r="A142" t="s">
        <v>5</v>
      </c>
      <c r="B142" t="str">
        <f>"23106"</f>
        <v>23106</v>
      </c>
      <c r="C142" t="str">
        <f>"005"</f>
        <v>005</v>
      </c>
      <c r="D142">
        <v>2009</v>
      </c>
      <c r="E142" s="1">
        <v>396300</v>
      </c>
      <c r="F142" s="1">
        <v>27500</v>
      </c>
      <c r="G142" s="1" t="s">
        <v>11</v>
      </c>
      <c r="H142" s="1" t="s">
        <v>38</v>
      </c>
      <c r="I142" t="s">
        <v>13</v>
      </c>
      <c r="J142" t="s">
        <v>13</v>
      </c>
    </row>
    <row r="143" spans="1:11" x14ac:dyDescent="0.35">
      <c r="A143" t="s">
        <v>5</v>
      </c>
      <c r="B143" t="str">
        <f>"13106"</f>
        <v>13106</v>
      </c>
      <c r="C143" t="str">
        <f>"005"</f>
        <v>005</v>
      </c>
      <c r="D143">
        <v>2009</v>
      </c>
      <c r="E143" s="1">
        <v>6402400</v>
      </c>
      <c r="F143" s="1">
        <v>-587800</v>
      </c>
      <c r="G143" s="1" t="s">
        <v>48</v>
      </c>
      <c r="H143" s="1" t="s">
        <v>38</v>
      </c>
      <c r="I143" t="s">
        <v>13</v>
      </c>
      <c r="J143" t="s">
        <v>13</v>
      </c>
    </row>
    <row r="144" spans="1:11" x14ac:dyDescent="0.35">
      <c r="A144" t="s">
        <v>39</v>
      </c>
      <c r="B144" t="s">
        <v>13</v>
      </c>
      <c r="C144" t="s">
        <v>7</v>
      </c>
      <c r="D144" t="s">
        <v>8</v>
      </c>
      <c r="E144" s="1">
        <v>34056600</v>
      </c>
      <c r="F144" s="1">
        <v>25382600</v>
      </c>
      <c r="G144" s="1" t="s">
        <v>11</v>
      </c>
      <c r="H144" s="1">
        <v>291299700</v>
      </c>
      <c r="I144" t="s">
        <v>13</v>
      </c>
      <c r="J144" t="s">
        <v>13</v>
      </c>
      <c r="K144">
        <v>8.7100000000000009</v>
      </c>
    </row>
    <row r="145" spans="1:11" x14ac:dyDescent="0.35">
      <c r="E145" s="1"/>
      <c r="F145" s="1"/>
      <c r="G145" s="1"/>
      <c r="H145" s="1"/>
    </row>
    <row r="146" spans="1:11" x14ac:dyDescent="0.35">
      <c r="A146" t="s">
        <v>68</v>
      </c>
      <c r="B146" t="str">
        <f>"05106"</f>
        <v>05106</v>
      </c>
      <c r="C146" t="str">
        <f>"001"</f>
        <v>001</v>
      </c>
      <c r="D146">
        <v>2013</v>
      </c>
      <c r="E146" s="1">
        <v>34680900</v>
      </c>
      <c r="F146" s="1">
        <v>27482200</v>
      </c>
      <c r="G146" s="1" t="s">
        <v>11</v>
      </c>
      <c r="H146" s="1" t="s">
        <v>38</v>
      </c>
      <c r="I146" t="s">
        <v>13</v>
      </c>
      <c r="J146" t="s">
        <v>13</v>
      </c>
    </row>
    <row r="147" spans="1:11" x14ac:dyDescent="0.35">
      <c r="A147" t="s">
        <v>5</v>
      </c>
      <c r="B147" t="str">
        <f>"05106"</f>
        <v>05106</v>
      </c>
      <c r="C147" t="str">
        <f>"002"</f>
        <v>002</v>
      </c>
      <c r="D147">
        <v>2016</v>
      </c>
      <c r="E147" s="1">
        <v>42688900</v>
      </c>
      <c r="F147" s="1">
        <v>39476700</v>
      </c>
      <c r="G147" s="1" t="s">
        <v>11</v>
      </c>
      <c r="H147" s="1" t="s">
        <v>38</v>
      </c>
      <c r="I147" t="s">
        <v>13</v>
      </c>
      <c r="J147" t="s">
        <v>13</v>
      </c>
    </row>
    <row r="148" spans="1:11" x14ac:dyDescent="0.35">
      <c r="A148" t="s">
        <v>39</v>
      </c>
      <c r="B148" t="s">
        <v>13</v>
      </c>
      <c r="C148" t="s">
        <v>7</v>
      </c>
      <c r="D148" t="s">
        <v>8</v>
      </c>
      <c r="E148" s="1">
        <v>77369800</v>
      </c>
      <c r="F148" s="1">
        <v>66958900</v>
      </c>
      <c r="G148" s="1" t="s">
        <v>11</v>
      </c>
      <c r="H148" s="1">
        <v>1618251000</v>
      </c>
      <c r="I148" t="s">
        <v>13</v>
      </c>
      <c r="J148" t="s">
        <v>13</v>
      </c>
      <c r="K148">
        <v>4.1399999999999997</v>
      </c>
    </row>
    <row r="149" spans="1:11" x14ac:dyDescent="0.35">
      <c r="E149" s="1"/>
      <c r="F149" s="1"/>
      <c r="G149" s="1"/>
      <c r="H149" s="1"/>
    </row>
    <row r="150" spans="1:11" x14ac:dyDescent="0.35">
      <c r="A150" t="s">
        <v>69</v>
      </c>
      <c r="B150" t="str">
        <f>"33106"</f>
        <v>33106</v>
      </c>
      <c r="C150" t="str">
        <f>"001"</f>
        <v>001</v>
      </c>
      <c r="D150">
        <v>2004</v>
      </c>
      <c r="E150" s="1">
        <v>7745000</v>
      </c>
      <c r="F150" s="1">
        <v>7689000</v>
      </c>
      <c r="G150" s="1" t="s">
        <v>11</v>
      </c>
      <c r="H150" s="1" t="s">
        <v>38</v>
      </c>
      <c r="I150" t="s">
        <v>13</v>
      </c>
      <c r="J150" t="s">
        <v>13</v>
      </c>
    </row>
    <row r="151" spans="1:11" x14ac:dyDescent="0.35">
      <c r="A151" t="s">
        <v>39</v>
      </c>
      <c r="B151" t="s">
        <v>13</v>
      </c>
      <c r="C151" t="s">
        <v>7</v>
      </c>
      <c r="D151" t="s">
        <v>8</v>
      </c>
      <c r="E151" s="1">
        <v>7745000</v>
      </c>
      <c r="F151" s="1">
        <v>7689000</v>
      </c>
      <c r="G151" s="1" t="s">
        <v>11</v>
      </c>
      <c r="H151" s="1">
        <v>82774300</v>
      </c>
      <c r="I151" t="s">
        <v>13</v>
      </c>
      <c r="J151" t="s">
        <v>13</v>
      </c>
      <c r="K151">
        <v>9.2899999999999991</v>
      </c>
    </row>
    <row r="152" spans="1:11" x14ac:dyDescent="0.35">
      <c r="E152" s="1"/>
      <c r="F152" s="1"/>
      <c r="G152" s="1"/>
      <c r="H152" s="1"/>
    </row>
    <row r="153" spans="1:11" x14ac:dyDescent="0.35">
      <c r="A153" t="s">
        <v>70</v>
      </c>
      <c r="B153" t="str">
        <f t="shared" ref="B153:B159" si="1">"53206"</f>
        <v>53206</v>
      </c>
      <c r="C153" t="str">
        <f>"008"</f>
        <v>008</v>
      </c>
      <c r="D153">
        <v>1995</v>
      </c>
      <c r="E153" s="1">
        <v>24043600</v>
      </c>
      <c r="F153" s="1">
        <v>22397300</v>
      </c>
      <c r="G153" s="1" t="s">
        <v>11</v>
      </c>
      <c r="H153" s="1" t="s">
        <v>38</v>
      </c>
      <c r="I153" t="s">
        <v>13</v>
      </c>
      <c r="J153" t="s">
        <v>13</v>
      </c>
    </row>
    <row r="154" spans="1:11" x14ac:dyDescent="0.35">
      <c r="A154" t="s">
        <v>5</v>
      </c>
      <c r="B154" t="str">
        <f t="shared" si="1"/>
        <v>53206</v>
      </c>
      <c r="C154" t="str">
        <f>"009"</f>
        <v>009</v>
      </c>
      <c r="D154">
        <v>1998</v>
      </c>
      <c r="E154" s="1">
        <v>9449400</v>
      </c>
      <c r="F154" s="1">
        <v>5783100</v>
      </c>
      <c r="G154" s="1" t="s">
        <v>11</v>
      </c>
      <c r="H154" s="1" t="s">
        <v>38</v>
      </c>
      <c r="I154" t="s">
        <v>13</v>
      </c>
      <c r="J154" t="s">
        <v>13</v>
      </c>
    </row>
    <row r="155" spans="1:11" x14ac:dyDescent="0.35">
      <c r="A155" t="s">
        <v>5</v>
      </c>
      <c r="B155" t="str">
        <f t="shared" si="1"/>
        <v>53206</v>
      </c>
      <c r="C155" t="str">
        <f>"010"</f>
        <v>010</v>
      </c>
      <c r="D155">
        <v>2001</v>
      </c>
      <c r="E155" s="1">
        <v>388136300</v>
      </c>
      <c r="F155" s="1">
        <v>386372900</v>
      </c>
      <c r="G155" s="1" t="s">
        <v>11</v>
      </c>
      <c r="H155" s="1" t="s">
        <v>38</v>
      </c>
      <c r="I155" t="s">
        <v>13</v>
      </c>
      <c r="J155" t="s">
        <v>13</v>
      </c>
    </row>
    <row r="156" spans="1:11" x14ac:dyDescent="0.35">
      <c r="A156" t="s">
        <v>5</v>
      </c>
      <c r="B156" t="str">
        <f t="shared" si="1"/>
        <v>53206</v>
      </c>
      <c r="C156" t="str">
        <f>"011"</f>
        <v>011</v>
      </c>
      <c r="D156">
        <v>2002</v>
      </c>
      <c r="E156" s="1">
        <v>10244400</v>
      </c>
      <c r="F156" s="1">
        <v>8281200</v>
      </c>
      <c r="G156" s="1" t="s">
        <v>11</v>
      </c>
      <c r="H156" s="1" t="s">
        <v>38</v>
      </c>
      <c r="I156" t="s">
        <v>13</v>
      </c>
      <c r="J156" t="s">
        <v>13</v>
      </c>
    </row>
    <row r="157" spans="1:11" x14ac:dyDescent="0.35">
      <c r="A157" t="s">
        <v>5</v>
      </c>
      <c r="B157" t="str">
        <f t="shared" si="1"/>
        <v>53206</v>
      </c>
      <c r="C157" t="str">
        <f>"012"</f>
        <v>012</v>
      </c>
      <c r="D157">
        <v>2003</v>
      </c>
      <c r="E157" s="1">
        <v>2203500</v>
      </c>
      <c r="F157" s="1">
        <v>1408200</v>
      </c>
      <c r="G157" s="1" t="s">
        <v>11</v>
      </c>
      <c r="H157" s="1" t="s">
        <v>38</v>
      </c>
      <c r="I157" t="s">
        <v>13</v>
      </c>
      <c r="J157" t="s">
        <v>13</v>
      </c>
    </row>
    <row r="158" spans="1:11" x14ac:dyDescent="0.35">
      <c r="A158" t="s">
        <v>5</v>
      </c>
      <c r="B158" t="str">
        <f t="shared" si="1"/>
        <v>53206</v>
      </c>
      <c r="C158" t="str">
        <f>"013"</f>
        <v>013</v>
      </c>
      <c r="D158">
        <v>2005</v>
      </c>
      <c r="E158" s="1">
        <v>72976700</v>
      </c>
      <c r="F158" s="1">
        <v>49122200</v>
      </c>
      <c r="G158" s="1" t="s">
        <v>11</v>
      </c>
      <c r="H158" s="1" t="s">
        <v>38</v>
      </c>
      <c r="I158" t="s">
        <v>13</v>
      </c>
      <c r="J158" t="s">
        <v>13</v>
      </c>
    </row>
    <row r="159" spans="1:11" x14ac:dyDescent="0.35">
      <c r="A159" t="s">
        <v>5</v>
      </c>
      <c r="B159" t="str">
        <f t="shared" si="1"/>
        <v>53206</v>
      </c>
      <c r="C159" t="str">
        <f>"014"</f>
        <v>014</v>
      </c>
      <c r="D159">
        <v>2007</v>
      </c>
      <c r="E159" s="1">
        <v>17182000</v>
      </c>
      <c r="F159" s="1">
        <v>6671300</v>
      </c>
      <c r="G159" s="1" t="s">
        <v>11</v>
      </c>
      <c r="H159" s="1" t="s">
        <v>38</v>
      </c>
      <c r="I159" t="s">
        <v>13</v>
      </c>
      <c r="J159" t="s">
        <v>13</v>
      </c>
    </row>
    <row r="160" spans="1:11" x14ac:dyDescent="0.35">
      <c r="A160" t="s">
        <v>39</v>
      </c>
      <c r="B160" t="s">
        <v>13</v>
      </c>
      <c r="C160" t="s">
        <v>7</v>
      </c>
      <c r="D160" t="s">
        <v>8</v>
      </c>
      <c r="E160" s="1">
        <v>524235900</v>
      </c>
      <c r="F160" s="1">
        <v>480036200</v>
      </c>
      <c r="G160" s="1" t="s">
        <v>11</v>
      </c>
      <c r="H160" s="1">
        <v>2377775400</v>
      </c>
      <c r="I160" t="s">
        <v>13</v>
      </c>
      <c r="J160" t="s">
        <v>13</v>
      </c>
      <c r="K160">
        <v>20.190000000000001</v>
      </c>
    </row>
    <row r="161" spans="1:11" x14ac:dyDescent="0.35">
      <c r="E161" s="1"/>
      <c r="F161" s="1"/>
      <c r="G161" s="1"/>
      <c r="H161" s="1"/>
    </row>
    <row r="162" spans="1:11" x14ac:dyDescent="0.35">
      <c r="A162" t="s">
        <v>71</v>
      </c>
      <c r="B162" t="str">
        <f>"24206"</f>
        <v>24206</v>
      </c>
      <c r="C162" t="str">
        <f>"009"</f>
        <v>009</v>
      </c>
      <c r="D162">
        <v>1991</v>
      </c>
      <c r="E162" s="1">
        <v>778800</v>
      </c>
      <c r="F162" s="1">
        <v>649500</v>
      </c>
      <c r="G162" s="1" t="s">
        <v>11</v>
      </c>
      <c r="H162" s="1" t="s">
        <v>38</v>
      </c>
      <c r="I162" t="s">
        <v>13</v>
      </c>
      <c r="J162" t="s">
        <v>13</v>
      </c>
    </row>
    <row r="163" spans="1:11" x14ac:dyDescent="0.35">
      <c r="A163" t="s">
        <v>5</v>
      </c>
      <c r="B163" t="str">
        <f>"69206"</f>
        <v>69206</v>
      </c>
      <c r="C163" t="str">
        <f>"010"</f>
        <v>010</v>
      </c>
      <c r="D163">
        <v>1993</v>
      </c>
      <c r="E163" s="1">
        <v>8284300</v>
      </c>
      <c r="F163" s="1">
        <v>8235000</v>
      </c>
      <c r="G163" s="1" t="s">
        <v>11</v>
      </c>
      <c r="H163" s="1" t="s">
        <v>38</v>
      </c>
      <c r="I163" t="s">
        <v>13</v>
      </c>
      <c r="J163" t="s">
        <v>13</v>
      </c>
    </row>
    <row r="164" spans="1:11" x14ac:dyDescent="0.35">
      <c r="A164" t="s">
        <v>5</v>
      </c>
      <c r="B164" t="str">
        <f>"24206"</f>
        <v>24206</v>
      </c>
      <c r="C164" t="str">
        <f>"015"</f>
        <v>015</v>
      </c>
      <c r="D164">
        <v>2008</v>
      </c>
      <c r="E164" s="1">
        <v>14493500</v>
      </c>
      <c r="F164" s="1">
        <v>2002000</v>
      </c>
      <c r="G164" s="1" t="s">
        <v>11</v>
      </c>
      <c r="H164" s="1" t="s">
        <v>38</v>
      </c>
      <c r="I164" t="s">
        <v>13</v>
      </c>
      <c r="J164" t="s">
        <v>13</v>
      </c>
    </row>
    <row r="165" spans="1:11" x14ac:dyDescent="0.35">
      <c r="A165" t="s">
        <v>39</v>
      </c>
      <c r="B165" t="s">
        <v>13</v>
      </c>
      <c r="C165" t="s">
        <v>7</v>
      </c>
      <c r="D165" t="s">
        <v>8</v>
      </c>
      <c r="E165" s="1">
        <v>23556600</v>
      </c>
      <c r="F165" s="1">
        <v>10886500</v>
      </c>
      <c r="G165" s="1" t="s">
        <v>11</v>
      </c>
      <c r="H165" s="1">
        <v>325409300</v>
      </c>
      <c r="I165" t="s">
        <v>13</v>
      </c>
      <c r="J165" t="s">
        <v>13</v>
      </c>
      <c r="K165">
        <v>3.35</v>
      </c>
    </row>
    <row r="166" spans="1:11" x14ac:dyDescent="0.35">
      <c r="E166" s="1"/>
      <c r="F166" s="1"/>
      <c r="G166" s="1"/>
      <c r="H166" s="1"/>
    </row>
    <row r="167" spans="1:11" x14ac:dyDescent="0.35">
      <c r="A167" t="s">
        <v>72</v>
      </c>
      <c r="B167" t="str">
        <f>"67106"</f>
        <v>67106</v>
      </c>
      <c r="C167" t="str">
        <f>"001"</f>
        <v>001</v>
      </c>
      <c r="D167">
        <v>2013</v>
      </c>
      <c r="E167" s="1">
        <v>15433600</v>
      </c>
      <c r="F167" s="1">
        <v>753000</v>
      </c>
      <c r="G167" s="1" t="s">
        <v>11</v>
      </c>
      <c r="H167" s="1" t="s">
        <v>38</v>
      </c>
      <c r="I167" t="s">
        <v>13</v>
      </c>
      <c r="J167" t="s">
        <v>13</v>
      </c>
    </row>
    <row r="168" spans="1:11" x14ac:dyDescent="0.35">
      <c r="A168" t="s">
        <v>39</v>
      </c>
      <c r="B168" t="s">
        <v>13</v>
      </c>
      <c r="C168" t="s">
        <v>7</v>
      </c>
      <c r="D168" t="s">
        <v>8</v>
      </c>
      <c r="E168" s="1">
        <v>15433600</v>
      </c>
      <c r="F168" s="1">
        <v>753000</v>
      </c>
      <c r="G168" s="1" t="s">
        <v>11</v>
      </c>
      <c r="H168" s="1">
        <v>210770500</v>
      </c>
      <c r="I168" t="s">
        <v>13</v>
      </c>
      <c r="J168" t="s">
        <v>13</v>
      </c>
      <c r="K168">
        <v>0.36</v>
      </c>
    </row>
    <row r="169" spans="1:11" x14ac:dyDescent="0.35">
      <c r="E169" s="1"/>
      <c r="F169" s="1"/>
      <c r="G169" s="1"/>
      <c r="H169" s="1"/>
    </row>
    <row r="170" spans="1:11" x14ac:dyDescent="0.35">
      <c r="A170" t="s">
        <v>73</v>
      </c>
      <c r="B170" t="str">
        <f>"65106"</f>
        <v>65106</v>
      </c>
      <c r="C170" t="str">
        <f>"001"</f>
        <v>001</v>
      </c>
      <c r="D170">
        <v>2004</v>
      </c>
      <c r="E170" s="1">
        <v>4907300</v>
      </c>
      <c r="F170" s="1">
        <v>3002300</v>
      </c>
      <c r="G170" s="1" t="s">
        <v>11</v>
      </c>
      <c r="H170" s="1" t="s">
        <v>38</v>
      </c>
      <c r="I170" t="s">
        <v>13</v>
      </c>
      <c r="J170" t="s">
        <v>13</v>
      </c>
    </row>
    <row r="171" spans="1:11" x14ac:dyDescent="0.35">
      <c r="A171" t="s">
        <v>5</v>
      </c>
      <c r="B171" t="str">
        <f>"65106"</f>
        <v>65106</v>
      </c>
      <c r="C171" t="str">
        <f>"002"</f>
        <v>002</v>
      </c>
      <c r="D171">
        <v>2005</v>
      </c>
      <c r="E171" s="1">
        <v>4063300</v>
      </c>
      <c r="F171" s="1">
        <v>1889000</v>
      </c>
      <c r="G171" s="1" t="s">
        <v>11</v>
      </c>
      <c r="H171" s="1" t="s">
        <v>38</v>
      </c>
      <c r="I171" t="s">
        <v>13</v>
      </c>
      <c r="J171" t="s">
        <v>13</v>
      </c>
    </row>
    <row r="172" spans="1:11" x14ac:dyDescent="0.35">
      <c r="A172" t="s">
        <v>39</v>
      </c>
      <c r="B172" t="s">
        <v>13</v>
      </c>
      <c r="C172" t="s">
        <v>7</v>
      </c>
      <c r="D172" t="s">
        <v>8</v>
      </c>
      <c r="E172" s="1">
        <v>8970600</v>
      </c>
      <c r="F172" s="1">
        <v>4891300</v>
      </c>
      <c r="G172" s="1" t="s">
        <v>11</v>
      </c>
      <c r="H172" s="1">
        <v>38092600</v>
      </c>
      <c r="I172" t="s">
        <v>13</v>
      </c>
      <c r="J172" t="s">
        <v>13</v>
      </c>
      <c r="K172">
        <v>12.84</v>
      </c>
    </row>
    <row r="173" spans="1:11" x14ac:dyDescent="0.35">
      <c r="E173" s="1"/>
      <c r="F173" s="1"/>
      <c r="G173" s="1"/>
      <c r="H173" s="1"/>
    </row>
    <row r="174" spans="1:11" x14ac:dyDescent="0.35">
      <c r="A174" t="s">
        <v>74</v>
      </c>
      <c r="B174" t="str">
        <f>"71106"</f>
        <v>71106</v>
      </c>
      <c r="C174" t="str">
        <f>"001"</f>
        <v>001</v>
      </c>
      <c r="D174">
        <v>2006</v>
      </c>
      <c r="E174" s="1">
        <v>4915600</v>
      </c>
      <c r="F174" s="1">
        <v>1414900</v>
      </c>
      <c r="G174" s="1" t="s">
        <v>11</v>
      </c>
      <c r="H174" s="1" t="s">
        <v>38</v>
      </c>
      <c r="I174" t="s">
        <v>13</v>
      </c>
      <c r="J174" t="s">
        <v>13</v>
      </c>
    </row>
    <row r="175" spans="1:11" x14ac:dyDescent="0.35">
      <c r="A175" t="s">
        <v>5</v>
      </c>
      <c r="B175" t="str">
        <f>"71106"</f>
        <v>71106</v>
      </c>
      <c r="C175" t="str">
        <f>"002"</f>
        <v>002</v>
      </c>
      <c r="D175">
        <v>2006</v>
      </c>
      <c r="E175" s="1">
        <v>38256400</v>
      </c>
      <c r="F175" s="1">
        <v>33145400</v>
      </c>
      <c r="G175" s="1" t="s">
        <v>11</v>
      </c>
      <c r="H175" s="1" t="s">
        <v>38</v>
      </c>
      <c r="I175" t="s">
        <v>13</v>
      </c>
      <c r="J175" t="s">
        <v>13</v>
      </c>
    </row>
    <row r="176" spans="1:11" x14ac:dyDescent="0.35">
      <c r="A176" t="s">
        <v>5</v>
      </c>
      <c r="B176" t="str">
        <f>"71106"</f>
        <v>71106</v>
      </c>
      <c r="C176" t="str">
        <f>"003"</f>
        <v>003</v>
      </c>
      <c r="D176">
        <v>2009</v>
      </c>
      <c r="E176" s="1">
        <v>12479300</v>
      </c>
      <c r="F176" s="1">
        <v>8582100</v>
      </c>
      <c r="G176" s="1" t="s">
        <v>11</v>
      </c>
      <c r="H176" s="1" t="s">
        <v>38</v>
      </c>
      <c r="I176" t="s">
        <v>13</v>
      </c>
      <c r="J176" t="s">
        <v>13</v>
      </c>
    </row>
    <row r="177" spans="1:11" x14ac:dyDescent="0.35">
      <c r="A177" t="s">
        <v>39</v>
      </c>
      <c r="B177" t="s">
        <v>13</v>
      </c>
      <c r="C177" t="s">
        <v>7</v>
      </c>
      <c r="D177" t="s">
        <v>8</v>
      </c>
      <c r="E177" s="1">
        <v>55651300</v>
      </c>
      <c r="F177" s="1">
        <v>43142400</v>
      </c>
      <c r="G177" s="1" t="s">
        <v>11</v>
      </c>
      <c r="H177" s="1">
        <v>129662400</v>
      </c>
      <c r="I177" t="s">
        <v>13</v>
      </c>
      <c r="J177" t="s">
        <v>13</v>
      </c>
      <c r="K177">
        <v>33.270000000000003</v>
      </c>
    </row>
    <row r="178" spans="1:11" x14ac:dyDescent="0.35">
      <c r="E178" s="1"/>
      <c r="F178" s="1"/>
      <c r="G178" s="1"/>
      <c r="H178" s="1"/>
    </row>
    <row r="179" spans="1:11" x14ac:dyDescent="0.35">
      <c r="A179" t="s">
        <v>75</v>
      </c>
      <c r="B179" t="str">
        <f>"13107"</f>
        <v>13107</v>
      </c>
      <c r="C179" t="str">
        <f>"003"</f>
        <v>003</v>
      </c>
      <c r="D179">
        <v>2009</v>
      </c>
      <c r="E179" s="1">
        <v>5789500</v>
      </c>
      <c r="F179" s="1">
        <v>2700200</v>
      </c>
      <c r="G179" s="1" t="s">
        <v>11</v>
      </c>
      <c r="H179" s="1" t="s">
        <v>38</v>
      </c>
      <c r="I179" t="s">
        <v>13</v>
      </c>
      <c r="J179" t="s">
        <v>13</v>
      </c>
    </row>
    <row r="180" spans="1:11" x14ac:dyDescent="0.35">
      <c r="A180" t="s">
        <v>5</v>
      </c>
      <c r="B180" t="str">
        <f>"13107"</f>
        <v>13107</v>
      </c>
      <c r="C180" t="str">
        <f>"005"</f>
        <v>005</v>
      </c>
      <c r="D180">
        <v>2018</v>
      </c>
      <c r="E180" s="1">
        <v>7046500</v>
      </c>
      <c r="F180" s="1">
        <v>1297900</v>
      </c>
      <c r="G180" s="1" t="s">
        <v>11</v>
      </c>
      <c r="H180" s="1" t="s">
        <v>38</v>
      </c>
      <c r="I180" t="s">
        <v>13</v>
      </c>
      <c r="J180" t="s">
        <v>13</v>
      </c>
    </row>
    <row r="181" spans="1:11" x14ac:dyDescent="0.35">
      <c r="A181" t="s">
        <v>39</v>
      </c>
      <c r="B181" t="s">
        <v>13</v>
      </c>
      <c r="C181" t="s">
        <v>7</v>
      </c>
      <c r="D181" t="s">
        <v>8</v>
      </c>
      <c r="E181" s="1">
        <v>12836000</v>
      </c>
      <c r="F181" s="1">
        <v>3998100</v>
      </c>
      <c r="G181" s="1" t="s">
        <v>11</v>
      </c>
      <c r="H181" s="1">
        <v>152007500</v>
      </c>
      <c r="I181" t="s">
        <v>13</v>
      </c>
      <c r="J181" t="s">
        <v>13</v>
      </c>
      <c r="K181">
        <v>2.63</v>
      </c>
    </row>
    <row r="182" spans="1:11" x14ac:dyDescent="0.35">
      <c r="E182" s="1"/>
      <c r="F182" s="1"/>
      <c r="G182" s="1"/>
      <c r="H182" s="1"/>
    </row>
    <row r="183" spans="1:11" x14ac:dyDescent="0.35">
      <c r="A183" t="s">
        <v>76</v>
      </c>
      <c r="B183" t="str">
        <f>"27206"</f>
        <v>27206</v>
      </c>
      <c r="C183" t="str">
        <f>"003"</f>
        <v>003</v>
      </c>
      <c r="D183">
        <v>2002</v>
      </c>
      <c r="E183" s="1">
        <v>14870900</v>
      </c>
      <c r="F183" s="1">
        <v>14374800</v>
      </c>
      <c r="G183" s="1" t="s">
        <v>11</v>
      </c>
      <c r="H183" s="1" t="s">
        <v>38</v>
      </c>
      <c r="I183" t="s">
        <v>13</v>
      </c>
      <c r="J183" t="s">
        <v>13</v>
      </c>
    </row>
    <row r="184" spans="1:11" x14ac:dyDescent="0.35">
      <c r="A184" t="s">
        <v>5</v>
      </c>
      <c r="B184" t="str">
        <f>"27206"</f>
        <v>27206</v>
      </c>
      <c r="C184" t="str">
        <f>"004"</f>
        <v>004</v>
      </c>
      <c r="D184">
        <v>2003</v>
      </c>
      <c r="E184" s="1">
        <v>7705400</v>
      </c>
      <c r="F184" s="1">
        <v>7243200</v>
      </c>
      <c r="G184" s="1" t="s">
        <v>11</v>
      </c>
      <c r="H184" s="1" t="s">
        <v>38</v>
      </c>
      <c r="I184" t="s">
        <v>13</v>
      </c>
      <c r="J184" t="s">
        <v>13</v>
      </c>
    </row>
    <row r="185" spans="1:11" x14ac:dyDescent="0.35">
      <c r="A185" t="s">
        <v>5</v>
      </c>
      <c r="B185" t="str">
        <f>"27206"</f>
        <v>27206</v>
      </c>
      <c r="C185" t="str">
        <f>"005"</f>
        <v>005</v>
      </c>
      <c r="D185">
        <v>2008</v>
      </c>
      <c r="E185" s="1">
        <v>541400</v>
      </c>
      <c r="F185" s="1">
        <v>-180300</v>
      </c>
      <c r="G185" s="1" t="s">
        <v>48</v>
      </c>
      <c r="H185" s="1" t="s">
        <v>38</v>
      </c>
      <c r="I185" t="s">
        <v>13</v>
      </c>
      <c r="J185" t="s">
        <v>13</v>
      </c>
    </row>
    <row r="186" spans="1:11" x14ac:dyDescent="0.35">
      <c r="A186" t="s">
        <v>5</v>
      </c>
      <c r="B186" t="str">
        <f>"27206"</f>
        <v>27206</v>
      </c>
      <c r="C186" t="str">
        <f>"006"</f>
        <v>006</v>
      </c>
      <c r="D186">
        <v>2017</v>
      </c>
      <c r="E186" s="1">
        <v>9296100</v>
      </c>
      <c r="F186" s="1">
        <v>1503900</v>
      </c>
      <c r="G186" s="1" t="s">
        <v>11</v>
      </c>
      <c r="H186" s="1" t="s">
        <v>38</v>
      </c>
      <c r="I186" t="s">
        <v>13</v>
      </c>
      <c r="J186" t="s">
        <v>13</v>
      </c>
    </row>
    <row r="187" spans="1:11" x14ac:dyDescent="0.35">
      <c r="A187" t="s">
        <v>5</v>
      </c>
      <c r="B187" t="str">
        <f>"27206"</f>
        <v>27206</v>
      </c>
      <c r="C187" t="str">
        <f>"007"</f>
        <v>007</v>
      </c>
      <c r="D187">
        <v>2017</v>
      </c>
      <c r="E187" s="1">
        <v>292900</v>
      </c>
      <c r="F187" s="1">
        <v>292900</v>
      </c>
      <c r="G187" s="1" t="s">
        <v>11</v>
      </c>
      <c r="H187" s="1" t="s">
        <v>38</v>
      </c>
      <c r="I187" t="s">
        <v>13</v>
      </c>
      <c r="J187" t="s">
        <v>13</v>
      </c>
    </row>
    <row r="188" spans="1:11" x14ac:dyDescent="0.35">
      <c r="A188" t="s">
        <v>39</v>
      </c>
      <c r="B188" t="s">
        <v>13</v>
      </c>
      <c r="C188" t="s">
        <v>7</v>
      </c>
      <c r="D188" t="s">
        <v>8</v>
      </c>
      <c r="E188" s="1">
        <v>32706700</v>
      </c>
      <c r="F188" s="1">
        <v>23414800</v>
      </c>
      <c r="G188" s="1" t="s">
        <v>11</v>
      </c>
      <c r="H188" s="1">
        <v>274213200</v>
      </c>
      <c r="I188" t="s">
        <v>13</v>
      </c>
      <c r="J188" t="s">
        <v>13</v>
      </c>
      <c r="K188">
        <v>8.5399999999999991</v>
      </c>
    </row>
    <row r="189" spans="1:11" x14ac:dyDescent="0.35">
      <c r="E189" s="1"/>
      <c r="F189" s="1"/>
      <c r="G189" s="1"/>
      <c r="H189" s="1"/>
    </row>
    <row r="190" spans="1:11" x14ac:dyDescent="0.35">
      <c r="A190" t="s">
        <v>77</v>
      </c>
      <c r="B190" t="str">
        <f>"61206"</f>
        <v>61206</v>
      </c>
      <c r="C190" t="str">
        <f>"004"</f>
        <v>004</v>
      </c>
      <c r="D190">
        <v>2007</v>
      </c>
      <c r="E190" s="1">
        <v>4753700</v>
      </c>
      <c r="F190" s="1">
        <v>4735800</v>
      </c>
      <c r="G190" s="1" t="s">
        <v>11</v>
      </c>
      <c r="H190" s="1" t="s">
        <v>38</v>
      </c>
      <c r="I190" t="s">
        <v>13</v>
      </c>
      <c r="J190" t="s">
        <v>13</v>
      </c>
    </row>
    <row r="191" spans="1:11" x14ac:dyDescent="0.35">
      <c r="A191" t="s">
        <v>5</v>
      </c>
      <c r="B191" t="str">
        <f>"61206"</f>
        <v>61206</v>
      </c>
      <c r="C191" t="str">
        <f>"005"</f>
        <v>005</v>
      </c>
      <c r="D191">
        <v>2008</v>
      </c>
      <c r="E191" s="1">
        <v>2932800</v>
      </c>
      <c r="F191" s="1">
        <v>2878700</v>
      </c>
      <c r="G191" s="1" t="s">
        <v>11</v>
      </c>
      <c r="H191" s="1" t="s">
        <v>38</v>
      </c>
      <c r="I191" t="s">
        <v>13</v>
      </c>
      <c r="J191" t="s">
        <v>13</v>
      </c>
    </row>
    <row r="192" spans="1:11" x14ac:dyDescent="0.35">
      <c r="A192" t="s">
        <v>5</v>
      </c>
      <c r="B192" t="str">
        <f>"61206"</f>
        <v>61206</v>
      </c>
      <c r="C192" t="str">
        <f>"006"</f>
        <v>006</v>
      </c>
      <c r="D192">
        <v>2015</v>
      </c>
      <c r="E192" s="1">
        <v>3812400</v>
      </c>
      <c r="F192" s="1">
        <v>511600</v>
      </c>
      <c r="G192" s="1" t="s">
        <v>11</v>
      </c>
      <c r="H192" s="1" t="s">
        <v>38</v>
      </c>
      <c r="I192" t="s">
        <v>13</v>
      </c>
      <c r="J192" t="s">
        <v>13</v>
      </c>
    </row>
    <row r="193" spans="1:11" x14ac:dyDescent="0.35">
      <c r="A193" t="s">
        <v>5</v>
      </c>
      <c r="B193" t="str">
        <f>"61206"</f>
        <v>61206</v>
      </c>
      <c r="C193" t="str">
        <f>"007"</f>
        <v>007</v>
      </c>
      <c r="D193">
        <v>2015</v>
      </c>
      <c r="E193" s="1">
        <v>2895700</v>
      </c>
      <c r="F193" s="1">
        <v>1170700</v>
      </c>
      <c r="G193" s="1" t="s">
        <v>11</v>
      </c>
      <c r="H193" s="1" t="s">
        <v>38</v>
      </c>
      <c r="I193" t="s">
        <v>13</v>
      </c>
      <c r="J193" t="s">
        <v>13</v>
      </c>
    </row>
    <row r="194" spans="1:11" x14ac:dyDescent="0.35">
      <c r="A194" t="s">
        <v>39</v>
      </c>
      <c r="B194" t="s">
        <v>13</v>
      </c>
      <c r="C194" t="s">
        <v>7</v>
      </c>
      <c r="D194" t="s">
        <v>8</v>
      </c>
      <c r="E194" s="1">
        <v>14394600</v>
      </c>
      <c r="F194" s="1">
        <v>9296800</v>
      </c>
      <c r="G194" s="1" t="s">
        <v>11</v>
      </c>
      <c r="H194" s="1">
        <v>116322700</v>
      </c>
      <c r="I194" t="s">
        <v>13</v>
      </c>
      <c r="J194" t="s">
        <v>13</v>
      </c>
      <c r="K194">
        <v>7.99</v>
      </c>
    </row>
    <row r="195" spans="1:11" x14ac:dyDescent="0.35">
      <c r="E195" s="1"/>
      <c r="F195" s="1"/>
      <c r="G195" s="1"/>
      <c r="H195" s="1"/>
    </row>
    <row r="196" spans="1:11" x14ac:dyDescent="0.35">
      <c r="A196" t="s">
        <v>78</v>
      </c>
      <c r="B196" t="str">
        <f>"09206"</f>
        <v>09206</v>
      </c>
      <c r="C196" t="str">
        <f>"004"</f>
        <v>004</v>
      </c>
      <c r="D196">
        <v>2005</v>
      </c>
      <c r="E196" s="1">
        <v>32845500</v>
      </c>
      <c r="F196" s="1">
        <v>29058100</v>
      </c>
      <c r="G196" s="1" t="s">
        <v>11</v>
      </c>
      <c r="H196" s="1" t="s">
        <v>38</v>
      </c>
      <c r="I196" t="s">
        <v>13</v>
      </c>
      <c r="J196" t="s">
        <v>13</v>
      </c>
    </row>
    <row r="197" spans="1:11" x14ac:dyDescent="0.35">
      <c r="A197" t="s">
        <v>39</v>
      </c>
      <c r="B197" t="s">
        <v>13</v>
      </c>
      <c r="C197" t="s">
        <v>7</v>
      </c>
      <c r="D197" t="s">
        <v>8</v>
      </c>
      <c r="E197" s="1">
        <v>32845500</v>
      </c>
      <c r="F197" s="1">
        <v>29058100</v>
      </c>
      <c r="G197" s="1" t="s">
        <v>11</v>
      </c>
      <c r="H197" s="1">
        <v>328651200</v>
      </c>
      <c r="I197" t="s">
        <v>13</v>
      </c>
      <c r="J197" t="s">
        <v>13</v>
      </c>
      <c r="K197">
        <v>8.84</v>
      </c>
    </row>
    <row r="198" spans="1:11" x14ac:dyDescent="0.35">
      <c r="E198" s="1"/>
      <c r="F198" s="1"/>
      <c r="G198" s="1"/>
      <c r="H198" s="1"/>
    </row>
    <row r="199" spans="1:11" x14ac:dyDescent="0.35">
      <c r="A199" t="s">
        <v>79</v>
      </c>
      <c r="B199" t="str">
        <f>"64115"</f>
        <v>64115</v>
      </c>
      <c r="C199" t="str">
        <f>"001"</f>
        <v>001</v>
      </c>
      <c r="D199">
        <v>2020</v>
      </c>
      <c r="E199" s="1">
        <v>295000</v>
      </c>
      <c r="F199" s="1">
        <v>92200</v>
      </c>
      <c r="G199" s="1" t="s">
        <v>11</v>
      </c>
      <c r="H199" s="1" t="s">
        <v>38</v>
      </c>
      <c r="I199" t="s">
        <v>13</v>
      </c>
      <c r="J199" t="s">
        <v>13</v>
      </c>
    </row>
    <row r="200" spans="1:11" x14ac:dyDescent="0.35">
      <c r="A200" t="s">
        <v>39</v>
      </c>
      <c r="B200" t="s">
        <v>13</v>
      </c>
      <c r="C200" t="s">
        <v>7</v>
      </c>
      <c r="D200" t="s">
        <v>8</v>
      </c>
      <c r="E200" s="1">
        <v>295000</v>
      </c>
      <c r="F200" s="1">
        <v>92200</v>
      </c>
      <c r="G200" s="1" t="s">
        <v>11</v>
      </c>
      <c r="H200" s="1">
        <v>464330900</v>
      </c>
      <c r="I200" t="s">
        <v>13</v>
      </c>
      <c r="J200" t="s">
        <v>13</v>
      </c>
      <c r="K200">
        <v>0.02</v>
      </c>
    </row>
    <row r="201" spans="1:11" x14ac:dyDescent="0.35">
      <c r="E201" s="1"/>
      <c r="F201" s="1"/>
      <c r="G201" s="1"/>
      <c r="H201" s="1"/>
    </row>
    <row r="202" spans="1:11" x14ac:dyDescent="0.35">
      <c r="A202" t="s">
        <v>80</v>
      </c>
      <c r="B202" t="str">
        <f>"58107"</f>
        <v>58107</v>
      </c>
      <c r="C202" t="str">
        <f>"001"</f>
        <v>001</v>
      </c>
      <c r="D202">
        <v>1994</v>
      </c>
      <c r="E202" s="1">
        <v>18784500</v>
      </c>
      <c r="F202" s="1">
        <v>16802900</v>
      </c>
      <c r="G202" s="1" t="s">
        <v>11</v>
      </c>
      <c r="H202" s="1" t="s">
        <v>38</v>
      </c>
      <c r="I202" t="s">
        <v>13</v>
      </c>
      <c r="J202" t="s">
        <v>13</v>
      </c>
    </row>
    <row r="203" spans="1:11" x14ac:dyDescent="0.35">
      <c r="A203" t="s">
        <v>39</v>
      </c>
      <c r="B203" t="s">
        <v>13</v>
      </c>
      <c r="C203" t="s">
        <v>7</v>
      </c>
      <c r="D203" t="s">
        <v>8</v>
      </c>
      <c r="E203" s="1">
        <v>18784500</v>
      </c>
      <c r="F203" s="1">
        <v>16802900</v>
      </c>
      <c r="G203" s="1" t="s">
        <v>11</v>
      </c>
      <c r="H203" s="1">
        <v>90705400</v>
      </c>
      <c r="I203" t="s">
        <v>13</v>
      </c>
      <c r="J203" t="s">
        <v>13</v>
      </c>
      <c r="K203">
        <v>18.52</v>
      </c>
    </row>
    <row r="204" spans="1:11" x14ac:dyDescent="0.35">
      <c r="E204" s="1"/>
      <c r="F204" s="1"/>
      <c r="G204" s="1"/>
      <c r="H204" s="1"/>
    </row>
    <row r="205" spans="1:11" x14ac:dyDescent="0.35">
      <c r="A205" t="s">
        <v>81</v>
      </c>
      <c r="B205" t="str">
        <f>"22206"</f>
        <v>22206</v>
      </c>
      <c r="C205" t="str">
        <f>"004"</f>
        <v>004</v>
      </c>
      <c r="D205">
        <v>2005</v>
      </c>
      <c r="E205" s="1">
        <v>9064600</v>
      </c>
      <c r="F205" s="1">
        <v>3974300</v>
      </c>
      <c r="G205" s="1" t="s">
        <v>11</v>
      </c>
      <c r="H205" s="1" t="s">
        <v>38</v>
      </c>
      <c r="I205" t="s">
        <v>13</v>
      </c>
      <c r="J205" t="s">
        <v>13</v>
      </c>
    </row>
    <row r="206" spans="1:11" x14ac:dyDescent="0.35">
      <c r="A206" t="s">
        <v>5</v>
      </c>
      <c r="B206" t="str">
        <f>"22206"</f>
        <v>22206</v>
      </c>
      <c r="C206" t="str">
        <f>"005"</f>
        <v>005</v>
      </c>
      <c r="D206">
        <v>2020</v>
      </c>
      <c r="E206" s="1">
        <v>11804100</v>
      </c>
      <c r="F206" s="1">
        <v>-12800</v>
      </c>
      <c r="G206" s="1" t="s">
        <v>48</v>
      </c>
      <c r="H206" s="1" t="s">
        <v>38</v>
      </c>
      <c r="I206" t="s">
        <v>13</v>
      </c>
      <c r="J206" t="s">
        <v>13</v>
      </c>
    </row>
    <row r="207" spans="1:11" x14ac:dyDescent="0.35">
      <c r="A207" t="s">
        <v>39</v>
      </c>
      <c r="B207" t="s">
        <v>13</v>
      </c>
      <c r="C207" t="s">
        <v>7</v>
      </c>
      <c r="D207" t="s">
        <v>8</v>
      </c>
      <c r="E207" s="1">
        <v>20868700</v>
      </c>
      <c r="F207" s="1">
        <v>3974300</v>
      </c>
      <c r="G207" s="1" t="s">
        <v>11</v>
      </c>
      <c r="H207" s="1">
        <v>145393000</v>
      </c>
      <c r="I207" t="s">
        <v>13</v>
      </c>
      <c r="J207" t="s">
        <v>13</v>
      </c>
      <c r="K207">
        <v>2.73</v>
      </c>
    </row>
    <row r="208" spans="1:11" x14ac:dyDescent="0.35">
      <c r="E208" s="1"/>
      <c r="F208" s="1"/>
      <c r="G208" s="1"/>
      <c r="H208" s="1"/>
    </row>
    <row r="209" spans="1:11" x14ac:dyDescent="0.35">
      <c r="A209" t="s">
        <v>82</v>
      </c>
      <c r="B209" t="str">
        <f>"58108"</f>
        <v>58108</v>
      </c>
      <c r="C209" t="str">
        <f>"002"</f>
        <v>002</v>
      </c>
      <c r="D209">
        <v>1997</v>
      </c>
      <c r="E209" s="1">
        <v>231800</v>
      </c>
      <c r="F209" s="1">
        <v>194400</v>
      </c>
      <c r="G209" s="1" t="s">
        <v>11</v>
      </c>
      <c r="H209" s="1" t="s">
        <v>38</v>
      </c>
      <c r="I209" t="s">
        <v>13</v>
      </c>
      <c r="J209" t="s">
        <v>13</v>
      </c>
    </row>
    <row r="210" spans="1:11" x14ac:dyDescent="0.35">
      <c r="A210" t="s">
        <v>39</v>
      </c>
      <c r="B210" t="s">
        <v>13</v>
      </c>
      <c r="C210" t="s">
        <v>7</v>
      </c>
      <c r="D210" t="s">
        <v>8</v>
      </c>
      <c r="E210" s="1">
        <v>231800</v>
      </c>
      <c r="F210" s="1">
        <v>194400</v>
      </c>
      <c r="G210" s="1" t="s">
        <v>11</v>
      </c>
      <c r="H210" s="1">
        <v>10410600</v>
      </c>
      <c r="I210" t="s">
        <v>13</v>
      </c>
      <c r="J210" t="s">
        <v>13</v>
      </c>
      <c r="K210">
        <v>1.87</v>
      </c>
    </row>
    <row r="211" spans="1:11" x14ac:dyDescent="0.35">
      <c r="E211" s="1"/>
      <c r="F211" s="1"/>
      <c r="G211" s="1"/>
      <c r="H211" s="1"/>
    </row>
    <row r="212" spans="1:11" x14ac:dyDescent="0.35">
      <c r="A212" t="s">
        <v>83</v>
      </c>
      <c r="B212" t="str">
        <f>"17106"</f>
        <v>17106</v>
      </c>
      <c r="C212" t="str">
        <f>"002"</f>
        <v>002</v>
      </c>
      <c r="D212">
        <v>1996</v>
      </c>
      <c r="E212" s="1">
        <v>6761500</v>
      </c>
      <c r="F212" s="1">
        <v>6426600</v>
      </c>
      <c r="G212" s="1" t="s">
        <v>11</v>
      </c>
      <c r="H212" s="1" t="s">
        <v>38</v>
      </c>
      <c r="I212" t="s">
        <v>13</v>
      </c>
      <c r="J212" t="s">
        <v>13</v>
      </c>
    </row>
    <row r="213" spans="1:11" x14ac:dyDescent="0.35">
      <c r="A213" t="s">
        <v>5</v>
      </c>
      <c r="B213" t="str">
        <f>"17106"</f>
        <v>17106</v>
      </c>
      <c r="C213" t="str">
        <f>"003"</f>
        <v>003</v>
      </c>
      <c r="D213">
        <v>2007</v>
      </c>
      <c r="E213" s="1">
        <v>1634100</v>
      </c>
      <c r="F213" s="1">
        <v>113600</v>
      </c>
      <c r="G213" s="1" t="s">
        <v>11</v>
      </c>
      <c r="H213" s="1" t="s">
        <v>38</v>
      </c>
      <c r="I213" t="s">
        <v>13</v>
      </c>
      <c r="J213" t="s">
        <v>13</v>
      </c>
    </row>
    <row r="214" spans="1:11" x14ac:dyDescent="0.35">
      <c r="A214" t="s">
        <v>39</v>
      </c>
      <c r="B214" t="s">
        <v>13</v>
      </c>
      <c r="C214" t="s">
        <v>7</v>
      </c>
      <c r="D214" t="s">
        <v>8</v>
      </c>
      <c r="E214" s="1">
        <v>8395600</v>
      </c>
      <c r="F214" s="1">
        <v>6540200</v>
      </c>
      <c r="G214" s="1" t="s">
        <v>11</v>
      </c>
      <c r="H214" s="1">
        <v>57630600</v>
      </c>
      <c r="I214" t="s">
        <v>13</v>
      </c>
      <c r="J214" t="s">
        <v>13</v>
      </c>
      <c r="K214">
        <v>11.35</v>
      </c>
    </row>
    <row r="215" spans="1:11" x14ac:dyDescent="0.35">
      <c r="E215" s="1"/>
      <c r="F215" s="1"/>
      <c r="G215" s="1"/>
      <c r="H215" s="1"/>
    </row>
    <row r="216" spans="1:11" x14ac:dyDescent="0.35">
      <c r="A216" t="s">
        <v>84</v>
      </c>
      <c r="B216" t="str">
        <f>"08206"</f>
        <v>08206</v>
      </c>
      <c r="C216" t="str">
        <f>"002"</f>
        <v>002</v>
      </c>
      <c r="D216">
        <v>2006</v>
      </c>
      <c r="E216" s="1">
        <v>6374300</v>
      </c>
      <c r="F216" s="1">
        <v>5376800</v>
      </c>
      <c r="G216" s="1" t="s">
        <v>11</v>
      </c>
      <c r="H216" s="1" t="s">
        <v>38</v>
      </c>
      <c r="I216" t="s">
        <v>13</v>
      </c>
      <c r="J216" t="s">
        <v>13</v>
      </c>
    </row>
    <row r="217" spans="1:11" x14ac:dyDescent="0.35">
      <c r="A217" t="s">
        <v>5</v>
      </c>
      <c r="B217" t="str">
        <f>"08206"</f>
        <v>08206</v>
      </c>
      <c r="C217" t="str">
        <f>"003"</f>
        <v>003</v>
      </c>
      <c r="D217">
        <v>2007</v>
      </c>
      <c r="E217" s="1">
        <v>10910700</v>
      </c>
      <c r="F217" s="1">
        <v>10783500</v>
      </c>
      <c r="G217" s="1" t="s">
        <v>11</v>
      </c>
      <c r="H217" s="1" t="s">
        <v>38</v>
      </c>
      <c r="I217" t="s">
        <v>13</v>
      </c>
      <c r="J217" t="s">
        <v>13</v>
      </c>
    </row>
    <row r="218" spans="1:11" x14ac:dyDescent="0.35">
      <c r="A218" t="s">
        <v>5</v>
      </c>
      <c r="B218" t="str">
        <f>"08206"</f>
        <v>08206</v>
      </c>
      <c r="C218" t="str">
        <f>"004"</f>
        <v>004</v>
      </c>
      <c r="D218">
        <v>2007</v>
      </c>
      <c r="E218" s="1">
        <v>19046300</v>
      </c>
      <c r="F218" s="1">
        <v>13633900</v>
      </c>
      <c r="G218" s="1" t="s">
        <v>11</v>
      </c>
      <c r="H218" s="1" t="s">
        <v>38</v>
      </c>
      <c r="I218" t="s">
        <v>13</v>
      </c>
      <c r="J218" t="s">
        <v>13</v>
      </c>
    </row>
    <row r="219" spans="1:11" x14ac:dyDescent="0.35">
      <c r="A219" t="s">
        <v>39</v>
      </c>
      <c r="B219" t="s">
        <v>13</v>
      </c>
      <c r="C219" t="s">
        <v>7</v>
      </c>
      <c r="D219" t="s">
        <v>8</v>
      </c>
      <c r="E219" s="1">
        <v>36331300</v>
      </c>
      <c r="F219" s="1">
        <v>29794200</v>
      </c>
      <c r="G219" s="1" t="s">
        <v>11</v>
      </c>
      <c r="H219" s="1">
        <v>255129500</v>
      </c>
      <c r="I219" t="s">
        <v>13</v>
      </c>
      <c r="J219" t="s">
        <v>13</v>
      </c>
      <c r="K219">
        <v>11.68</v>
      </c>
    </row>
    <row r="220" spans="1:11" x14ac:dyDescent="0.35">
      <c r="E220" s="1"/>
      <c r="F220" s="1"/>
      <c r="G220" s="1"/>
      <c r="H220" s="1"/>
    </row>
    <row r="221" spans="1:11" x14ac:dyDescent="0.35">
      <c r="A221" t="s">
        <v>85</v>
      </c>
      <c r="B221" t="str">
        <f>"30104"</f>
        <v>30104</v>
      </c>
      <c r="C221" t="str">
        <f>"001"</f>
        <v>001</v>
      </c>
      <c r="D221">
        <v>2019</v>
      </c>
      <c r="E221" s="1">
        <v>762300</v>
      </c>
      <c r="F221" s="1">
        <v>-528100</v>
      </c>
      <c r="G221" s="1" t="s">
        <v>48</v>
      </c>
      <c r="H221" s="1" t="s">
        <v>38</v>
      </c>
      <c r="I221" t="s">
        <v>13</v>
      </c>
      <c r="J221" t="s">
        <v>13</v>
      </c>
    </row>
    <row r="222" spans="1:11" x14ac:dyDescent="0.35">
      <c r="A222" t="s">
        <v>5</v>
      </c>
      <c r="B222" t="str">
        <f>"30104"</f>
        <v>30104</v>
      </c>
      <c r="C222" t="str">
        <f>"002"</f>
        <v>002</v>
      </c>
      <c r="D222">
        <v>2019</v>
      </c>
      <c r="E222" s="1">
        <v>40284200</v>
      </c>
      <c r="F222" s="1">
        <v>40284200</v>
      </c>
      <c r="G222" s="1" t="s">
        <v>11</v>
      </c>
      <c r="H222" s="1" t="s">
        <v>38</v>
      </c>
      <c r="I222" t="s">
        <v>13</v>
      </c>
      <c r="J222" t="s">
        <v>13</v>
      </c>
    </row>
    <row r="223" spans="1:11" x14ac:dyDescent="0.35">
      <c r="A223" t="s">
        <v>39</v>
      </c>
      <c r="B223" t="s">
        <v>13</v>
      </c>
      <c r="C223" t="s">
        <v>7</v>
      </c>
      <c r="D223" t="s">
        <v>8</v>
      </c>
      <c r="E223" s="1">
        <v>41046500</v>
      </c>
      <c r="F223" s="1">
        <v>40284200</v>
      </c>
      <c r="G223" s="1" t="s">
        <v>11</v>
      </c>
      <c r="H223" s="1">
        <v>778870300</v>
      </c>
      <c r="I223" t="s">
        <v>13</v>
      </c>
      <c r="J223" t="s">
        <v>13</v>
      </c>
      <c r="K223">
        <v>5.17</v>
      </c>
    </row>
    <row r="224" spans="1:11" x14ac:dyDescent="0.35">
      <c r="E224" s="1"/>
      <c r="F224" s="1"/>
      <c r="G224" s="1"/>
      <c r="H224" s="1"/>
    </row>
    <row r="225" spans="1:11" x14ac:dyDescent="0.35">
      <c r="A225" t="s">
        <v>86</v>
      </c>
      <c r="B225" t="str">
        <f>"23206"</f>
        <v>23206</v>
      </c>
      <c r="C225" t="str">
        <f>"004"</f>
        <v>004</v>
      </c>
      <c r="D225">
        <v>2005</v>
      </c>
      <c r="E225" s="1">
        <v>213300</v>
      </c>
      <c r="F225" s="1">
        <v>104900</v>
      </c>
      <c r="G225" s="1" t="s">
        <v>11</v>
      </c>
      <c r="H225" s="1" t="s">
        <v>38</v>
      </c>
      <c r="I225" t="s">
        <v>13</v>
      </c>
      <c r="J225" t="s">
        <v>13</v>
      </c>
    </row>
    <row r="226" spans="1:11" x14ac:dyDescent="0.35">
      <c r="A226" t="s">
        <v>5</v>
      </c>
      <c r="B226" t="str">
        <f>"23206"</f>
        <v>23206</v>
      </c>
      <c r="C226" t="str">
        <f>"005"</f>
        <v>005</v>
      </c>
      <c r="D226">
        <v>2005</v>
      </c>
      <c r="E226" s="1">
        <v>1508800</v>
      </c>
      <c r="F226" s="1">
        <v>-20200</v>
      </c>
      <c r="G226" s="1" t="s">
        <v>48</v>
      </c>
      <c r="H226" s="1" t="s">
        <v>38</v>
      </c>
      <c r="I226" t="s">
        <v>13</v>
      </c>
      <c r="J226" t="s">
        <v>13</v>
      </c>
    </row>
    <row r="227" spans="1:11" x14ac:dyDescent="0.35">
      <c r="A227" t="s">
        <v>5</v>
      </c>
      <c r="B227" t="str">
        <f>"53210"</f>
        <v>53210</v>
      </c>
      <c r="C227" t="str">
        <f>"006"</f>
        <v>006</v>
      </c>
      <c r="D227">
        <v>2006</v>
      </c>
      <c r="E227" s="1">
        <v>2862800</v>
      </c>
      <c r="F227" s="1">
        <v>2760700</v>
      </c>
      <c r="G227" s="1" t="s">
        <v>11</v>
      </c>
      <c r="H227" s="1" t="s">
        <v>38</v>
      </c>
      <c r="I227" t="s">
        <v>13</v>
      </c>
      <c r="J227" t="s">
        <v>13</v>
      </c>
    </row>
    <row r="228" spans="1:11" x14ac:dyDescent="0.35">
      <c r="A228" t="s">
        <v>5</v>
      </c>
      <c r="B228" t="str">
        <f>"23206"</f>
        <v>23206</v>
      </c>
      <c r="C228" t="str">
        <f>"006"</f>
        <v>006</v>
      </c>
      <c r="D228">
        <v>2006</v>
      </c>
      <c r="E228" s="1">
        <v>2379200</v>
      </c>
      <c r="F228" s="1">
        <v>1208900</v>
      </c>
      <c r="G228" s="1" t="s">
        <v>11</v>
      </c>
      <c r="H228" s="1" t="s">
        <v>38</v>
      </c>
      <c r="I228" t="s">
        <v>13</v>
      </c>
      <c r="J228" t="s">
        <v>13</v>
      </c>
    </row>
    <row r="229" spans="1:11" x14ac:dyDescent="0.35">
      <c r="A229" t="s">
        <v>5</v>
      </c>
      <c r="B229" t="str">
        <f>"23206"</f>
        <v>23206</v>
      </c>
      <c r="C229" t="str">
        <f>"007"</f>
        <v>007</v>
      </c>
      <c r="D229">
        <v>2013</v>
      </c>
      <c r="E229" s="1">
        <v>7073100</v>
      </c>
      <c r="F229" s="1">
        <v>2954300</v>
      </c>
      <c r="G229" s="1" t="s">
        <v>11</v>
      </c>
      <c r="H229" s="1" t="s">
        <v>38</v>
      </c>
      <c r="I229" t="s">
        <v>13</v>
      </c>
      <c r="J229" t="s">
        <v>13</v>
      </c>
    </row>
    <row r="230" spans="1:11" x14ac:dyDescent="0.35">
      <c r="A230" t="s">
        <v>39</v>
      </c>
      <c r="B230" t="s">
        <v>13</v>
      </c>
      <c r="C230" t="s">
        <v>7</v>
      </c>
      <c r="D230" t="s">
        <v>8</v>
      </c>
      <c r="E230" s="1">
        <v>14037200</v>
      </c>
      <c r="F230" s="1">
        <v>7028800</v>
      </c>
      <c r="G230" s="1" t="s">
        <v>11</v>
      </c>
      <c r="H230" s="1">
        <v>222526300</v>
      </c>
      <c r="I230" t="s">
        <v>13</v>
      </c>
      <c r="J230" t="s">
        <v>13</v>
      </c>
      <c r="K230">
        <v>3.16</v>
      </c>
    </row>
    <row r="231" spans="1:11" x14ac:dyDescent="0.35">
      <c r="E231" s="1"/>
      <c r="F231" s="1"/>
      <c r="G231" s="1"/>
      <c r="H231" s="1"/>
    </row>
    <row r="232" spans="1:11" x14ac:dyDescent="0.35">
      <c r="A232" t="s">
        <v>87</v>
      </c>
      <c r="B232" t="str">
        <f>"67002"</f>
        <v>67002</v>
      </c>
      <c r="C232" t="str">
        <f>"001A"</f>
        <v>001A</v>
      </c>
      <c r="D232">
        <v>2014</v>
      </c>
      <c r="E232" s="1">
        <v>318986500</v>
      </c>
      <c r="F232" s="1">
        <v>252999600</v>
      </c>
      <c r="G232" s="1" t="s">
        <v>11</v>
      </c>
      <c r="H232" s="1" t="s">
        <v>38</v>
      </c>
      <c r="I232" t="s">
        <v>13</v>
      </c>
      <c r="J232" t="s">
        <v>13</v>
      </c>
    </row>
    <row r="233" spans="1:11" x14ac:dyDescent="0.35">
      <c r="A233" t="s">
        <v>39</v>
      </c>
      <c r="B233" t="s">
        <v>13</v>
      </c>
      <c r="C233" t="s">
        <v>7</v>
      </c>
      <c r="D233" t="s">
        <v>8</v>
      </c>
      <c r="E233" s="1">
        <v>318986500</v>
      </c>
      <c r="F233" s="1">
        <v>252999600</v>
      </c>
      <c r="G233" s="1" t="s">
        <v>11</v>
      </c>
      <c r="H233" s="1">
        <v>1442189900</v>
      </c>
      <c r="I233" t="s">
        <v>13</v>
      </c>
      <c r="J233" t="s">
        <v>13</v>
      </c>
      <c r="K233">
        <v>17.54</v>
      </c>
    </row>
    <row r="234" spans="1:11" x14ac:dyDescent="0.35">
      <c r="A234" t="s">
        <v>87</v>
      </c>
      <c r="B234" t="str">
        <f>"67206"</f>
        <v>67206</v>
      </c>
      <c r="C234" t="str">
        <f>"004"</f>
        <v>004</v>
      </c>
      <c r="D234">
        <v>2015</v>
      </c>
      <c r="E234" s="1">
        <v>2095500</v>
      </c>
      <c r="F234" s="1">
        <v>1936700</v>
      </c>
      <c r="G234" s="1" t="s">
        <v>11</v>
      </c>
      <c r="H234" s="1" t="s">
        <v>38</v>
      </c>
      <c r="I234" t="s">
        <v>13</v>
      </c>
      <c r="J234" t="s">
        <v>13</v>
      </c>
    </row>
    <row r="235" spans="1:11" x14ac:dyDescent="0.35">
      <c r="A235" t="s">
        <v>5</v>
      </c>
      <c r="B235" t="str">
        <f>"67206"</f>
        <v>67206</v>
      </c>
      <c r="C235" t="str">
        <f>"005"</f>
        <v>005</v>
      </c>
      <c r="D235">
        <v>2015</v>
      </c>
      <c r="E235" s="1">
        <v>130663800</v>
      </c>
      <c r="F235" s="1">
        <v>129256800</v>
      </c>
      <c r="G235" s="1" t="s">
        <v>11</v>
      </c>
      <c r="H235" s="1" t="s">
        <v>38</v>
      </c>
      <c r="I235" t="s">
        <v>13</v>
      </c>
      <c r="J235" t="s">
        <v>13</v>
      </c>
    </row>
    <row r="236" spans="1:11" x14ac:dyDescent="0.35">
      <c r="A236" t="s">
        <v>5</v>
      </c>
      <c r="B236" t="str">
        <f>"67206"</f>
        <v>67206</v>
      </c>
      <c r="C236" t="str">
        <f>"006"</f>
        <v>006</v>
      </c>
      <c r="D236">
        <v>2016</v>
      </c>
      <c r="E236" s="1">
        <v>47292600</v>
      </c>
      <c r="F236" s="1">
        <v>31500200</v>
      </c>
      <c r="G236" s="1" t="s">
        <v>11</v>
      </c>
      <c r="H236" s="1" t="s">
        <v>38</v>
      </c>
      <c r="I236" t="s">
        <v>13</v>
      </c>
      <c r="J236" t="s">
        <v>13</v>
      </c>
    </row>
    <row r="237" spans="1:11" x14ac:dyDescent="0.35">
      <c r="A237" t="s">
        <v>5</v>
      </c>
      <c r="B237" t="str">
        <f>"67206"</f>
        <v>67206</v>
      </c>
      <c r="C237" t="str">
        <f>"007"</f>
        <v>007</v>
      </c>
      <c r="D237">
        <v>2018</v>
      </c>
      <c r="E237" s="1">
        <v>23302100</v>
      </c>
      <c r="F237" s="1">
        <v>22641500</v>
      </c>
      <c r="G237" s="1" t="s">
        <v>11</v>
      </c>
      <c r="H237" s="1" t="s">
        <v>38</v>
      </c>
      <c r="I237" t="s">
        <v>13</v>
      </c>
      <c r="J237" t="s">
        <v>13</v>
      </c>
    </row>
    <row r="238" spans="1:11" x14ac:dyDescent="0.35">
      <c r="A238" t="s">
        <v>5</v>
      </c>
      <c r="B238" t="str">
        <f>"67206"</f>
        <v>67206</v>
      </c>
      <c r="C238" t="str">
        <f>"008"</f>
        <v>008</v>
      </c>
      <c r="D238">
        <v>2018</v>
      </c>
      <c r="E238" s="1">
        <v>66584200</v>
      </c>
      <c r="F238" s="1">
        <v>40056000</v>
      </c>
      <c r="G238" s="1" t="s">
        <v>11</v>
      </c>
      <c r="H238" s="1" t="s">
        <v>38</v>
      </c>
      <c r="I238" t="s">
        <v>13</v>
      </c>
      <c r="J238" t="s">
        <v>13</v>
      </c>
    </row>
    <row r="239" spans="1:11" x14ac:dyDescent="0.35">
      <c r="A239" t="s">
        <v>39</v>
      </c>
      <c r="B239" t="s">
        <v>13</v>
      </c>
      <c r="C239" t="s">
        <v>7</v>
      </c>
      <c r="D239" t="s">
        <v>8</v>
      </c>
      <c r="E239" s="1">
        <v>269938200</v>
      </c>
      <c r="F239" s="1">
        <v>225391200</v>
      </c>
      <c r="G239" s="1" t="s">
        <v>11</v>
      </c>
      <c r="H239" s="1">
        <v>8192033600</v>
      </c>
      <c r="I239" t="s">
        <v>13</v>
      </c>
      <c r="J239" t="s">
        <v>13</v>
      </c>
      <c r="K239">
        <v>2.75</v>
      </c>
    </row>
    <row r="240" spans="1:11" x14ac:dyDescent="0.35">
      <c r="E240" s="1"/>
      <c r="F240" s="1"/>
      <c r="G240" s="1"/>
      <c r="H240" s="1"/>
    </row>
    <row r="241" spans="1:11" x14ac:dyDescent="0.35">
      <c r="A241" t="s">
        <v>88</v>
      </c>
      <c r="B241" t="str">
        <f>"23109"</f>
        <v>23109</v>
      </c>
      <c r="C241" t="str">
        <f>"001"</f>
        <v>001</v>
      </c>
      <c r="D241">
        <v>2008</v>
      </c>
      <c r="E241" s="1">
        <v>6461700</v>
      </c>
      <c r="F241" s="1">
        <v>2061100</v>
      </c>
      <c r="G241" s="1" t="s">
        <v>11</v>
      </c>
      <c r="H241" s="1" t="s">
        <v>38</v>
      </c>
      <c r="I241" t="s">
        <v>13</v>
      </c>
      <c r="J241" t="s">
        <v>13</v>
      </c>
    </row>
    <row r="242" spans="1:11" x14ac:dyDescent="0.35">
      <c r="A242" t="s">
        <v>5</v>
      </c>
      <c r="B242" t="str">
        <f>"13109"</f>
        <v>13109</v>
      </c>
      <c r="C242" t="str">
        <f>"001"</f>
        <v>001</v>
      </c>
      <c r="D242">
        <v>2008</v>
      </c>
      <c r="E242" s="1">
        <v>1265800</v>
      </c>
      <c r="F242" s="1">
        <v>432800</v>
      </c>
      <c r="G242" s="1" t="s">
        <v>11</v>
      </c>
      <c r="H242" s="1" t="s">
        <v>38</v>
      </c>
      <c r="I242" t="s">
        <v>13</v>
      </c>
      <c r="J242" t="s">
        <v>13</v>
      </c>
    </row>
    <row r="243" spans="1:11" x14ac:dyDescent="0.35">
      <c r="A243" t="s">
        <v>5</v>
      </c>
      <c r="B243" t="str">
        <f>"13109"</f>
        <v>13109</v>
      </c>
      <c r="C243" t="str">
        <f>"002"</f>
        <v>002</v>
      </c>
      <c r="D243">
        <v>2013</v>
      </c>
      <c r="E243" s="1">
        <v>2460300</v>
      </c>
      <c r="F243" s="1">
        <v>2439200</v>
      </c>
      <c r="G243" s="1" t="s">
        <v>11</v>
      </c>
      <c r="H243" s="1" t="s">
        <v>38</v>
      </c>
      <c r="I243" t="s">
        <v>13</v>
      </c>
      <c r="J243" t="s">
        <v>13</v>
      </c>
    </row>
    <row r="244" spans="1:11" x14ac:dyDescent="0.35">
      <c r="A244" t="s">
        <v>39</v>
      </c>
      <c r="B244" t="s">
        <v>13</v>
      </c>
      <c r="C244" t="s">
        <v>7</v>
      </c>
      <c r="D244" t="s">
        <v>8</v>
      </c>
      <c r="E244" s="1">
        <v>10187800</v>
      </c>
      <c r="F244" s="1">
        <v>4933100</v>
      </c>
      <c r="G244" s="1" t="s">
        <v>11</v>
      </c>
      <c r="H244" s="1">
        <v>133293500</v>
      </c>
      <c r="I244" t="s">
        <v>13</v>
      </c>
      <c r="J244" t="s">
        <v>13</v>
      </c>
      <c r="K244">
        <v>3.7</v>
      </c>
    </row>
    <row r="245" spans="1:11" x14ac:dyDescent="0.35">
      <c r="E245" s="1"/>
      <c r="F245" s="1"/>
      <c r="G245" s="1"/>
      <c r="H245" s="1"/>
    </row>
    <row r="246" spans="1:11" x14ac:dyDescent="0.35">
      <c r="A246" t="s">
        <v>89</v>
      </c>
      <c r="B246" t="str">
        <f>"40107"</f>
        <v>40107</v>
      </c>
      <c r="C246" t="str">
        <f>"002"</f>
        <v>002</v>
      </c>
      <c r="D246">
        <v>1995</v>
      </c>
      <c r="E246" s="1">
        <v>37052100</v>
      </c>
      <c r="F246" s="1">
        <v>25072200</v>
      </c>
      <c r="G246" s="1" t="s">
        <v>11</v>
      </c>
      <c r="H246" s="1" t="s">
        <v>38</v>
      </c>
      <c r="I246" t="s">
        <v>13</v>
      </c>
      <c r="J246" t="s">
        <v>13</v>
      </c>
    </row>
    <row r="247" spans="1:11" x14ac:dyDescent="0.35">
      <c r="A247" t="s">
        <v>5</v>
      </c>
      <c r="B247" t="str">
        <f>"40107"</f>
        <v>40107</v>
      </c>
      <c r="C247" t="str">
        <f>"003"</f>
        <v>003</v>
      </c>
      <c r="D247">
        <v>2005</v>
      </c>
      <c r="E247" s="1">
        <v>47861300</v>
      </c>
      <c r="F247" s="1">
        <v>24892400</v>
      </c>
      <c r="G247" s="1" t="s">
        <v>11</v>
      </c>
      <c r="H247" s="1" t="s">
        <v>38</v>
      </c>
      <c r="I247" t="s">
        <v>13</v>
      </c>
      <c r="J247" t="s">
        <v>13</v>
      </c>
    </row>
    <row r="248" spans="1:11" x14ac:dyDescent="0.35">
      <c r="A248" t="s">
        <v>5</v>
      </c>
      <c r="B248" t="str">
        <f>"40107"</f>
        <v>40107</v>
      </c>
      <c r="C248" t="str">
        <f>"004"</f>
        <v>004</v>
      </c>
      <c r="D248">
        <v>2005</v>
      </c>
      <c r="E248" s="1">
        <v>49476100</v>
      </c>
      <c r="F248" s="1">
        <v>29677500</v>
      </c>
      <c r="G248" s="1" t="s">
        <v>11</v>
      </c>
      <c r="H248" s="1" t="s">
        <v>38</v>
      </c>
      <c r="I248" t="s">
        <v>13</v>
      </c>
      <c r="J248" t="s">
        <v>13</v>
      </c>
    </row>
    <row r="249" spans="1:11" x14ac:dyDescent="0.35">
      <c r="A249" t="s">
        <v>39</v>
      </c>
      <c r="B249" t="s">
        <v>13</v>
      </c>
      <c r="C249" t="s">
        <v>7</v>
      </c>
      <c r="D249" t="s">
        <v>8</v>
      </c>
      <c r="E249" s="1">
        <v>134389500</v>
      </c>
      <c r="F249" s="1">
        <v>79642100</v>
      </c>
      <c r="G249" s="1" t="s">
        <v>11</v>
      </c>
      <c r="H249" s="1">
        <v>1138648600</v>
      </c>
      <c r="I249" t="s">
        <v>13</v>
      </c>
      <c r="J249" t="s">
        <v>13</v>
      </c>
      <c r="K249">
        <v>6.99</v>
      </c>
    </row>
    <row r="250" spans="1:11" x14ac:dyDescent="0.35">
      <c r="E250" s="1"/>
      <c r="F250" s="1"/>
      <c r="G250" s="1"/>
      <c r="H250" s="1"/>
    </row>
    <row r="251" spans="1:11" x14ac:dyDescent="0.35">
      <c r="A251" t="s">
        <v>90</v>
      </c>
      <c r="B251" t="str">
        <f>"54106"</f>
        <v>54106</v>
      </c>
      <c r="C251" t="str">
        <f>"002"</f>
        <v>002</v>
      </c>
      <c r="D251">
        <v>2002</v>
      </c>
      <c r="E251" s="1">
        <v>2173400</v>
      </c>
      <c r="F251" s="1">
        <v>901000</v>
      </c>
      <c r="G251" s="1" t="s">
        <v>11</v>
      </c>
      <c r="H251" s="1" t="s">
        <v>38</v>
      </c>
      <c r="I251" t="s">
        <v>13</v>
      </c>
      <c r="J251" t="s">
        <v>13</v>
      </c>
    </row>
    <row r="252" spans="1:11" x14ac:dyDescent="0.35">
      <c r="A252" t="s">
        <v>39</v>
      </c>
      <c r="B252" t="s">
        <v>13</v>
      </c>
      <c r="C252" t="s">
        <v>7</v>
      </c>
      <c r="D252" t="s">
        <v>8</v>
      </c>
      <c r="E252" s="1">
        <v>2173400</v>
      </c>
      <c r="F252" s="1">
        <v>901000</v>
      </c>
      <c r="G252" s="1" t="s">
        <v>11</v>
      </c>
      <c r="H252" s="1">
        <v>31097800</v>
      </c>
      <c r="I252" t="s">
        <v>13</v>
      </c>
      <c r="J252" t="s">
        <v>13</v>
      </c>
      <c r="K252">
        <v>2.9</v>
      </c>
    </row>
    <row r="253" spans="1:11" x14ac:dyDescent="0.35">
      <c r="E253" s="1"/>
      <c r="F253" s="1"/>
      <c r="G253" s="1"/>
      <c r="H253" s="1"/>
    </row>
    <row r="254" spans="1:11" x14ac:dyDescent="0.35">
      <c r="A254" t="s">
        <v>91</v>
      </c>
      <c r="B254" t="str">
        <f>"64206"</f>
        <v>64206</v>
      </c>
      <c r="C254" t="str">
        <f>"005"</f>
        <v>005</v>
      </c>
      <c r="D254">
        <v>2015</v>
      </c>
      <c r="E254" s="1">
        <v>9172100</v>
      </c>
      <c r="F254" s="1">
        <v>9048200</v>
      </c>
      <c r="G254" s="1" t="s">
        <v>11</v>
      </c>
      <c r="H254" s="1" t="s">
        <v>38</v>
      </c>
      <c r="I254" t="s">
        <v>13</v>
      </c>
      <c r="J254" t="s">
        <v>13</v>
      </c>
    </row>
    <row r="255" spans="1:11" x14ac:dyDescent="0.35">
      <c r="A255" t="s">
        <v>39</v>
      </c>
      <c r="B255" t="s">
        <v>13</v>
      </c>
      <c r="C255" t="s">
        <v>7</v>
      </c>
      <c r="D255" t="s">
        <v>8</v>
      </c>
      <c r="E255" s="1">
        <v>9172100</v>
      </c>
      <c r="F255" s="1">
        <v>9048200</v>
      </c>
      <c r="G255" s="1" t="s">
        <v>11</v>
      </c>
      <c r="H255" s="1">
        <v>1114333400</v>
      </c>
      <c r="I255" t="s">
        <v>13</v>
      </c>
      <c r="J255" t="s">
        <v>13</v>
      </c>
      <c r="K255">
        <v>0.81</v>
      </c>
    </row>
    <row r="256" spans="1:11" x14ac:dyDescent="0.35">
      <c r="E256" s="1"/>
      <c r="F256" s="1"/>
      <c r="G256" s="1"/>
      <c r="H256" s="1"/>
    </row>
    <row r="257" spans="1:11" x14ac:dyDescent="0.35">
      <c r="A257" t="s">
        <v>92</v>
      </c>
      <c r="B257" t="str">
        <f>"09111"</f>
        <v>09111</v>
      </c>
      <c r="C257" t="str">
        <f>"004"</f>
        <v>004</v>
      </c>
      <c r="D257">
        <v>2013</v>
      </c>
      <c r="E257" s="1">
        <v>4397600</v>
      </c>
      <c r="F257" s="1">
        <v>2152400</v>
      </c>
      <c r="G257" s="1" t="s">
        <v>11</v>
      </c>
      <c r="H257" s="1" t="s">
        <v>38</v>
      </c>
      <c r="I257" t="s">
        <v>13</v>
      </c>
      <c r="J257" t="s">
        <v>13</v>
      </c>
    </row>
    <row r="258" spans="1:11" x14ac:dyDescent="0.35">
      <c r="A258" t="s">
        <v>5</v>
      </c>
      <c r="B258" t="str">
        <f>"09111"</f>
        <v>09111</v>
      </c>
      <c r="C258" t="str">
        <f>"005"</f>
        <v>005</v>
      </c>
      <c r="D258">
        <v>2019</v>
      </c>
      <c r="E258" s="1">
        <v>754500</v>
      </c>
      <c r="F258" s="1">
        <v>91000</v>
      </c>
      <c r="G258" s="1" t="s">
        <v>11</v>
      </c>
      <c r="H258" s="1" t="s">
        <v>38</v>
      </c>
      <c r="I258" t="s">
        <v>13</v>
      </c>
      <c r="J258" t="s">
        <v>13</v>
      </c>
    </row>
    <row r="259" spans="1:11" x14ac:dyDescent="0.35">
      <c r="A259" t="s">
        <v>39</v>
      </c>
      <c r="B259" t="s">
        <v>13</v>
      </c>
      <c r="C259" t="s">
        <v>7</v>
      </c>
      <c r="D259" t="s">
        <v>8</v>
      </c>
      <c r="E259" s="1">
        <v>5152100</v>
      </c>
      <c r="F259" s="1">
        <v>2243400</v>
      </c>
      <c r="G259" s="1" t="s">
        <v>11</v>
      </c>
      <c r="H259" s="1">
        <v>98758800</v>
      </c>
      <c r="I259" t="s">
        <v>13</v>
      </c>
      <c r="J259" t="s">
        <v>13</v>
      </c>
      <c r="K259">
        <v>2.27</v>
      </c>
    </row>
    <row r="260" spans="1:11" x14ac:dyDescent="0.35">
      <c r="E260" s="1"/>
      <c r="F260" s="1"/>
      <c r="G260" s="1"/>
      <c r="H260" s="1"/>
    </row>
    <row r="261" spans="1:11" x14ac:dyDescent="0.35">
      <c r="A261" t="s">
        <v>93</v>
      </c>
      <c r="B261" t="str">
        <f>"51104"</f>
        <v>51104</v>
      </c>
      <c r="C261" t="str">
        <f>"001"</f>
        <v>001</v>
      </c>
      <c r="D261">
        <v>2007</v>
      </c>
      <c r="E261" s="1">
        <v>7315900</v>
      </c>
      <c r="F261" s="1">
        <v>5484100</v>
      </c>
      <c r="G261" s="1" t="s">
        <v>11</v>
      </c>
      <c r="H261" s="1" t="s">
        <v>38</v>
      </c>
      <c r="I261" t="s">
        <v>13</v>
      </c>
      <c r="J261" t="s">
        <v>13</v>
      </c>
    </row>
    <row r="262" spans="1:11" x14ac:dyDescent="0.35">
      <c r="A262" t="s">
        <v>5</v>
      </c>
      <c r="B262" t="str">
        <f>"51104"</f>
        <v>51104</v>
      </c>
      <c r="C262" t="str">
        <f>"003"</f>
        <v>003</v>
      </c>
      <c r="D262">
        <v>2011</v>
      </c>
      <c r="E262" s="1">
        <v>41292100</v>
      </c>
      <c r="F262" s="1">
        <v>12659400</v>
      </c>
      <c r="G262" s="1" t="s">
        <v>11</v>
      </c>
      <c r="H262" s="1" t="s">
        <v>38</v>
      </c>
      <c r="I262" t="s">
        <v>13</v>
      </c>
      <c r="J262" t="s">
        <v>13</v>
      </c>
    </row>
    <row r="263" spans="1:11" x14ac:dyDescent="0.35">
      <c r="A263" t="s">
        <v>5</v>
      </c>
      <c r="B263" t="str">
        <f>"51104"</f>
        <v>51104</v>
      </c>
      <c r="C263" t="str">
        <f>"004"</f>
        <v>004</v>
      </c>
      <c r="D263">
        <v>2014</v>
      </c>
      <c r="E263" s="1">
        <v>40388900</v>
      </c>
      <c r="F263" s="1">
        <v>24944700</v>
      </c>
      <c r="G263" s="1" t="s">
        <v>11</v>
      </c>
      <c r="H263" s="1" t="s">
        <v>38</v>
      </c>
      <c r="I263" t="s">
        <v>13</v>
      </c>
      <c r="J263" t="s">
        <v>13</v>
      </c>
    </row>
    <row r="264" spans="1:11" x14ac:dyDescent="0.35">
      <c r="A264" t="s">
        <v>5</v>
      </c>
      <c r="B264" t="str">
        <f>"51104"</f>
        <v>51104</v>
      </c>
      <c r="C264" t="str">
        <f>"005"</f>
        <v>005</v>
      </c>
      <c r="D264">
        <v>2019</v>
      </c>
      <c r="E264" s="1">
        <v>2229300</v>
      </c>
      <c r="F264" s="1">
        <v>1612100</v>
      </c>
      <c r="G264" s="1" t="s">
        <v>11</v>
      </c>
      <c r="H264" s="1" t="s">
        <v>38</v>
      </c>
      <c r="I264" t="s">
        <v>13</v>
      </c>
      <c r="J264" t="s">
        <v>13</v>
      </c>
    </row>
    <row r="265" spans="1:11" x14ac:dyDescent="0.35">
      <c r="A265" t="s">
        <v>39</v>
      </c>
      <c r="B265" t="s">
        <v>13</v>
      </c>
      <c r="C265" t="s">
        <v>7</v>
      </c>
      <c r="D265" t="s">
        <v>8</v>
      </c>
      <c r="E265" s="1">
        <v>91226200</v>
      </c>
      <c r="F265" s="1">
        <v>44700300</v>
      </c>
      <c r="G265" s="1" t="s">
        <v>11</v>
      </c>
      <c r="H265" s="1">
        <v>2703689000</v>
      </c>
      <c r="I265" t="s">
        <v>13</v>
      </c>
      <c r="J265" t="s">
        <v>13</v>
      </c>
      <c r="K265">
        <v>1.65</v>
      </c>
    </row>
    <row r="266" spans="1:11" x14ac:dyDescent="0.35">
      <c r="E266" s="1"/>
      <c r="F266" s="1"/>
      <c r="G266" s="1"/>
      <c r="H266" s="1"/>
    </row>
    <row r="267" spans="1:11" x14ac:dyDescent="0.35">
      <c r="A267" t="s">
        <v>94</v>
      </c>
      <c r="B267" t="str">
        <f>"13111"</f>
        <v>13111</v>
      </c>
      <c r="C267" t="str">
        <f>"004"</f>
        <v>004</v>
      </c>
      <c r="D267">
        <v>2013</v>
      </c>
      <c r="E267" s="1">
        <v>13921300</v>
      </c>
      <c r="F267" s="1">
        <v>3880300</v>
      </c>
      <c r="G267" s="1" t="s">
        <v>11</v>
      </c>
      <c r="H267" s="1" t="s">
        <v>38</v>
      </c>
      <c r="I267" t="s">
        <v>13</v>
      </c>
      <c r="J267" t="s">
        <v>13</v>
      </c>
    </row>
    <row r="268" spans="1:11" x14ac:dyDescent="0.35">
      <c r="A268" t="s">
        <v>5</v>
      </c>
      <c r="B268" t="str">
        <f>"13111"</f>
        <v>13111</v>
      </c>
      <c r="C268" t="str">
        <f>"005"</f>
        <v>005</v>
      </c>
      <c r="D268">
        <v>2020</v>
      </c>
      <c r="E268" s="1">
        <v>3236400</v>
      </c>
      <c r="F268" s="1">
        <v>229200</v>
      </c>
      <c r="G268" s="1" t="s">
        <v>11</v>
      </c>
      <c r="H268" s="1" t="s">
        <v>38</v>
      </c>
      <c r="I268" t="s">
        <v>13</v>
      </c>
      <c r="J268" t="s">
        <v>13</v>
      </c>
    </row>
    <row r="269" spans="1:11" x14ac:dyDescent="0.35">
      <c r="A269" t="s">
        <v>39</v>
      </c>
      <c r="B269" t="s">
        <v>13</v>
      </c>
      <c r="C269" t="s">
        <v>7</v>
      </c>
      <c r="D269" t="s">
        <v>8</v>
      </c>
      <c r="E269" s="1">
        <v>17157700</v>
      </c>
      <c r="F269" s="1">
        <v>4109500</v>
      </c>
      <c r="G269" s="1" t="s">
        <v>11</v>
      </c>
      <c r="H269" s="1">
        <v>200651100</v>
      </c>
      <c r="I269" t="s">
        <v>13</v>
      </c>
      <c r="J269" t="s">
        <v>13</v>
      </c>
      <c r="K269">
        <v>2.0499999999999998</v>
      </c>
    </row>
    <row r="270" spans="1:11" x14ac:dyDescent="0.35">
      <c r="E270" s="1"/>
      <c r="F270" s="1"/>
      <c r="G270" s="1"/>
      <c r="H270" s="1"/>
    </row>
    <row r="271" spans="1:11" x14ac:dyDescent="0.35">
      <c r="A271" t="s">
        <v>95</v>
      </c>
      <c r="B271" t="str">
        <f>"03111"</f>
        <v>03111</v>
      </c>
      <c r="C271" t="str">
        <f>"001"</f>
        <v>001</v>
      </c>
      <c r="D271">
        <v>2005</v>
      </c>
      <c r="E271" s="1">
        <v>25828600</v>
      </c>
      <c r="F271" s="1">
        <v>23511100</v>
      </c>
      <c r="G271" s="1" t="s">
        <v>11</v>
      </c>
      <c r="H271" s="1" t="s">
        <v>38</v>
      </c>
      <c r="I271" t="s">
        <v>13</v>
      </c>
      <c r="J271" t="s">
        <v>13</v>
      </c>
    </row>
    <row r="272" spans="1:11" x14ac:dyDescent="0.35">
      <c r="A272" t="s">
        <v>39</v>
      </c>
      <c r="B272" t="s">
        <v>13</v>
      </c>
      <c r="C272" t="s">
        <v>7</v>
      </c>
      <c r="D272" t="s">
        <v>8</v>
      </c>
      <c r="E272" s="1">
        <v>25828600</v>
      </c>
      <c r="F272" s="1">
        <v>23511100</v>
      </c>
      <c r="G272" s="1" t="s">
        <v>11</v>
      </c>
      <c r="H272" s="1">
        <v>137041400</v>
      </c>
      <c r="I272" t="s">
        <v>13</v>
      </c>
      <c r="J272" t="s">
        <v>13</v>
      </c>
      <c r="K272">
        <v>17.16</v>
      </c>
    </row>
    <row r="273" spans="1:11" x14ac:dyDescent="0.35">
      <c r="E273" s="1"/>
      <c r="F273" s="1"/>
      <c r="G273" s="1"/>
      <c r="H273" s="1"/>
    </row>
    <row r="274" spans="1:11" x14ac:dyDescent="0.35">
      <c r="A274" t="s">
        <v>96</v>
      </c>
      <c r="B274" t="str">
        <f>"29111"</f>
        <v>29111</v>
      </c>
      <c r="C274" t="str">
        <f>"001"</f>
        <v>001</v>
      </c>
      <c r="D274">
        <v>1995</v>
      </c>
      <c r="E274" s="1">
        <v>5704300</v>
      </c>
      <c r="F274" s="1">
        <v>5074100</v>
      </c>
      <c r="G274" s="1" t="s">
        <v>11</v>
      </c>
      <c r="H274" s="1" t="s">
        <v>38</v>
      </c>
      <c r="I274" t="s">
        <v>13</v>
      </c>
      <c r="J274" t="s">
        <v>13</v>
      </c>
    </row>
    <row r="275" spans="1:11" x14ac:dyDescent="0.35">
      <c r="A275" t="s">
        <v>39</v>
      </c>
      <c r="B275" t="s">
        <v>13</v>
      </c>
      <c r="C275" t="s">
        <v>7</v>
      </c>
      <c r="D275" t="s">
        <v>8</v>
      </c>
      <c r="E275" s="1">
        <v>5704300</v>
      </c>
      <c r="F275" s="1">
        <v>5074100</v>
      </c>
      <c r="G275" s="1" t="s">
        <v>11</v>
      </c>
      <c r="H275" s="1">
        <v>29474100</v>
      </c>
      <c r="I275" t="s">
        <v>13</v>
      </c>
      <c r="J275" t="s">
        <v>13</v>
      </c>
      <c r="K275">
        <v>17.22</v>
      </c>
    </row>
    <row r="276" spans="1:11" x14ac:dyDescent="0.35">
      <c r="E276" s="1"/>
      <c r="F276" s="1"/>
      <c r="G276" s="1"/>
      <c r="H276" s="1"/>
    </row>
    <row r="277" spans="1:11" x14ac:dyDescent="0.35">
      <c r="A277" t="s">
        <v>97</v>
      </c>
      <c r="B277" t="str">
        <f>"20111"</f>
        <v>20111</v>
      </c>
      <c r="C277" t="str">
        <f>"001"</f>
        <v>001</v>
      </c>
      <c r="D277">
        <v>2011</v>
      </c>
      <c r="E277" s="1">
        <v>3929400</v>
      </c>
      <c r="F277" s="1">
        <v>2166100</v>
      </c>
      <c r="G277" s="1" t="s">
        <v>11</v>
      </c>
      <c r="H277" s="1" t="s">
        <v>38</v>
      </c>
      <c r="I277" t="s">
        <v>13</v>
      </c>
      <c r="J277" t="s">
        <v>13</v>
      </c>
    </row>
    <row r="278" spans="1:11" x14ac:dyDescent="0.35">
      <c r="A278" t="s">
        <v>39</v>
      </c>
      <c r="B278" t="s">
        <v>13</v>
      </c>
      <c r="C278" t="s">
        <v>7</v>
      </c>
      <c r="D278" t="s">
        <v>8</v>
      </c>
      <c r="E278" s="1">
        <v>3929400</v>
      </c>
      <c r="F278" s="1">
        <v>2166100</v>
      </c>
      <c r="G278" s="1" t="s">
        <v>11</v>
      </c>
      <c r="H278" s="1">
        <v>130686400</v>
      </c>
      <c r="I278" t="s">
        <v>13</v>
      </c>
      <c r="J278" t="s">
        <v>13</v>
      </c>
      <c r="K278">
        <v>1.66</v>
      </c>
    </row>
    <row r="279" spans="1:11" x14ac:dyDescent="0.35">
      <c r="E279" s="1"/>
      <c r="F279" s="1"/>
      <c r="G279" s="1"/>
      <c r="H279" s="1"/>
    </row>
    <row r="280" spans="1:11" x14ac:dyDescent="0.35">
      <c r="A280" t="s">
        <v>98</v>
      </c>
      <c r="B280" t="str">
        <f>"59111"</f>
        <v>59111</v>
      </c>
      <c r="C280" t="str">
        <f>"001"</f>
        <v>001</v>
      </c>
      <c r="D280">
        <v>2011</v>
      </c>
      <c r="E280" s="1">
        <v>1229700</v>
      </c>
      <c r="F280" s="1">
        <v>652700</v>
      </c>
      <c r="G280" s="1" t="s">
        <v>11</v>
      </c>
      <c r="H280" s="1" t="s">
        <v>38</v>
      </c>
      <c r="I280" t="s">
        <v>13</v>
      </c>
      <c r="J280" t="s">
        <v>13</v>
      </c>
    </row>
    <row r="281" spans="1:11" x14ac:dyDescent="0.35">
      <c r="A281" t="s">
        <v>39</v>
      </c>
      <c r="B281" t="s">
        <v>13</v>
      </c>
      <c r="C281" t="s">
        <v>7</v>
      </c>
      <c r="D281" t="s">
        <v>8</v>
      </c>
      <c r="E281" s="1">
        <v>1229700</v>
      </c>
      <c r="F281" s="1">
        <v>652700</v>
      </c>
      <c r="G281" s="1" t="s">
        <v>11</v>
      </c>
      <c r="H281" s="1">
        <v>46241500</v>
      </c>
      <c r="I281" t="s">
        <v>13</v>
      </c>
      <c r="J281" t="s">
        <v>13</v>
      </c>
      <c r="K281">
        <v>1.41</v>
      </c>
    </row>
    <row r="282" spans="1:11" x14ac:dyDescent="0.35">
      <c r="E282" s="1"/>
      <c r="F282" s="1"/>
      <c r="G282" s="1"/>
      <c r="H282" s="1"/>
    </row>
    <row r="283" spans="1:11" x14ac:dyDescent="0.35">
      <c r="A283" t="s">
        <v>99</v>
      </c>
      <c r="B283" t="str">
        <f>"41111"</f>
        <v>41111</v>
      </c>
      <c r="C283" t="str">
        <f>"002"</f>
        <v>002</v>
      </c>
      <c r="D283">
        <v>1998</v>
      </c>
      <c r="E283" s="1">
        <v>2258300</v>
      </c>
      <c r="F283" s="1">
        <v>1422300</v>
      </c>
      <c r="G283" s="1" t="s">
        <v>11</v>
      </c>
      <c r="H283" s="1" t="s">
        <v>38</v>
      </c>
      <c r="I283" t="s">
        <v>13</v>
      </c>
      <c r="J283" t="s">
        <v>13</v>
      </c>
    </row>
    <row r="284" spans="1:11" x14ac:dyDescent="0.35">
      <c r="A284" t="s">
        <v>5</v>
      </c>
      <c r="B284" t="str">
        <f>"41111"</f>
        <v>41111</v>
      </c>
      <c r="C284" t="str">
        <f>"003"</f>
        <v>003</v>
      </c>
      <c r="D284">
        <v>2005</v>
      </c>
      <c r="E284" s="1">
        <v>48684800</v>
      </c>
      <c r="F284" s="1">
        <v>48352500</v>
      </c>
      <c r="G284" s="1" t="s">
        <v>11</v>
      </c>
      <c r="H284" s="1" t="s">
        <v>38</v>
      </c>
      <c r="I284" t="s">
        <v>13</v>
      </c>
      <c r="J284" t="s">
        <v>13</v>
      </c>
    </row>
    <row r="285" spans="1:11" x14ac:dyDescent="0.35">
      <c r="A285" t="s">
        <v>39</v>
      </c>
      <c r="B285" t="s">
        <v>13</v>
      </c>
      <c r="C285" t="s">
        <v>7</v>
      </c>
      <c r="D285" t="s">
        <v>8</v>
      </c>
      <c r="E285" s="1">
        <v>50943100</v>
      </c>
      <c r="F285" s="1">
        <v>49774800</v>
      </c>
      <c r="G285" s="1" t="s">
        <v>11</v>
      </c>
      <c r="H285" s="1">
        <v>113370000</v>
      </c>
      <c r="I285" t="s">
        <v>13</v>
      </c>
      <c r="J285" t="s">
        <v>13</v>
      </c>
      <c r="K285">
        <v>43.9</v>
      </c>
    </row>
    <row r="286" spans="1:11" x14ac:dyDescent="0.35">
      <c r="E286" s="1"/>
      <c r="F286" s="1"/>
      <c r="G286" s="1"/>
      <c r="H286" s="1"/>
    </row>
    <row r="287" spans="1:11" x14ac:dyDescent="0.35">
      <c r="A287" t="s">
        <v>100</v>
      </c>
      <c r="B287" t="str">
        <f>"59112"</f>
        <v>59112</v>
      </c>
      <c r="C287" t="str">
        <f>"001"</f>
        <v>001</v>
      </c>
      <c r="D287">
        <v>2009</v>
      </c>
      <c r="E287" s="1">
        <v>878800</v>
      </c>
      <c r="F287" s="1">
        <v>634000</v>
      </c>
      <c r="G287" s="1" t="s">
        <v>11</v>
      </c>
      <c r="H287" s="1" t="s">
        <v>38</v>
      </c>
      <c r="I287" t="s">
        <v>13</v>
      </c>
      <c r="J287" t="s">
        <v>13</v>
      </c>
    </row>
    <row r="288" spans="1:11" x14ac:dyDescent="0.35">
      <c r="A288" t="s">
        <v>39</v>
      </c>
      <c r="B288" t="s">
        <v>13</v>
      </c>
      <c r="C288" t="s">
        <v>7</v>
      </c>
      <c r="D288" t="s">
        <v>8</v>
      </c>
      <c r="E288" s="1">
        <v>878800</v>
      </c>
      <c r="F288" s="1">
        <v>634000</v>
      </c>
      <c r="G288" s="1" t="s">
        <v>11</v>
      </c>
      <c r="H288" s="1">
        <v>167580900</v>
      </c>
      <c r="I288" t="s">
        <v>13</v>
      </c>
      <c r="J288" t="s">
        <v>13</v>
      </c>
      <c r="K288">
        <v>0.38</v>
      </c>
    </row>
    <row r="289" spans="1:11" x14ac:dyDescent="0.35">
      <c r="E289" s="1"/>
      <c r="F289" s="1"/>
      <c r="G289" s="1"/>
      <c r="H289" s="1"/>
    </row>
    <row r="290" spans="1:11" x14ac:dyDescent="0.35">
      <c r="A290" t="s">
        <v>101</v>
      </c>
      <c r="B290" t="str">
        <f>"45211"</f>
        <v>45211</v>
      </c>
      <c r="C290" t="str">
        <f>"003"</f>
        <v>003</v>
      </c>
      <c r="D290">
        <v>2015</v>
      </c>
      <c r="E290" s="1">
        <v>779200</v>
      </c>
      <c r="F290" s="1">
        <v>496700</v>
      </c>
      <c r="G290" s="1" t="s">
        <v>11</v>
      </c>
      <c r="H290" s="1" t="s">
        <v>38</v>
      </c>
      <c r="I290" t="s">
        <v>13</v>
      </c>
      <c r="J290" t="s">
        <v>13</v>
      </c>
    </row>
    <row r="291" spans="1:11" x14ac:dyDescent="0.35">
      <c r="A291" t="s">
        <v>5</v>
      </c>
      <c r="B291" t="str">
        <f>"45211"</f>
        <v>45211</v>
      </c>
      <c r="C291" t="str">
        <f>"004"</f>
        <v>004</v>
      </c>
      <c r="D291">
        <v>2018</v>
      </c>
      <c r="E291" s="1">
        <v>334200</v>
      </c>
      <c r="F291" s="1">
        <v>333600</v>
      </c>
      <c r="G291" s="1" t="s">
        <v>11</v>
      </c>
      <c r="H291" s="1" t="s">
        <v>38</v>
      </c>
      <c r="I291" t="s">
        <v>13</v>
      </c>
      <c r="J291" t="s">
        <v>13</v>
      </c>
    </row>
    <row r="292" spans="1:11" x14ac:dyDescent="0.35">
      <c r="A292" t="s">
        <v>5</v>
      </c>
      <c r="B292" t="str">
        <f>"45211"</f>
        <v>45211</v>
      </c>
      <c r="C292" t="str">
        <f>"005"</f>
        <v>005</v>
      </c>
      <c r="D292">
        <v>2018</v>
      </c>
      <c r="E292" s="1">
        <v>14880800</v>
      </c>
      <c r="F292" s="1">
        <v>13946600</v>
      </c>
      <c r="G292" s="1" t="s">
        <v>11</v>
      </c>
      <c r="H292" s="1" t="s">
        <v>38</v>
      </c>
      <c r="I292" t="s">
        <v>13</v>
      </c>
      <c r="J292" t="s">
        <v>13</v>
      </c>
    </row>
    <row r="293" spans="1:11" x14ac:dyDescent="0.35">
      <c r="A293" t="s">
        <v>5</v>
      </c>
      <c r="B293" t="str">
        <f>"45211"</f>
        <v>45211</v>
      </c>
      <c r="C293" t="str">
        <f>"006"</f>
        <v>006</v>
      </c>
      <c r="D293">
        <v>2020</v>
      </c>
      <c r="E293" s="1">
        <v>1315100</v>
      </c>
      <c r="F293" s="1">
        <v>1315100</v>
      </c>
      <c r="G293" s="1" t="s">
        <v>11</v>
      </c>
      <c r="H293" s="1" t="s">
        <v>38</v>
      </c>
      <c r="I293" t="s">
        <v>13</v>
      </c>
      <c r="J293" t="s">
        <v>13</v>
      </c>
    </row>
    <row r="294" spans="1:11" x14ac:dyDescent="0.35">
      <c r="A294" t="s">
        <v>39</v>
      </c>
      <c r="B294" t="s">
        <v>13</v>
      </c>
      <c r="C294" t="s">
        <v>7</v>
      </c>
      <c r="D294" t="s">
        <v>8</v>
      </c>
      <c r="E294" s="1">
        <v>17309300</v>
      </c>
      <c r="F294" s="1">
        <v>16092000</v>
      </c>
      <c r="G294" s="1" t="s">
        <v>11</v>
      </c>
      <c r="H294" s="1">
        <v>1683699600</v>
      </c>
      <c r="I294" t="s">
        <v>13</v>
      </c>
      <c r="J294" t="s">
        <v>13</v>
      </c>
      <c r="K294">
        <v>0.96</v>
      </c>
    </row>
    <row r="295" spans="1:11" x14ac:dyDescent="0.35">
      <c r="E295" s="1"/>
      <c r="F295" s="1"/>
      <c r="G295" s="1"/>
      <c r="H295" s="1"/>
    </row>
    <row r="296" spans="1:11" x14ac:dyDescent="0.35">
      <c r="A296" t="s">
        <v>102</v>
      </c>
      <c r="B296" t="str">
        <f>"48111"</f>
        <v>48111</v>
      </c>
      <c r="C296" t="str">
        <f>"001"</f>
        <v>001</v>
      </c>
      <c r="D296">
        <v>1999</v>
      </c>
      <c r="E296" s="1">
        <v>9105900</v>
      </c>
      <c r="F296" s="1">
        <v>4422900</v>
      </c>
      <c r="G296" s="1" t="s">
        <v>11</v>
      </c>
      <c r="H296" s="1" t="s">
        <v>38</v>
      </c>
      <c r="I296" t="s">
        <v>13</v>
      </c>
      <c r="J296" t="s">
        <v>13</v>
      </c>
    </row>
    <row r="297" spans="1:11" x14ac:dyDescent="0.35">
      <c r="A297" t="s">
        <v>39</v>
      </c>
      <c r="B297" t="s">
        <v>13</v>
      </c>
      <c r="C297" t="s">
        <v>7</v>
      </c>
      <c r="D297" t="s">
        <v>8</v>
      </c>
      <c r="E297" s="1">
        <v>9105900</v>
      </c>
      <c r="F297" s="1">
        <v>4422900</v>
      </c>
      <c r="G297" s="1" t="s">
        <v>11</v>
      </c>
      <c r="H297" s="1">
        <v>37744000</v>
      </c>
      <c r="I297" t="s">
        <v>13</v>
      </c>
      <c r="J297" t="s">
        <v>13</v>
      </c>
      <c r="K297">
        <v>11.72</v>
      </c>
    </row>
    <row r="298" spans="1:11" x14ac:dyDescent="0.35">
      <c r="E298" s="1"/>
      <c r="F298" s="1"/>
      <c r="G298" s="1"/>
      <c r="H298" s="1"/>
    </row>
    <row r="299" spans="1:11" x14ac:dyDescent="0.35">
      <c r="A299" t="s">
        <v>103</v>
      </c>
      <c r="B299" t="str">
        <f>"03211"</f>
        <v>03211</v>
      </c>
      <c r="C299" t="str">
        <f>"003"</f>
        <v>003</v>
      </c>
      <c r="D299">
        <v>2007</v>
      </c>
      <c r="E299" s="1">
        <v>122400</v>
      </c>
      <c r="F299" s="1">
        <v>-100400</v>
      </c>
      <c r="G299" s="1" t="s">
        <v>48</v>
      </c>
      <c r="H299" s="1" t="s">
        <v>38</v>
      </c>
      <c r="I299" t="s">
        <v>13</v>
      </c>
      <c r="J299" t="s">
        <v>13</v>
      </c>
    </row>
    <row r="300" spans="1:11" x14ac:dyDescent="0.35">
      <c r="A300" t="s">
        <v>5</v>
      </c>
      <c r="B300" t="str">
        <f>"03211"</f>
        <v>03211</v>
      </c>
      <c r="C300" t="str">
        <f>"004"</f>
        <v>004</v>
      </c>
      <c r="D300">
        <v>2020</v>
      </c>
      <c r="E300" s="1">
        <v>4137700</v>
      </c>
      <c r="F300" s="1">
        <v>459900</v>
      </c>
      <c r="G300" s="1" t="s">
        <v>11</v>
      </c>
      <c r="H300" s="1" t="s">
        <v>38</v>
      </c>
      <c r="I300" t="s">
        <v>13</v>
      </c>
      <c r="J300" t="s">
        <v>13</v>
      </c>
    </row>
    <row r="301" spans="1:11" x14ac:dyDescent="0.35">
      <c r="A301" t="s">
        <v>39</v>
      </c>
      <c r="B301" t="s">
        <v>13</v>
      </c>
      <c r="C301" t="s">
        <v>7</v>
      </c>
      <c r="D301" t="s">
        <v>8</v>
      </c>
      <c r="E301" s="1">
        <v>4260100</v>
      </c>
      <c r="F301" s="1">
        <v>459900</v>
      </c>
      <c r="G301" s="1" t="s">
        <v>11</v>
      </c>
      <c r="H301" s="1">
        <v>177601300</v>
      </c>
      <c r="I301" t="s">
        <v>13</v>
      </c>
      <c r="J301" t="s">
        <v>13</v>
      </c>
      <c r="K301">
        <v>0.26</v>
      </c>
    </row>
    <row r="302" spans="1:11" x14ac:dyDescent="0.35">
      <c r="E302" s="1"/>
      <c r="F302" s="1"/>
      <c r="G302" s="1"/>
      <c r="H302" s="1"/>
    </row>
    <row r="303" spans="1:11" x14ac:dyDescent="0.35">
      <c r="A303" t="s">
        <v>104</v>
      </c>
      <c r="B303" t="str">
        <f>"08211"</f>
        <v>08211</v>
      </c>
      <c r="C303" t="str">
        <f>"004"</f>
        <v>004</v>
      </c>
      <c r="D303">
        <v>2005</v>
      </c>
      <c r="E303" s="1">
        <v>5446000</v>
      </c>
      <c r="F303" s="1">
        <v>3289700</v>
      </c>
      <c r="G303" s="1" t="s">
        <v>11</v>
      </c>
      <c r="H303" s="1" t="s">
        <v>38</v>
      </c>
      <c r="I303" t="s">
        <v>13</v>
      </c>
      <c r="J303" t="s">
        <v>13</v>
      </c>
    </row>
    <row r="304" spans="1:11" x14ac:dyDescent="0.35">
      <c r="A304" t="s">
        <v>5</v>
      </c>
      <c r="B304" t="str">
        <f>"08211"</f>
        <v>08211</v>
      </c>
      <c r="C304" t="str">
        <f>"006"</f>
        <v>006</v>
      </c>
      <c r="D304">
        <v>2017</v>
      </c>
      <c r="E304" s="1">
        <v>8211700</v>
      </c>
      <c r="F304" s="1">
        <v>7395800</v>
      </c>
      <c r="G304" s="1" t="s">
        <v>11</v>
      </c>
      <c r="H304" s="1" t="s">
        <v>38</v>
      </c>
      <c r="I304" t="s">
        <v>13</v>
      </c>
      <c r="J304" t="s">
        <v>13</v>
      </c>
    </row>
    <row r="305" spans="1:11" x14ac:dyDescent="0.35">
      <c r="A305" t="s">
        <v>5</v>
      </c>
      <c r="B305" t="str">
        <f>"08211"</f>
        <v>08211</v>
      </c>
      <c r="C305" t="str">
        <f>"007"</f>
        <v>007</v>
      </c>
      <c r="D305">
        <v>2017</v>
      </c>
      <c r="E305" s="1">
        <v>404400</v>
      </c>
      <c r="F305" s="1">
        <v>358600</v>
      </c>
      <c r="G305" s="1" t="s">
        <v>11</v>
      </c>
      <c r="H305" s="1" t="s">
        <v>38</v>
      </c>
      <c r="I305" t="s">
        <v>13</v>
      </c>
      <c r="J305" t="s">
        <v>13</v>
      </c>
    </row>
    <row r="306" spans="1:11" x14ac:dyDescent="0.35">
      <c r="A306" t="s">
        <v>5</v>
      </c>
      <c r="B306" t="str">
        <f>"08211"</f>
        <v>08211</v>
      </c>
      <c r="C306" t="str">
        <f>"008"</f>
        <v>008</v>
      </c>
      <c r="D306">
        <v>2020</v>
      </c>
      <c r="E306" s="1">
        <v>3251800</v>
      </c>
      <c r="F306" s="1">
        <v>1425800</v>
      </c>
      <c r="G306" s="1" t="s">
        <v>11</v>
      </c>
      <c r="H306" s="1" t="s">
        <v>38</v>
      </c>
      <c r="I306" t="s">
        <v>13</v>
      </c>
      <c r="J306" t="s">
        <v>13</v>
      </c>
    </row>
    <row r="307" spans="1:11" x14ac:dyDescent="0.35">
      <c r="A307" t="s">
        <v>39</v>
      </c>
      <c r="B307" t="s">
        <v>13</v>
      </c>
      <c r="C307" t="s">
        <v>7</v>
      </c>
      <c r="D307" t="s">
        <v>8</v>
      </c>
      <c r="E307" s="1">
        <v>17313900</v>
      </c>
      <c r="F307" s="1">
        <v>12469900</v>
      </c>
      <c r="G307" s="1" t="s">
        <v>11</v>
      </c>
      <c r="H307" s="1">
        <v>312809600</v>
      </c>
      <c r="I307" t="s">
        <v>13</v>
      </c>
      <c r="J307" t="s">
        <v>13</v>
      </c>
      <c r="K307">
        <v>3.99</v>
      </c>
    </row>
    <row r="308" spans="1:11" x14ac:dyDescent="0.35">
      <c r="E308" s="1"/>
      <c r="F308" s="1"/>
      <c r="G308" s="1"/>
      <c r="H308" s="1"/>
    </row>
    <row r="309" spans="1:11" x14ac:dyDescent="0.35">
      <c r="A309" t="s">
        <v>105</v>
      </c>
      <c r="B309" t="str">
        <f t="shared" ref="B309:B317" si="2">"09211"</f>
        <v>09211</v>
      </c>
      <c r="C309" t="str">
        <f>"005"</f>
        <v>005</v>
      </c>
      <c r="D309">
        <v>1998</v>
      </c>
      <c r="E309" s="1">
        <v>69811900</v>
      </c>
      <c r="F309" s="1">
        <v>33918500</v>
      </c>
      <c r="G309" s="1" t="s">
        <v>11</v>
      </c>
      <c r="H309" s="1" t="s">
        <v>38</v>
      </c>
      <c r="I309" t="s">
        <v>13</v>
      </c>
      <c r="J309" t="s">
        <v>13</v>
      </c>
    </row>
    <row r="310" spans="1:11" x14ac:dyDescent="0.35">
      <c r="A310" t="s">
        <v>5</v>
      </c>
      <c r="B310" t="str">
        <f t="shared" si="2"/>
        <v>09211</v>
      </c>
      <c r="C310" t="str">
        <f>"007"</f>
        <v>007</v>
      </c>
      <c r="D310">
        <v>2001</v>
      </c>
      <c r="E310" s="1">
        <v>6098500</v>
      </c>
      <c r="F310" s="1">
        <v>4596900</v>
      </c>
      <c r="G310" s="1" t="s">
        <v>11</v>
      </c>
      <c r="H310" s="1" t="s">
        <v>38</v>
      </c>
      <c r="I310" t="s">
        <v>13</v>
      </c>
      <c r="J310" t="s">
        <v>13</v>
      </c>
    </row>
    <row r="311" spans="1:11" x14ac:dyDescent="0.35">
      <c r="A311" t="s">
        <v>5</v>
      </c>
      <c r="B311" t="str">
        <f t="shared" si="2"/>
        <v>09211</v>
      </c>
      <c r="C311" t="str">
        <f>"008"</f>
        <v>008</v>
      </c>
      <c r="D311">
        <v>2002</v>
      </c>
      <c r="E311" s="1">
        <v>2505200</v>
      </c>
      <c r="F311" s="1">
        <v>2066200</v>
      </c>
      <c r="G311" s="1" t="s">
        <v>11</v>
      </c>
      <c r="H311" s="1" t="s">
        <v>38</v>
      </c>
      <c r="I311" t="s">
        <v>13</v>
      </c>
      <c r="J311" t="s">
        <v>13</v>
      </c>
    </row>
    <row r="312" spans="1:11" x14ac:dyDescent="0.35">
      <c r="A312" t="s">
        <v>5</v>
      </c>
      <c r="B312" t="str">
        <f t="shared" si="2"/>
        <v>09211</v>
      </c>
      <c r="C312" t="str">
        <f>"010"</f>
        <v>010</v>
      </c>
      <c r="D312">
        <v>2005</v>
      </c>
      <c r="E312" s="1">
        <v>2037900</v>
      </c>
      <c r="F312" s="1">
        <v>2037900</v>
      </c>
      <c r="G312" s="1" t="s">
        <v>11</v>
      </c>
      <c r="H312" s="1" t="s">
        <v>38</v>
      </c>
      <c r="I312" t="s">
        <v>13</v>
      </c>
      <c r="J312" t="s">
        <v>13</v>
      </c>
    </row>
    <row r="313" spans="1:11" x14ac:dyDescent="0.35">
      <c r="A313" t="s">
        <v>5</v>
      </c>
      <c r="B313" t="str">
        <f t="shared" si="2"/>
        <v>09211</v>
      </c>
      <c r="C313" t="str">
        <f>"011"</f>
        <v>011</v>
      </c>
      <c r="D313">
        <v>2008</v>
      </c>
      <c r="E313" s="1">
        <v>28902500</v>
      </c>
      <c r="F313" s="1">
        <v>28823000</v>
      </c>
      <c r="G313" s="1" t="s">
        <v>11</v>
      </c>
      <c r="H313" s="1" t="s">
        <v>38</v>
      </c>
      <c r="I313" t="s">
        <v>13</v>
      </c>
      <c r="J313" t="s">
        <v>13</v>
      </c>
    </row>
    <row r="314" spans="1:11" x14ac:dyDescent="0.35">
      <c r="A314" t="s">
        <v>5</v>
      </c>
      <c r="B314" t="str">
        <f t="shared" si="2"/>
        <v>09211</v>
      </c>
      <c r="C314" t="str">
        <f>"012"</f>
        <v>012</v>
      </c>
      <c r="D314">
        <v>2012</v>
      </c>
      <c r="E314" s="1">
        <v>10784200</v>
      </c>
      <c r="F314" s="1">
        <v>5397500</v>
      </c>
      <c r="G314" s="1" t="s">
        <v>11</v>
      </c>
      <c r="H314" s="1" t="s">
        <v>38</v>
      </c>
      <c r="I314" t="s">
        <v>13</v>
      </c>
      <c r="J314" t="s">
        <v>13</v>
      </c>
    </row>
    <row r="315" spans="1:11" x14ac:dyDescent="0.35">
      <c r="A315" t="s">
        <v>5</v>
      </c>
      <c r="B315" t="str">
        <f t="shared" si="2"/>
        <v>09211</v>
      </c>
      <c r="C315" t="str">
        <f>"013"</f>
        <v>013</v>
      </c>
      <c r="D315">
        <v>2015</v>
      </c>
      <c r="E315" s="1">
        <v>7156600</v>
      </c>
      <c r="F315" s="1">
        <v>3653600</v>
      </c>
      <c r="G315" s="1" t="s">
        <v>11</v>
      </c>
      <c r="H315" s="1" t="s">
        <v>38</v>
      </c>
      <c r="I315" t="s">
        <v>13</v>
      </c>
      <c r="J315" t="s">
        <v>13</v>
      </c>
    </row>
    <row r="316" spans="1:11" x14ac:dyDescent="0.35">
      <c r="A316" t="s">
        <v>5</v>
      </c>
      <c r="B316" t="str">
        <f t="shared" si="2"/>
        <v>09211</v>
      </c>
      <c r="C316" t="str">
        <f>"014"</f>
        <v>014</v>
      </c>
      <c r="D316">
        <v>2015</v>
      </c>
      <c r="E316" s="1">
        <v>82150400</v>
      </c>
      <c r="F316" s="1">
        <v>82150400</v>
      </c>
      <c r="G316" s="1" t="s">
        <v>11</v>
      </c>
      <c r="H316" s="1" t="s">
        <v>38</v>
      </c>
      <c r="I316" t="s">
        <v>13</v>
      </c>
      <c r="J316" t="s">
        <v>13</v>
      </c>
    </row>
    <row r="317" spans="1:11" x14ac:dyDescent="0.35">
      <c r="A317" t="s">
        <v>5</v>
      </c>
      <c r="B317" t="str">
        <f t="shared" si="2"/>
        <v>09211</v>
      </c>
      <c r="C317" t="str">
        <f>"015"</f>
        <v>015</v>
      </c>
      <c r="D317">
        <v>2018</v>
      </c>
      <c r="E317" s="1">
        <v>2186300</v>
      </c>
      <c r="F317" s="1">
        <v>301200</v>
      </c>
      <c r="G317" s="1" t="s">
        <v>11</v>
      </c>
      <c r="H317" s="1" t="s">
        <v>38</v>
      </c>
      <c r="I317" t="s">
        <v>13</v>
      </c>
      <c r="J317" t="s">
        <v>13</v>
      </c>
    </row>
    <row r="318" spans="1:11" x14ac:dyDescent="0.35">
      <c r="A318" t="s">
        <v>39</v>
      </c>
      <c r="B318" t="s">
        <v>13</v>
      </c>
      <c r="C318" t="s">
        <v>7</v>
      </c>
      <c r="D318" t="s">
        <v>8</v>
      </c>
      <c r="E318" s="1">
        <v>211633500</v>
      </c>
      <c r="F318" s="1">
        <v>162945200</v>
      </c>
      <c r="G318" s="1" t="s">
        <v>11</v>
      </c>
      <c r="H318" s="1">
        <v>1283104300</v>
      </c>
      <c r="I318" t="s">
        <v>13</v>
      </c>
      <c r="J318" t="s">
        <v>13</v>
      </c>
      <c r="K318">
        <v>12.7</v>
      </c>
    </row>
    <row r="319" spans="1:11" x14ac:dyDescent="0.35">
      <c r="E319" s="1"/>
      <c r="F319" s="1"/>
      <c r="G319" s="1"/>
      <c r="H319" s="1"/>
    </row>
    <row r="320" spans="1:11" x14ac:dyDescent="0.35">
      <c r="A320" t="s">
        <v>106</v>
      </c>
      <c r="B320" t="str">
        <f>"70006"</f>
        <v>70006</v>
      </c>
      <c r="C320" t="str">
        <f>"001A"</f>
        <v>001A</v>
      </c>
      <c r="D320">
        <v>2019</v>
      </c>
      <c r="E320" s="1">
        <v>54566400</v>
      </c>
      <c r="F320" s="1">
        <v>4844700</v>
      </c>
      <c r="G320" s="1" t="s">
        <v>11</v>
      </c>
      <c r="H320" s="1" t="s">
        <v>38</v>
      </c>
      <c r="I320" t="s">
        <v>13</v>
      </c>
      <c r="J320" t="s">
        <v>13</v>
      </c>
    </row>
    <row r="321" spans="1:11" x14ac:dyDescent="0.35">
      <c r="A321" t="s">
        <v>39</v>
      </c>
      <c r="B321" t="s">
        <v>13</v>
      </c>
      <c r="C321" t="s">
        <v>7</v>
      </c>
      <c r="D321" t="s">
        <v>8</v>
      </c>
      <c r="E321" s="1">
        <v>54566400</v>
      </c>
      <c r="F321" s="1">
        <v>4844700</v>
      </c>
      <c r="G321" s="1" t="s">
        <v>11</v>
      </c>
      <c r="H321" s="1">
        <v>606581900</v>
      </c>
      <c r="I321" t="s">
        <v>13</v>
      </c>
      <c r="J321" t="s">
        <v>13</v>
      </c>
      <c r="K321">
        <v>0.8</v>
      </c>
    </row>
    <row r="322" spans="1:11" x14ac:dyDescent="0.35">
      <c r="A322" t="s">
        <v>106</v>
      </c>
      <c r="B322" t="str">
        <f>"48112"</f>
        <v>48112</v>
      </c>
      <c r="C322" t="str">
        <f>"002"</f>
        <v>002</v>
      </c>
      <c r="D322">
        <v>1999</v>
      </c>
      <c r="E322" s="1">
        <v>1389300</v>
      </c>
      <c r="F322" s="1">
        <v>1372600</v>
      </c>
      <c r="G322" s="1" t="s">
        <v>11</v>
      </c>
      <c r="H322" s="1" t="s">
        <v>38</v>
      </c>
      <c r="I322" t="s">
        <v>13</v>
      </c>
      <c r="J322" t="s">
        <v>13</v>
      </c>
    </row>
    <row r="323" spans="1:11" x14ac:dyDescent="0.35">
      <c r="A323" t="s">
        <v>5</v>
      </c>
      <c r="B323" t="str">
        <f>"48112"</f>
        <v>48112</v>
      </c>
      <c r="C323" t="str">
        <f>"003"</f>
        <v>003</v>
      </c>
      <c r="D323">
        <v>2020</v>
      </c>
      <c r="E323" s="1">
        <v>1816500</v>
      </c>
      <c r="F323" s="1">
        <v>58400</v>
      </c>
      <c r="G323" s="1" t="s">
        <v>11</v>
      </c>
      <c r="H323" s="1" t="s">
        <v>38</v>
      </c>
      <c r="I323" t="s">
        <v>13</v>
      </c>
      <c r="J323" t="s">
        <v>13</v>
      </c>
    </row>
    <row r="324" spans="1:11" x14ac:dyDescent="0.35">
      <c r="A324" t="s">
        <v>39</v>
      </c>
      <c r="B324" t="s">
        <v>13</v>
      </c>
      <c r="C324" t="s">
        <v>7</v>
      </c>
      <c r="D324" t="s">
        <v>8</v>
      </c>
      <c r="E324" s="1">
        <v>3205800</v>
      </c>
      <c r="F324" s="1">
        <v>1431000</v>
      </c>
      <c r="G324" s="1" t="s">
        <v>11</v>
      </c>
      <c r="H324" s="1">
        <v>28381900</v>
      </c>
      <c r="I324" t="s">
        <v>13</v>
      </c>
      <c r="J324" t="s">
        <v>13</v>
      </c>
      <c r="K324">
        <v>5.04</v>
      </c>
    </row>
    <row r="325" spans="1:11" x14ac:dyDescent="0.35">
      <c r="E325" s="1"/>
      <c r="F325" s="1"/>
      <c r="G325" s="1"/>
      <c r="H325" s="1"/>
    </row>
    <row r="326" spans="1:11" x14ac:dyDescent="0.35">
      <c r="A326" t="s">
        <v>107</v>
      </c>
      <c r="B326" t="str">
        <f>"48113"</f>
        <v>48113</v>
      </c>
      <c r="C326" t="str">
        <f>"003"</f>
        <v>003</v>
      </c>
      <c r="D326">
        <v>2003</v>
      </c>
      <c r="E326" s="1">
        <v>12229300</v>
      </c>
      <c r="F326" s="1">
        <v>10115700</v>
      </c>
      <c r="G326" s="1" t="s">
        <v>11</v>
      </c>
      <c r="H326" s="1" t="s">
        <v>38</v>
      </c>
      <c r="I326" t="s">
        <v>13</v>
      </c>
      <c r="J326" t="s">
        <v>13</v>
      </c>
    </row>
    <row r="327" spans="1:11" x14ac:dyDescent="0.35">
      <c r="A327" t="s">
        <v>39</v>
      </c>
      <c r="B327" t="s">
        <v>13</v>
      </c>
      <c r="C327" t="s">
        <v>7</v>
      </c>
      <c r="D327" t="s">
        <v>8</v>
      </c>
      <c r="E327" s="1">
        <v>12229300</v>
      </c>
      <c r="F327" s="1">
        <v>10115700</v>
      </c>
      <c r="G327" s="1" t="s">
        <v>11</v>
      </c>
      <c r="H327" s="1">
        <v>82193400</v>
      </c>
      <c r="I327" t="s">
        <v>13</v>
      </c>
      <c r="J327" t="s">
        <v>13</v>
      </c>
      <c r="K327">
        <v>12.31</v>
      </c>
    </row>
    <row r="328" spans="1:11" x14ac:dyDescent="0.35">
      <c r="E328" s="1"/>
      <c r="F328" s="1"/>
      <c r="G328" s="1"/>
      <c r="H328" s="1"/>
    </row>
    <row r="329" spans="1:11" x14ac:dyDescent="0.35">
      <c r="A329" t="s">
        <v>108</v>
      </c>
      <c r="B329" t="str">
        <f>"53111"</f>
        <v>53111</v>
      </c>
      <c r="C329" t="str">
        <f>"004"</f>
        <v>004</v>
      </c>
      <c r="D329">
        <v>1998</v>
      </c>
      <c r="E329" s="1">
        <v>48787900</v>
      </c>
      <c r="F329" s="1">
        <v>30980600</v>
      </c>
      <c r="G329" s="1" t="s">
        <v>11</v>
      </c>
      <c r="H329" s="1" t="s">
        <v>38</v>
      </c>
      <c r="I329" t="s">
        <v>13</v>
      </c>
      <c r="J329" t="s">
        <v>13</v>
      </c>
    </row>
    <row r="330" spans="1:11" x14ac:dyDescent="0.35">
      <c r="A330" t="s">
        <v>39</v>
      </c>
      <c r="B330" t="s">
        <v>13</v>
      </c>
      <c r="C330" t="s">
        <v>7</v>
      </c>
      <c r="D330" t="s">
        <v>8</v>
      </c>
      <c r="E330" s="1">
        <v>48787900</v>
      </c>
      <c r="F330" s="1">
        <v>30980600</v>
      </c>
      <c r="G330" s="1" t="s">
        <v>11</v>
      </c>
      <c r="H330" s="1">
        <v>158469700</v>
      </c>
      <c r="I330" t="s">
        <v>13</v>
      </c>
      <c r="J330" t="s">
        <v>13</v>
      </c>
      <c r="K330">
        <v>19.55</v>
      </c>
    </row>
    <row r="331" spans="1:11" x14ac:dyDescent="0.35">
      <c r="E331" s="1"/>
      <c r="F331" s="1"/>
      <c r="G331" s="1"/>
      <c r="H331" s="1"/>
    </row>
    <row r="332" spans="1:11" x14ac:dyDescent="0.35">
      <c r="A332" t="s">
        <v>109</v>
      </c>
      <c r="B332" t="str">
        <f>"68211"</f>
        <v>68211</v>
      </c>
      <c r="C332" t="str">
        <f>"008"</f>
        <v>008</v>
      </c>
      <c r="D332">
        <v>2018</v>
      </c>
      <c r="E332" s="1">
        <v>4427000</v>
      </c>
      <c r="F332" s="1">
        <v>3645800</v>
      </c>
      <c r="G332" s="1" t="s">
        <v>11</v>
      </c>
      <c r="H332" s="1" t="s">
        <v>38</v>
      </c>
      <c r="I332" t="s">
        <v>13</v>
      </c>
      <c r="J332" t="s">
        <v>13</v>
      </c>
    </row>
    <row r="333" spans="1:11" x14ac:dyDescent="0.35">
      <c r="A333" t="s">
        <v>5</v>
      </c>
      <c r="B333" t="str">
        <f>"68211"</f>
        <v>68211</v>
      </c>
      <c r="C333" t="str">
        <f>"009"</f>
        <v>009</v>
      </c>
      <c r="D333">
        <v>2018</v>
      </c>
      <c r="E333" s="1">
        <v>7060100</v>
      </c>
      <c r="F333" s="1">
        <v>2429800</v>
      </c>
      <c r="G333" s="1" t="s">
        <v>11</v>
      </c>
      <c r="H333" s="1" t="s">
        <v>38</v>
      </c>
      <c r="I333" t="s">
        <v>13</v>
      </c>
      <c r="J333" t="s">
        <v>13</v>
      </c>
    </row>
    <row r="334" spans="1:11" x14ac:dyDescent="0.35">
      <c r="A334" t="s">
        <v>39</v>
      </c>
      <c r="B334" t="s">
        <v>13</v>
      </c>
      <c r="C334" t="s">
        <v>7</v>
      </c>
      <c r="D334" t="s">
        <v>8</v>
      </c>
      <c r="E334" s="1">
        <v>11487100</v>
      </c>
      <c r="F334" s="1">
        <v>6075600</v>
      </c>
      <c r="G334" s="1" t="s">
        <v>11</v>
      </c>
      <c r="H334" s="1">
        <v>260825400</v>
      </c>
      <c r="I334" t="s">
        <v>13</v>
      </c>
      <c r="J334" t="s">
        <v>13</v>
      </c>
      <c r="K334">
        <v>2.33</v>
      </c>
    </row>
    <row r="335" spans="1:11" x14ac:dyDescent="0.35">
      <c r="E335" s="1"/>
      <c r="F335" s="1"/>
      <c r="G335" s="1"/>
      <c r="H335" s="1"/>
    </row>
    <row r="336" spans="1:11" x14ac:dyDescent="0.35">
      <c r="A336" t="s">
        <v>110</v>
      </c>
      <c r="B336" t="str">
        <f>"06111"</f>
        <v>06111</v>
      </c>
      <c r="C336" t="str">
        <f>"001"</f>
        <v>001</v>
      </c>
      <c r="D336">
        <v>2019</v>
      </c>
      <c r="E336" s="1">
        <v>7518500</v>
      </c>
      <c r="F336" s="1">
        <v>5529800</v>
      </c>
      <c r="G336" s="1" t="s">
        <v>11</v>
      </c>
      <c r="H336" s="1" t="s">
        <v>38</v>
      </c>
      <c r="I336" t="s">
        <v>13</v>
      </c>
      <c r="J336" t="s">
        <v>13</v>
      </c>
    </row>
    <row r="337" spans="1:11" x14ac:dyDescent="0.35">
      <c r="A337" t="s">
        <v>39</v>
      </c>
      <c r="B337" t="s">
        <v>13</v>
      </c>
      <c r="C337" t="s">
        <v>7</v>
      </c>
      <c r="D337" t="s">
        <v>8</v>
      </c>
      <c r="E337" s="1">
        <v>7518500</v>
      </c>
      <c r="F337" s="1">
        <v>5529800</v>
      </c>
      <c r="G337" s="1" t="s">
        <v>11</v>
      </c>
      <c r="H337" s="1">
        <v>33542800</v>
      </c>
      <c r="I337" t="s">
        <v>13</v>
      </c>
      <c r="J337" t="s">
        <v>13</v>
      </c>
      <c r="K337">
        <v>16.489999999999998</v>
      </c>
    </row>
    <row r="338" spans="1:11" x14ac:dyDescent="0.35">
      <c r="E338" s="1"/>
      <c r="F338" s="1"/>
      <c r="G338" s="1"/>
      <c r="H338" s="1"/>
    </row>
    <row r="339" spans="1:11" x14ac:dyDescent="0.35">
      <c r="A339" t="s">
        <v>111</v>
      </c>
      <c r="B339" t="str">
        <f>"38111"</f>
        <v>38111</v>
      </c>
      <c r="C339" t="str">
        <f>"001"</f>
        <v>001</v>
      </c>
      <c r="D339">
        <v>2005</v>
      </c>
      <c r="E339" s="1">
        <v>7383700</v>
      </c>
      <c r="F339" s="1">
        <v>4779600</v>
      </c>
      <c r="G339" s="1" t="s">
        <v>11</v>
      </c>
      <c r="H339" s="1" t="s">
        <v>38</v>
      </c>
      <c r="I339" t="s">
        <v>13</v>
      </c>
      <c r="J339" t="s">
        <v>13</v>
      </c>
    </row>
    <row r="340" spans="1:11" x14ac:dyDescent="0.35">
      <c r="A340" t="s">
        <v>5</v>
      </c>
      <c r="B340" t="str">
        <f>"38111"</f>
        <v>38111</v>
      </c>
      <c r="C340" t="str">
        <f>"002"</f>
        <v>002</v>
      </c>
      <c r="D340">
        <v>2017</v>
      </c>
      <c r="E340" s="1">
        <v>2593100</v>
      </c>
      <c r="F340" s="1">
        <v>2161200</v>
      </c>
      <c r="G340" s="1" t="s">
        <v>11</v>
      </c>
      <c r="H340" s="1" t="s">
        <v>38</v>
      </c>
      <c r="I340" t="s">
        <v>13</v>
      </c>
      <c r="J340" t="s">
        <v>13</v>
      </c>
    </row>
    <row r="341" spans="1:11" x14ac:dyDescent="0.35">
      <c r="A341" t="s">
        <v>5</v>
      </c>
      <c r="B341" t="str">
        <f>"38111"</f>
        <v>38111</v>
      </c>
      <c r="C341" t="str">
        <f>"003"</f>
        <v>003</v>
      </c>
      <c r="D341">
        <v>2018</v>
      </c>
      <c r="E341" s="1">
        <v>224300</v>
      </c>
      <c r="F341" s="1">
        <v>108500</v>
      </c>
      <c r="G341" s="1" t="s">
        <v>11</v>
      </c>
      <c r="H341" s="1" t="s">
        <v>38</v>
      </c>
      <c r="I341" t="s">
        <v>13</v>
      </c>
      <c r="J341" t="s">
        <v>13</v>
      </c>
    </row>
    <row r="342" spans="1:11" x14ac:dyDescent="0.35">
      <c r="A342" t="s">
        <v>39</v>
      </c>
      <c r="B342" t="s">
        <v>13</v>
      </c>
      <c r="C342" t="s">
        <v>7</v>
      </c>
      <c r="D342" t="s">
        <v>8</v>
      </c>
      <c r="E342" s="1">
        <v>10201100</v>
      </c>
      <c r="F342" s="1">
        <v>7049300</v>
      </c>
      <c r="G342" s="1" t="s">
        <v>11</v>
      </c>
      <c r="H342" s="1">
        <v>55344600</v>
      </c>
      <c r="I342" t="s">
        <v>13</v>
      </c>
      <c r="J342" t="s">
        <v>13</v>
      </c>
      <c r="K342">
        <v>12.74</v>
      </c>
    </row>
    <row r="343" spans="1:11" x14ac:dyDescent="0.35">
      <c r="E343" s="1"/>
      <c r="F343" s="1"/>
      <c r="G343" s="1"/>
      <c r="H343" s="1"/>
    </row>
    <row r="344" spans="1:11" x14ac:dyDescent="0.35">
      <c r="A344" t="s">
        <v>112</v>
      </c>
      <c r="B344" t="str">
        <f>"17111"</f>
        <v>17111</v>
      </c>
      <c r="C344" t="str">
        <f>"003"</f>
        <v>003</v>
      </c>
      <c r="D344">
        <v>2002</v>
      </c>
      <c r="E344" s="1">
        <v>8648700</v>
      </c>
      <c r="F344" s="1">
        <v>4211800</v>
      </c>
      <c r="G344" s="1" t="s">
        <v>11</v>
      </c>
      <c r="H344" s="1" t="s">
        <v>38</v>
      </c>
      <c r="I344" t="s">
        <v>13</v>
      </c>
      <c r="J344" t="s">
        <v>13</v>
      </c>
    </row>
    <row r="345" spans="1:11" x14ac:dyDescent="0.35">
      <c r="A345" t="s">
        <v>5</v>
      </c>
      <c r="B345" t="str">
        <f>"17111"</f>
        <v>17111</v>
      </c>
      <c r="C345" t="str">
        <f>"004"</f>
        <v>004</v>
      </c>
      <c r="D345">
        <v>2006</v>
      </c>
      <c r="E345" s="1">
        <v>4161500</v>
      </c>
      <c r="F345" s="1">
        <v>2284900</v>
      </c>
      <c r="G345" s="1" t="s">
        <v>11</v>
      </c>
      <c r="H345" s="1" t="s">
        <v>38</v>
      </c>
      <c r="I345" t="s">
        <v>13</v>
      </c>
      <c r="J345" t="s">
        <v>13</v>
      </c>
    </row>
    <row r="346" spans="1:11" x14ac:dyDescent="0.35">
      <c r="A346" t="s">
        <v>39</v>
      </c>
      <c r="B346" t="s">
        <v>13</v>
      </c>
      <c r="C346" t="s">
        <v>7</v>
      </c>
      <c r="D346" t="s">
        <v>8</v>
      </c>
      <c r="E346" s="1">
        <v>12810200</v>
      </c>
      <c r="F346" s="1">
        <v>6496700</v>
      </c>
      <c r="G346" s="1" t="s">
        <v>11</v>
      </c>
      <c r="H346" s="1">
        <v>63189400</v>
      </c>
      <c r="I346" t="s">
        <v>13</v>
      </c>
      <c r="J346" t="s">
        <v>13</v>
      </c>
      <c r="K346">
        <v>10.28</v>
      </c>
    </row>
    <row r="347" spans="1:11" x14ac:dyDescent="0.35">
      <c r="E347" s="1"/>
      <c r="F347" s="1"/>
      <c r="G347" s="1"/>
      <c r="H347" s="1"/>
    </row>
    <row r="348" spans="1:11" x14ac:dyDescent="0.35">
      <c r="A348" t="s">
        <v>113</v>
      </c>
      <c r="B348" t="str">
        <f>"69111"</f>
        <v>69111</v>
      </c>
      <c r="C348" t="str">
        <f>"002"</f>
        <v>002</v>
      </c>
      <c r="D348">
        <v>2005</v>
      </c>
      <c r="E348" s="1">
        <v>5332800</v>
      </c>
      <c r="F348" s="1">
        <v>4089700</v>
      </c>
      <c r="G348" s="1" t="s">
        <v>11</v>
      </c>
      <c r="H348" s="1" t="s">
        <v>38</v>
      </c>
      <c r="I348" t="s">
        <v>13</v>
      </c>
      <c r="J348" t="s">
        <v>13</v>
      </c>
    </row>
    <row r="349" spans="1:11" x14ac:dyDescent="0.35">
      <c r="A349" t="s">
        <v>39</v>
      </c>
      <c r="B349" t="s">
        <v>13</v>
      </c>
      <c r="C349" t="s">
        <v>7</v>
      </c>
      <c r="D349" t="s">
        <v>8</v>
      </c>
      <c r="E349" s="1">
        <v>5332800</v>
      </c>
      <c r="F349" s="1">
        <v>4089700</v>
      </c>
      <c r="G349" s="1" t="s">
        <v>11</v>
      </c>
      <c r="H349" s="1">
        <v>32549500</v>
      </c>
      <c r="I349" t="s">
        <v>13</v>
      </c>
      <c r="J349" t="s">
        <v>13</v>
      </c>
      <c r="K349">
        <v>12.56</v>
      </c>
    </row>
    <row r="350" spans="1:11" x14ac:dyDescent="0.35">
      <c r="E350" s="1"/>
      <c r="F350" s="1"/>
      <c r="G350" s="1"/>
      <c r="H350" s="1"/>
    </row>
    <row r="351" spans="1:11" x14ac:dyDescent="0.35">
      <c r="A351" t="s">
        <v>114</v>
      </c>
      <c r="B351" t="str">
        <f>"11211"</f>
        <v>11211</v>
      </c>
      <c r="C351" t="str">
        <f>"003"</f>
        <v>003</v>
      </c>
      <c r="D351">
        <v>1995</v>
      </c>
      <c r="E351" s="1">
        <v>27504700</v>
      </c>
      <c r="F351" s="1">
        <v>23923500</v>
      </c>
      <c r="G351" s="1" t="s">
        <v>11</v>
      </c>
      <c r="H351" s="1" t="s">
        <v>38</v>
      </c>
      <c r="I351" t="s">
        <v>13</v>
      </c>
      <c r="J351" t="s">
        <v>13</v>
      </c>
    </row>
    <row r="352" spans="1:11" x14ac:dyDescent="0.35">
      <c r="A352" t="s">
        <v>5</v>
      </c>
      <c r="B352" t="str">
        <f>"11211"</f>
        <v>11211</v>
      </c>
      <c r="C352" t="str">
        <f>"004"</f>
        <v>004</v>
      </c>
      <c r="D352">
        <v>2015</v>
      </c>
      <c r="E352" s="1">
        <v>19928800</v>
      </c>
      <c r="F352" s="1">
        <v>16804700</v>
      </c>
      <c r="G352" s="1" t="s">
        <v>11</v>
      </c>
      <c r="H352" s="1" t="s">
        <v>38</v>
      </c>
      <c r="I352" t="s">
        <v>13</v>
      </c>
      <c r="J352" t="s">
        <v>13</v>
      </c>
    </row>
    <row r="353" spans="1:11" x14ac:dyDescent="0.35">
      <c r="A353" t="s">
        <v>5</v>
      </c>
      <c r="B353" t="str">
        <f>"11211"</f>
        <v>11211</v>
      </c>
      <c r="C353" t="str">
        <f>"005"</f>
        <v>005</v>
      </c>
      <c r="D353">
        <v>2019</v>
      </c>
      <c r="E353" s="1">
        <v>4032200</v>
      </c>
      <c r="F353" s="1">
        <v>-283400</v>
      </c>
      <c r="G353" s="1" t="s">
        <v>48</v>
      </c>
      <c r="H353" s="1" t="s">
        <v>38</v>
      </c>
      <c r="I353" t="s">
        <v>13</v>
      </c>
      <c r="J353" t="s">
        <v>13</v>
      </c>
    </row>
    <row r="354" spans="1:11" x14ac:dyDescent="0.35">
      <c r="A354" t="s">
        <v>39</v>
      </c>
      <c r="B354" t="s">
        <v>13</v>
      </c>
      <c r="C354" t="s">
        <v>7</v>
      </c>
      <c r="D354" t="s">
        <v>8</v>
      </c>
      <c r="E354" s="1">
        <v>51465700</v>
      </c>
      <c r="F354" s="1">
        <v>40728200</v>
      </c>
      <c r="G354" s="1" t="s">
        <v>11</v>
      </c>
      <c r="H354" s="1">
        <v>503897500</v>
      </c>
      <c r="I354" t="s">
        <v>13</v>
      </c>
      <c r="J354" t="s">
        <v>13</v>
      </c>
      <c r="K354">
        <v>8.08</v>
      </c>
    </row>
    <row r="355" spans="1:11" x14ac:dyDescent="0.35">
      <c r="E355" s="1"/>
      <c r="F355" s="1"/>
      <c r="G355" s="1"/>
      <c r="H355" s="1"/>
    </row>
    <row r="356" spans="1:11" x14ac:dyDescent="0.35">
      <c r="A356" t="s">
        <v>115</v>
      </c>
      <c r="B356" t="str">
        <f>"44111"</f>
        <v>44111</v>
      </c>
      <c r="C356" t="str">
        <f>"002"</f>
        <v>002</v>
      </c>
      <c r="D356">
        <v>2015</v>
      </c>
      <c r="E356" s="1">
        <v>14131200</v>
      </c>
      <c r="F356" s="1">
        <v>-1605600</v>
      </c>
      <c r="G356" s="1" t="s">
        <v>48</v>
      </c>
      <c r="H356" s="1" t="s">
        <v>38</v>
      </c>
      <c r="I356" t="s">
        <v>13</v>
      </c>
      <c r="J356" t="s">
        <v>13</v>
      </c>
    </row>
    <row r="357" spans="1:11" x14ac:dyDescent="0.35">
      <c r="A357" t="s">
        <v>5</v>
      </c>
      <c r="B357" t="str">
        <f>"44111"</f>
        <v>44111</v>
      </c>
      <c r="C357" t="str">
        <f>"003"</f>
        <v>003</v>
      </c>
      <c r="D357">
        <v>2019</v>
      </c>
      <c r="E357" s="1">
        <v>4879000</v>
      </c>
      <c r="F357" s="1">
        <v>4803000</v>
      </c>
      <c r="G357" s="1" t="s">
        <v>11</v>
      </c>
      <c r="H357" s="1" t="s">
        <v>38</v>
      </c>
      <c r="I357" t="s">
        <v>13</v>
      </c>
      <c r="J357" t="s">
        <v>13</v>
      </c>
    </row>
    <row r="358" spans="1:11" x14ac:dyDescent="0.35">
      <c r="A358" t="s">
        <v>39</v>
      </c>
      <c r="B358" t="s">
        <v>13</v>
      </c>
      <c r="C358" t="s">
        <v>7</v>
      </c>
      <c r="D358" t="s">
        <v>8</v>
      </c>
      <c r="E358" s="1">
        <v>19010200</v>
      </c>
      <c r="F358" s="1">
        <v>4803000</v>
      </c>
      <c r="G358" s="1" t="s">
        <v>11</v>
      </c>
      <c r="H358" s="1">
        <v>365266100</v>
      </c>
      <c r="I358" t="s">
        <v>13</v>
      </c>
      <c r="J358" t="s">
        <v>13</v>
      </c>
      <c r="K358">
        <v>1.31</v>
      </c>
    </row>
    <row r="359" spans="1:11" x14ac:dyDescent="0.35">
      <c r="E359" s="1"/>
      <c r="F359" s="1"/>
      <c r="G359" s="1"/>
      <c r="H359" s="1"/>
    </row>
    <row r="360" spans="1:11" x14ac:dyDescent="0.35">
      <c r="A360" t="s">
        <v>116</v>
      </c>
      <c r="B360" t="str">
        <f t="shared" ref="B360:B365" si="3">"13112"</f>
        <v>13112</v>
      </c>
      <c r="C360" t="str">
        <f>"005"</f>
        <v>005</v>
      </c>
      <c r="D360">
        <v>2003</v>
      </c>
      <c r="E360" s="1">
        <v>113797000</v>
      </c>
      <c r="F360" s="1">
        <v>110900900</v>
      </c>
      <c r="G360" s="1" t="s">
        <v>11</v>
      </c>
      <c r="H360" s="1" t="s">
        <v>38</v>
      </c>
      <c r="I360" t="s">
        <v>13</v>
      </c>
      <c r="J360" t="s">
        <v>13</v>
      </c>
    </row>
    <row r="361" spans="1:11" x14ac:dyDescent="0.35">
      <c r="A361" t="s">
        <v>5</v>
      </c>
      <c r="B361" t="str">
        <f t="shared" si="3"/>
        <v>13112</v>
      </c>
      <c r="C361" t="str">
        <f>"006"</f>
        <v>006</v>
      </c>
      <c r="D361">
        <v>2005</v>
      </c>
      <c r="E361" s="1">
        <v>8717300</v>
      </c>
      <c r="F361" s="1">
        <v>2648500</v>
      </c>
      <c r="G361" s="1" t="s">
        <v>11</v>
      </c>
      <c r="H361" s="1" t="s">
        <v>38</v>
      </c>
      <c r="I361" t="s">
        <v>13</v>
      </c>
      <c r="J361" t="s">
        <v>13</v>
      </c>
    </row>
    <row r="362" spans="1:11" x14ac:dyDescent="0.35">
      <c r="A362" t="s">
        <v>5</v>
      </c>
      <c r="B362" t="str">
        <f t="shared" si="3"/>
        <v>13112</v>
      </c>
      <c r="C362" t="str">
        <f>"007"</f>
        <v>007</v>
      </c>
      <c r="D362">
        <v>2005</v>
      </c>
      <c r="E362" s="1">
        <v>44334900</v>
      </c>
      <c r="F362" s="1">
        <v>29915900</v>
      </c>
      <c r="G362" s="1" t="s">
        <v>11</v>
      </c>
      <c r="H362" s="1" t="s">
        <v>38</v>
      </c>
      <c r="I362" t="s">
        <v>13</v>
      </c>
      <c r="J362" t="s">
        <v>13</v>
      </c>
    </row>
    <row r="363" spans="1:11" x14ac:dyDescent="0.35">
      <c r="A363" t="s">
        <v>5</v>
      </c>
      <c r="B363" t="str">
        <f t="shared" si="3"/>
        <v>13112</v>
      </c>
      <c r="C363" t="str">
        <f>"008"</f>
        <v>008</v>
      </c>
      <c r="D363">
        <v>2018</v>
      </c>
      <c r="E363" s="1">
        <v>2546500</v>
      </c>
      <c r="F363" s="1">
        <v>-65100</v>
      </c>
      <c r="G363" s="1" t="s">
        <v>48</v>
      </c>
      <c r="H363" s="1" t="s">
        <v>38</v>
      </c>
      <c r="I363" t="s">
        <v>13</v>
      </c>
      <c r="J363" t="s">
        <v>13</v>
      </c>
    </row>
    <row r="364" spans="1:11" x14ac:dyDescent="0.35">
      <c r="A364" t="s">
        <v>5</v>
      </c>
      <c r="B364" t="str">
        <f t="shared" si="3"/>
        <v>13112</v>
      </c>
      <c r="C364" t="str">
        <f>"009"</f>
        <v>009</v>
      </c>
      <c r="D364">
        <v>2018</v>
      </c>
      <c r="E364" s="1">
        <v>8416700</v>
      </c>
      <c r="F364" s="1">
        <v>-1476800</v>
      </c>
      <c r="G364" s="1" t="s">
        <v>48</v>
      </c>
      <c r="H364" s="1" t="s">
        <v>38</v>
      </c>
      <c r="I364" t="s">
        <v>13</v>
      </c>
      <c r="J364" t="s">
        <v>13</v>
      </c>
    </row>
    <row r="365" spans="1:11" x14ac:dyDescent="0.35">
      <c r="A365" t="s">
        <v>5</v>
      </c>
      <c r="B365" t="str">
        <f t="shared" si="3"/>
        <v>13112</v>
      </c>
      <c r="C365" t="str">
        <f>"010"</f>
        <v>010</v>
      </c>
      <c r="D365">
        <v>2018</v>
      </c>
      <c r="E365" s="1">
        <v>5435800</v>
      </c>
      <c r="F365" s="1">
        <v>4194200</v>
      </c>
      <c r="G365" s="1" t="s">
        <v>11</v>
      </c>
      <c r="H365" s="1" t="s">
        <v>38</v>
      </c>
      <c r="I365" t="s">
        <v>13</v>
      </c>
      <c r="J365" t="s">
        <v>13</v>
      </c>
    </row>
    <row r="366" spans="1:11" x14ac:dyDescent="0.35">
      <c r="A366" t="s">
        <v>39</v>
      </c>
      <c r="B366" t="s">
        <v>13</v>
      </c>
      <c r="C366" t="s">
        <v>7</v>
      </c>
      <c r="D366" t="s">
        <v>8</v>
      </c>
      <c r="E366" s="1">
        <v>183248200</v>
      </c>
      <c r="F366" s="1">
        <v>147659500</v>
      </c>
      <c r="G366" s="1" t="s">
        <v>11</v>
      </c>
      <c r="H366" s="1">
        <v>906457000</v>
      </c>
      <c r="I366" t="s">
        <v>13</v>
      </c>
      <c r="J366" t="s">
        <v>13</v>
      </c>
      <c r="K366">
        <v>16.29</v>
      </c>
    </row>
    <row r="367" spans="1:11" x14ac:dyDescent="0.35">
      <c r="E367" s="1"/>
      <c r="F367" s="1"/>
      <c r="G367" s="1"/>
      <c r="H367" s="1"/>
    </row>
    <row r="368" spans="1:11" x14ac:dyDescent="0.35">
      <c r="A368" t="s">
        <v>117</v>
      </c>
      <c r="B368" t="str">
        <f>"21211"</f>
        <v>21211</v>
      </c>
      <c r="C368" t="str">
        <f>"001"</f>
        <v>001</v>
      </c>
      <c r="D368">
        <v>2002</v>
      </c>
      <c r="E368" s="1">
        <v>4472000</v>
      </c>
      <c r="F368" s="1">
        <v>2921000</v>
      </c>
      <c r="G368" s="1" t="s">
        <v>11</v>
      </c>
      <c r="H368" s="1" t="s">
        <v>38</v>
      </c>
      <c r="I368" t="s">
        <v>13</v>
      </c>
      <c r="J368" t="s">
        <v>13</v>
      </c>
    </row>
    <row r="369" spans="1:11" x14ac:dyDescent="0.35">
      <c r="A369" t="s">
        <v>39</v>
      </c>
      <c r="B369" t="s">
        <v>13</v>
      </c>
      <c r="C369" t="s">
        <v>7</v>
      </c>
      <c r="D369" t="s">
        <v>8</v>
      </c>
      <c r="E369" s="1">
        <v>4472000</v>
      </c>
      <c r="F369" s="1">
        <v>2921000</v>
      </c>
      <c r="G369" s="1" t="s">
        <v>11</v>
      </c>
      <c r="H369" s="1">
        <v>105501800</v>
      </c>
      <c r="I369" t="s">
        <v>13</v>
      </c>
      <c r="J369" t="s">
        <v>13</v>
      </c>
      <c r="K369">
        <v>2.77</v>
      </c>
    </row>
    <row r="370" spans="1:11" x14ac:dyDescent="0.35">
      <c r="E370" s="1"/>
      <c r="F370" s="1"/>
      <c r="G370" s="1"/>
      <c r="H370" s="1"/>
    </row>
    <row r="371" spans="1:11" x14ac:dyDescent="0.35">
      <c r="A371" t="s">
        <v>118</v>
      </c>
      <c r="B371" t="str">
        <f>"38121"</f>
        <v>38121</v>
      </c>
      <c r="C371" t="str">
        <f>"001"</f>
        <v>001</v>
      </c>
      <c r="D371">
        <v>2001</v>
      </c>
      <c r="E371" s="1">
        <v>25968300</v>
      </c>
      <c r="F371" s="1">
        <v>21682700</v>
      </c>
      <c r="G371" s="1" t="s">
        <v>11</v>
      </c>
      <c r="H371" s="1" t="s">
        <v>38</v>
      </c>
      <c r="I371" t="s">
        <v>13</v>
      </c>
      <c r="J371" t="s">
        <v>13</v>
      </c>
    </row>
    <row r="372" spans="1:11" x14ac:dyDescent="0.35">
      <c r="A372" t="s">
        <v>39</v>
      </c>
      <c r="B372" t="s">
        <v>13</v>
      </c>
      <c r="C372" t="s">
        <v>7</v>
      </c>
      <c r="D372" t="s">
        <v>8</v>
      </c>
      <c r="E372" s="1">
        <v>25968300</v>
      </c>
      <c r="F372" s="1">
        <v>21682700</v>
      </c>
      <c r="G372" s="1" t="s">
        <v>11</v>
      </c>
      <c r="H372" s="1">
        <v>94821600</v>
      </c>
      <c r="I372" t="s">
        <v>13</v>
      </c>
      <c r="J372" t="s">
        <v>13</v>
      </c>
      <c r="K372">
        <v>22.87</v>
      </c>
    </row>
    <row r="373" spans="1:11" x14ac:dyDescent="0.35">
      <c r="E373" s="1"/>
      <c r="F373" s="1"/>
      <c r="G373" s="1"/>
      <c r="H373" s="1"/>
    </row>
    <row r="374" spans="1:11" x14ac:dyDescent="0.35">
      <c r="A374" t="s">
        <v>119</v>
      </c>
      <c r="B374" t="str">
        <f>"13113"</f>
        <v>13113</v>
      </c>
      <c r="C374" t="str">
        <f>"003"</f>
        <v>003</v>
      </c>
      <c r="D374">
        <v>2008</v>
      </c>
      <c r="E374" s="1">
        <v>59264500</v>
      </c>
      <c r="F374" s="1">
        <v>31135900</v>
      </c>
      <c r="G374" s="1" t="s">
        <v>11</v>
      </c>
      <c r="H374" s="1" t="s">
        <v>38</v>
      </c>
      <c r="I374" t="s">
        <v>13</v>
      </c>
      <c r="J374" t="s">
        <v>13</v>
      </c>
    </row>
    <row r="375" spans="1:11" x14ac:dyDescent="0.35">
      <c r="A375" t="s">
        <v>39</v>
      </c>
      <c r="B375" t="s">
        <v>13</v>
      </c>
      <c r="C375" t="s">
        <v>7</v>
      </c>
      <c r="D375" t="s">
        <v>8</v>
      </c>
      <c r="E375" s="1">
        <v>59264500</v>
      </c>
      <c r="F375" s="1">
        <v>31135900</v>
      </c>
      <c r="G375" s="1" t="s">
        <v>11</v>
      </c>
      <c r="H375" s="1">
        <v>429952900</v>
      </c>
      <c r="I375" t="s">
        <v>13</v>
      </c>
      <c r="J375" t="s">
        <v>13</v>
      </c>
      <c r="K375">
        <v>7.24</v>
      </c>
    </row>
    <row r="376" spans="1:11" x14ac:dyDescent="0.35">
      <c r="E376" s="1"/>
      <c r="F376" s="1"/>
      <c r="G376" s="1"/>
      <c r="H376" s="1"/>
    </row>
    <row r="377" spans="1:11" x14ac:dyDescent="0.35">
      <c r="A377" t="s">
        <v>120</v>
      </c>
      <c r="B377" t="str">
        <f>"22211"</f>
        <v>22211</v>
      </c>
      <c r="C377" t="str">
        <f>"002"</f>
        <v>002</v>
      </c>
      <c r="D377">
        <v>1999</v>
      </c>
      <c r="E377" s="1">
        <v>8945600</v>
      </c>
      <c r="F377" s="1">
        <v>7242600</v>
      </c>
      <c r="G377" s="1" t="s">
        <v>11</v>
      </c>
      <c r="H377" s="1" t="s">
        <v>38</v>
      </c>
      <c r="I377" t="s">
        <v>13</v>
      </c>
      <c r="J377" t="s">
        <v>13</v>
      </c>
    </row>
    <row r="378" spans="1:11" x14ac:dyDescent="0.35">
      <c r="A378" t="s">
        <v>5</v>
      </c>
      <c r="B378" t="str">
        <f>"33211"</f>
        <v>33211</v>
      </c>
      <c r="C378" t="str">
        <f>"002"</f>
        <v>002</v>
      </c>
      <c r="D378">
        <v>1999</v>
      </c>
      <c r="E378" s="1">
        <v>2233100</v>
      </c>
      <c r="F378" s="1">
        <v>2166400</v>
      </c>
      <c r="G378" s="1" t="s">
        <v>11</v>
      </c>
      <c r="H378" s="1" t="s">
        <v>38</v>
      </c>
      <c r="I378" t="s">
        <v>13</v>
      </c>
      <c r="J378" t="s">
        <v>13</v>
      </c>
    </row>
    <row r="379" spans="1:11" x14ac:dyDescent="0.35">
      <c r="A379" t="s">
        <v>5</v>
      </c>
      <c r="B379" t="str">
        <f>"22211"</f>
        <v>22211</v>
      </c>
      <c r="C379" t="str">
        <f>"003"</f>
        <v>003</v>
      </c>
      <c r="D379">
        <v>2012</v>
      </c>
      <c r="E379" s="1">
        <v>4729300</v>
      </c>
      <c r="F379" s="1">
        <v>2425900</v>
      </c>
      <c r="G379" s="1" t="s">
        <v>11</v>
      </c>
      <c r="H379" s="1" t="s">
        <v>38</v>
      </c>
      <c r="I379" t="s">
        <v>13</v>
      </c>
      <c r="J379" t="s">
        <v>13</v>
      </c>
    </row>
    <row r="380" spans="1:11" x14ac:dyDescent="0.35">
      <c r="A380" t="s">
        <v>5</v>
      </c>
      <c r="B380" t="str">
        <f>"33211"</f>
        <v>33211</v>
      </c>
      <c r="C380" t="str">
        <f>"004"</f>
        <v>004</v>
      </c>
      <c r="D380">
        <v>2019</v>
      </c>
      <c r="E380" s="1">
        <v>2837700</v>
      </c>
      <c r="F380" s="1">
        <v>604600</v>
      </c>
      <c r="G380" s="1" t="s">
        <v>11</v>
      </c>
      <c r="H380" s="1" t="s">
        <v>38</v>
      </c>
      <c r="I380" t="s">
        <v>13</v>
      </c>
      <c r="J380" t="s">
        <v>13</v>
      </c>
    </row>
    <row r="381" spans="1:11" x14ac:dyDescent="0.35">
      <c r="A381" t="s">
        <v>5</v>
      </c>
      <c r="B381" t="str">
        <f>"22211"</f>
        <v>22211</v>
      </c>
      <c r="C381" t="str">
        <f>"004"</f>
        <v>004</v>
      </c>
      <c r="D381">
        <v>2019</v>
      </c>
      <c r="E381" s="1">
        <v>9683500</v>
      </c>
      <c r="F381" s="1">
        <v>3718500</v>
      </c>
      <c r="G381" s="1" t="s">
        <v>11</v>
      </c>
      <c r="H381" s="1" t="s">
        <v>38</v>
      </c>
      <c r="I381" t="s">
        <v>13</v>
      </c>
      <c r="J381" t="s">
        <v>13</v>
      </c>
    </row>
    <row r="382" spans="1:11" x14ac:dyDescent="0.35">
      <c r="A382" t="s">
        <v>39</v>
      </c>
      <c r="B382" t="s">
        <v>13</v>
      </c>
      <c r="C382" t="s">
        <v>7</v>
      </c>
      <c r="D382" t="s">
        <v>8</v>
      </c>
      <c r="E382" s="1">
        <v>28429200</v>
      </c>
      <c r="F382" s="1">
        <v>16158000</v>
      </c>
      <c r="G382" s="1" t="s">
        <v>11</v>
      </c>
      <c r="H382" s="1">
        <v>147415900</v>
      </c>
      <c r="I382" t="s">
        <v>13</v>
      </c>
      <c r="J382" t="s">
        <v>13</v>
      </c>
      <c r="K382">
        <v>10.96</v>
      </c>
    </row>
    <row r="383" spans="1:11" x14ac:dyDescent="0.35">
      <c r="E383" s="1"/>
      <c r="F383" s="1"/>
      <c r="G383" s="1"/>
      <c r="H383" s="1"/>
    </row>
    <row r="384" spans="1:11" x14ac:dyDescent="0.35">
      <c r="A384" t="s">
        <v>121</v>
      </c>
      <c r="B384" t="str">
        <f>"03212"</f>
        <v>03212</v>
      </c>
      <c r="C384" t="str">
        <f>"007"</f>
        <v>007</v>
      </c>
      <c r="D384">
        <v>1995</v>
      </c>
      <c r="E384" s="1">
        <v>16269400</v>
      </c>
      <c r="F384" s="1">
        <v>15263000</v>
      </c>
      <c r="G384" s="1" t="s">
        <v>11</v>
      </c>
      <c r="H384" s="1" t="s">
        <v>38</v>
      </c>
      <c r="I384" t="s">
        <v>13</v>
      </c>
      <c r="J384" t="s">
        <v>13</v>
      </c>
    </row>
    <row r="385" spans="1:11" x14ac:dyDescent="0.35">
      <c r="A385" t="s">
        <v>5</v>
      </c>
      <c r="B385" t="str">
        <f>"03212"</f>
        <v>03212</v>
      </c>
      <c r="C385" t="str">
        <f>"008"</f>
        <v>008</v>
      </c>
      <c r="D385">
        <v>2017</v>
      </c>
      <c r="E385" s="1">
        <v>3036800</v>
      </c>
      <c r="F385" s="1">
        <v>2559300</v>
      </c>
      <c r="G385" s="1" t="s">
        <v>11</v>
      </c>
      <c r="H385" s="1" t="s">
        <v>38</v>
      </c>
      <c r="I385" t="s">
        <v>13</v>
      </c>
      <c r="J385" t="s">
        <v>13</v>
      </c>
    </row>
    <row r="386" spans="1:11" x14ac:dyDescent="0.35">
      <c r="A386" t="s">
        <v>5</v>
      </c>
      <c r="B386" t="str">
        <f>"03212"</f>
        <v>03212</v>
      </c>
      <c r="C386" t="str">
        <f>"009"</f>
        <v>009</v>
      </c>
      <c r="D386">
        <v>2018</v>
      </c>
      <c r="E386" s="1">
        <v>15730000</v>
      </c>
      <c r="F386" s="1">
        <v>9317700</v>
      </c>
      <c r="G386" s="1" t="s">
        <v>11</v>
      </c>
      <c r="H386" s="1" t="s">
        <v>38</v>
      </c>
      <c r="I386" t="s">
        <v>13</v>
      </c>
      <c r="J386" t="s">
        <v>13</v>
      </c>
    </row>
    <row r="387" spans="1:11" x14ac:dyDescent="0.35">
      <c r="A387" t="s">
        <v>39</v>
      </c>
      <c r="B387" t="s">
        <v>13</v>
      </c>
      <c r="C387" t="s">
        <v>7</v>
      </c>
      <c r="D387" t="s">
        <v>8</v>
      </c>
      <c r="E387" s="1">
        <v>35036200</v>
      </c>
      <c r="F387" s="1">
        <v>27140000</v>
      </c>
      <c r="G387" s="1" t="s">
        <v>11</v>
      </c>
      <c r="H387" s="1">
        <v>216818900</v>
      </c>
      <c r="I387" t="s">
        <v>13</v>
      </c>
      <c r="J387" t="s">
        <v>13</v>
      </c>
      <c r="K387">
        <v>12.52</v>
      </c>
    </row>
    <row r="388" spans="1:11" x14ac:dyDescent="0.35">
      <c r="E388" s="1"/>
      <c r="F388" s="1"/>
      <c r="G388" s="1"/>
      <c r="H388" s="1"/>
    </row>
    <row r="389" spans="1:11" x14ac:dyDescent="0.35">
      <c r="A389" t="s">
        <v>122</v>
      </c>
      <c r="B389" t="str">
        <f>"03116"</f>
        <v>03116</v>
      </c>
      <c r="C389" t="str">
        <f>"002"</f>
        <v>002</v>
      </c>
      <c r="D389">
        <v>2001</v>
      </c>
      <c r="E389" s="1">
        <v>1903900</v>
      </c>
      <c r="F389" s="1">
        <v>1874000</v>
      </c>
      <c r="G389" s="1" t="s">
        <v>11</v>
      </c>
      <c r="H389" s="1" t="s">
        <v>38</v>
      </c>
      <c r="I389" t="s">
        <v>13</v>
      </c>
      <c r="J389" t="s">
        <v>13</v>
      </c>
    </row>
    <row r="390" spans="1:11" x14ac:dyDescent="0.35">
      <c r="A390" t="s">
        <v>39</v>
      </c>
      <c r="B390" t="s">
        <v>13</v>
      </c>
      <c r="C390" t="s">
        <v>7</v>
      </c>
      <c r="D390" t="s">
        <v>8</v>
      </c>
      <c r="E390" s="1">
        <v>1903900</v>
      </c>
      <c r="F390" s="1">
        <v>1874000</v>
      </c>
      <c r="G390" s="1" t="s">
        <v>11</v>
      </c>
      <c r="H390" s="1">
        <v>17654100</v>
      </c>
      <c r="I390" t="s">
        <v>13</v>
      </c>
      <c r="J390" t="s">
        <v>13</v>
      </c>
      <c r="K390">
        <v>10.62</v>
      </c>
    </row>
    <row r="391" spans="1:11" x14ac:dyDescent="0.35">
      <c r="E391" s="1"/>
      <c r="F391" s="1"/>
      <c r="G391" s="1"/>
      <c r="H391" s="1"/>
    </row>
    <row r="392" spans="1:11" x14ac:dyDescent="0.35">
      <c r="A392" t="s">
        <v>123</v>
      </c>
      <c r="B392" t="str">
        <f>"13116"</f>
        <v>13116</v>
      </c>
      <c r="C392" t="str">
        <f>"002"</f>
        <v>002</v>
      </c>
      <c r="D392">
        <v>2007</v>
      </c>
      <c r="E392" s="1">
        <v>6021600</v>
      </c>
      <c r="F392" s="1">
        <v>1595500</v>
      </c>
      <c r="G392" s="1" t="s">
        <v>11</v>
      </c>
      <c r="H392" s="1" t="s">
        <v>38</v>
      </c>
      <c r="I392" t="s">
        <v>13</v>
      </c>
      <c r="J392" t="s">
        <v>13</v>
      </c>
    </row>
    <row r="393" spans="1:11" x14ac:dyDescent="0.35">
      <c r="A393" t="s">
        <v>39</v>
      </c>
      <c r="B393" t="s">
        <v>13</v>
      </c>
      <c r="C393" t="s">
        <v>7</v>
      </c>
      <c r="D393" t="s">
        <v>8</v>
      </c>
      <c r="E393" s="1">
        <v>6021600</v>
      </c>
      <c r="F393" s="1">
        <v>1595500</v>
      </c>
      <c r="G393" s="1" t="s">
        <v>11</v>
      </c>
      <c r="H393" s="1">
        <v>112201300</v>
      </c>
      <c r="I393" t="s">
        <v>13</v>
      </c>
      <c r="J393" t="s">
        <v>13</v>
      </c>
      <c r="K393">
        <v>1.42</v>
      </c>
    </row>
    <row r="394" spans="1:11" x14ac:dyDescent="0.35">
      <c r="E394" s="1"/>
      <c r="F394" s="1"/>
      <c r="G394" s="1"/>
      <c r="H394" s="1"/>
    </row>
    <row r="395" spans="1:11" x14ac:dyDescent="0.35">
      <c r="A395" t="s">
        <v>124</v>
      </c>
      <c r="B395" t="str">
        <f>"64116"</f>
        <v>64116</v>
      </c>
      <c r="C395" t="str">
        <f>"003"</f>
        <v>003</v>
      </c>
      <c r="D395">
        <v>2015</v>
      </c>
      <c r="E395" s="1">
        <v>9422100</v>
      </c>
      <c r="F395" s="1">
        <v>7247500</v>
      </c>
      <c r="G395" s="1" t="s">
        <v>11</v>
      </c>
      <c r="H395" s="1" t="s">
        <v>38</v>
      </c>
      <c r="I395" t="s">
        <v>13</v>
      </c>
      <c r="J395" t="s">
        <v>13</v>
      </c>
    </row>
    <row r="396" spans="1:11" x14ac:dyDescent="0.35">
      <c r="A396" t="s">
        <v>39</v>
      </c>
      <c r="B396" t="s">
        <v>13</v>
      </c>
      <c r="C396" t="s">
        <v>7</v>
      </c>
      <c r="D396" t="s">
        <v>8</v>
      </c>
      <c r="E396" s="1">
        <v>9422100</v>
      </c>
      <c r="F396" s="1">
        <v>7247500</v>
      </c>
      <c r="G396" s="1" t="s">
        <v>11</v>
      </c>
      <c r="H396" s="1">
        <v>141195500</v>
      </c>
      <c r="I396" t="s">
        <v>13</v>
      </c>
      <c r="J396" t="s">
        <v>13</v>
      </c>
      <c r="K396">
        <v>5.13</v>
      </c>
    </row>
    <row r="397" spans="1:11" x14ac:dyDescent="0.35">
      <c r="E397" s="1"/>
      <c r="F397" s="1"/>
      <c r="G397" s="1"/>
      <c r="H397" s="1"/>
    </row>
    <row r="398" spans="1:11" x14ac:dyDescent="0.35">
      <c r="A398" t="s">
        <v>125</v>
      </c>
      <c r="B398" t="str">
        <f>"33216"</f>
        <v>33216</v>
      </c>
      <c r="C398" t="str">
        <f>"006"</f>
        <v>006</v>
      </c>
      <c r="D398">
        <v>2003</v>
      </c>
      <c r="E398" s="1">
        <v>25103300</v>
      </c>
      <c r="F398" s="1">
        <v>20798400</v>
      </c>
      <c r="G398" s="1" t="s">
        <v>11</v>
      </c>
      <c r="H398" s="1" t="s">
        <v>38</v>
      </c>
      <c r="I398" t="s">
        <v>13</v>
      </c>
      <c r="J398" t="s">
        <v>13</v>
      </c>
    </row>
    <row r="399" spans="1:11" x14ac:dyDescent="0.35">
      <c r="A399" t="s">
        <v>5</v>
      </c>
      <c r="B399" t="str">
        <f>"33216"</f>
        <v>33216</v>
      </c>
      <c r="C399" t="str">
        <f>"007"</f>
        <v>007</v>
      </c>
      <c r="D399">
        <v>2006</v>
      </c>
      <c r="E399" s="1">
        <v>5198700</v>
      </c>
      <c r="F399" s="1">
        <v>3012400</v>
      </c>
      <c r="G399" s="1" t="s">
        <v>11</v>
      </c>
      <c r="H399" s="1" t="s">
        <v>38</v>
      </c>
      <c r="I399" t="s">
        <v>13</v>
      </c>
      <c r="J399" t="s">
        <v>13</v>
      </c>
    </row>
    <row r="400" spans="1:11" x14ac:dyDescent="0.35">
      <c r="A400" t="s">
        <v>5</v>
      </c>
      <c r="B400" t="str">
        <f>"33216"</f>
        <v>33216</v>
      </c>
      <c r="C400" t="str">
        <f>"008"</f>
        <v>008</v>
      </c>
      <c r="D400">
        <v>2018</v>
      </c>
      <c r="E400" s="1">
        <v>15300</v>
      </c>
      <c r="F400" s="1">
        <v>-7200</v>
      </c>
      <c r="G400" s="1" t="s">
        <v>48</v>
      </c>
      <c r="H400" s="1" t="s">
        <v>38</v>
      </c>
      <c r="I400" t="s">
        <v>13</v>
      </c>
      <c r="J400" t="s">
        <v>13</v>
      </c>
    </row>
    <row r="401" spans="1:11" x14ac:dyDescent="0.35">
      <c r="A401" t="s">
        <v>39</v>
      </c>
      <c r="B401" t="s">
        <v>13</v>
      </c>
      <c r="C401" t="s">
        <v>7</v>
      </c>
      <c r="D401" t="s">
        <v>8</v>
      </c>
      <c r="E401" s="1">
        <v>30317300</v>
      </c>
      <c r="F401" s="1">
        <v>23810800</v>
      </c>
      <c r="G401" s="1" t="s">
        <v>11</v>
      </c>
      <c r="H401" s="1">
        <v>144514500</v>
      </c>
      <c r="I401" t="s">
        <v>13</v>
      </c>
      <c r="J401" t="s">
        <v>13</v>
      </c>
      <c r="K401">
        <v>16.48</v>
      </c>
    </row>
    <row r="402" spans="1:11" x14ac:dyDescent="0.35">
      <c r="E402" s="1"/>
      <c r="F402" s="1"/>
      <c r="G402" s="1"/>
      <c r="H402" s="1"/>
    </row>
    <row r="403" spans="1:11" x14ac:dyDescent="0.35">
      <c r="A403" t="s">
        <v>126</v>
      </c>
      <c r="B403" t="str">
        <f t="shared" ref="B403:B413" si="4">"05216"</f>
        <v>05216</v>
      </c>
      <c r="C403" t="str">
        <f>"006"</f>
        <v>006</v>
      </c>
      <c r="D403">
        <v>1998</v>
      </c>
      <c r="E403" s="1">
        <v>106786300</v>
      </c>
      <c r="F403" s="1">
        <v>99743400</v>
      </c>
      <c r="G403" s="1" t="s">
        <v>11</v>
      </c>
      <c r="H403" s="1" t="s">
        <v>38</v>
      </c>
      <c r="I403" t="s">
        <v>13</v>
      </c>
      <c r="J403" t="s">
        <v>13</v>
      </c>
    </row>
    <row r="404" spans="1:11" x14ac:dyDescent="0.35">
      <c r="A404" t="s">
        <v>5</v>
      </c>
      <c r="B404" t="str">
        <f t="shared" si="4"/>
        <v>05216</v>
      </c>
      <c r="C404" t="str">
        <f>"007"</f>
        <v>007</v>
      </c>
      <c r="D404">
        <v>2007</v>
      </c>
      <c r="E404" s="1">
        <v>17388600</v>
      </c>
      <c r="F404" s="1">
        <v>5332600</v>
      </c>
      <c r="G404" s="1" t="s">
        <v>11</v>
      </c>
      <c r="H404" s="1" t="s">
        <v>38</v>
      </c>
      <c r="I404" t="s">
        <v>13</v>
      </c>
      <c r="J404" t="s">
        <v>13</v>
      </c>
    </row>
    <row r="405" spans="1:11" x14ac:dyDescent="0.35">
      <c r="A405" t="s">
        <v>5</v>
      </c>
      <c r="B405" t="str">
        <f t="shared" si="4"/>
        <v>05216</v>
      </c>
      <c r="C405" t="str">
        <f>"008"</f>
        <v>008</v>
      </c>
      <c r="D405">
        <v>2007</v>
      </c>
      <c r="E405" s="1">
        <v>50184200</v>
      </c>
      <c r="F405" s="1">
        <v>13551000</v>
      </c>
      <c r="G405" s="1" t="s">
        <v>11</v>
      </c>
      <c r="H405" s="1" t="s">
        <v>38</v>
      </c>
      <c r="I405" t="s">
        <v>13</v>
      </c>
      <c r="J405" t="s">
        <v>13</v>
      </c>
    </row>
    <row r="406" spans="1:11" x14ac:dyDescent="0.35">
      <c r="A406" t="s">
        <v>5</v>
      </c>
      <c r="B406" t="str">
        <f t="shared" si="4"/>
        <v>05216</v>
      </c>
      <c r="C406" t="str">
        <f>"009"</f>
        <v>009</v>
      </c>
      <c r="D406">
        <v>2012</v>
      </c>
      <c r="E406" s="1">
        <v>16284600</v>
      </c>
      <c r="F406" s="1">
        <v>1508500</v>
      </c>
      <c r="G406" s="1" t="s">
        <v>11</v>
      </c>
      <c r="H406" s="1" t="s">
        <v>38</v>
      </c>
      <c r="I406" t="s">
        <v>13</v>
      </c>
      <c r="J406" t="s">
        <v>13</v>
      </c>
    </row>
    <row r="407" spans="1:11" x14ac:dyDescent="0.35">
      <c r="A407" t="s">
        <v>5</v>
      </c>
      <c r="B407" t="str">
        <f t="shared" si="4"/>
        <v>05216</v>
      </c>
      <c r="C407" t="str">
        <f>"010"</f>
        <v>010</v>
      </c>
      <c r="D407">
        <v>2012</v>
      </c>
      <c r="E407" s="1">
        <v>32148900</v>
      </c>
      <c r="F407" s="1">
        <v>7337000</v>
      </c>
      <c r="G407" s="1" t="s">
        <v>11</v>
      </c>
      <c r="H407" s="1" t="s">
        <v>38</v>
      </c>
      <c r="I407" t="s">
        <v>13</v>
      </c>
      <c r="J407" t="s">
        <v>13</v>
      </c>
    </row>
    <row r="408" spans="1:11" x14ac:dyDescent="0.35">
      <c r="A408" t="s">
        <v>5</v>
      </c>
      <c r="B408" t="str">
        <f t="shared" si="4"/>
        <v>05216</v>
      </c>
      <c r="C408" t="str">
        <f>"011"</f>
        <v>011</v>
      </c>
      <c r="D408">
        <v>2015</v>
      </c>
      <c r="E408" s="1">
        <v>17189000</v>
      </c>
      <c r="F408" s="1">
        <v>11109500</v>
      </c>
      <c r="G408" s="1" t="s">
        <v>11</v>
      </c>
      <c r="H408" s="1" t="s">
        <v>38</v>
      </c>
      <c r="I408" t="s">
        <v>13</v>
      </c>
      <c r="J408" t="s">
        <v>13</v>
      </c>
    </row>
    <row r="409" spans="1:11" x14ac:dyDescent="0.35">
      <c r="A409" t="s">
        <v>5</v>
      </c>
      <c r="B409" t="str">
        <f t="shared" si="4"/>
        <v>05216</v>
      </c>
      <c r="C409" t="str">
        <f>"012"</f>
        <v>012</v>
      </c>
      <c r="D409">
        <v>2015</v>
      </c>
      <c r="E409" s="1">
        <v>18103300</v>
      </c>
      <c r="F409" s="1">
        <v>11400000</v>
      </c>
      <c r="G409" s="1" t="s">
        <v>11</v>
      </c>
      <c r="H409" s="1" t="s">
        <v>38</v>
      </c>
      <c r="I409" t="s">
        <v>13</v>
      </c>
      <c r="J409" t="s">
        <v>13</v>
      </c>
    </row>
    <row r="410" spans="1:11" x14ac:dyDescent="0.35">
      <c r="A410" t="s">
        <v>5</v>
      </c>
      <c r="B410" t="str">
        <f t="shared" si="4"/>
        <v>05216</v>
      </c>
      <c r="C410" t="str">
        <f>"013"</f>
        <v>013</v>
      </c>
      <c r="D410">
        <v>2017</v>
      </c>
      <c r="E410" s="1">
        <v>60915300</v>
      </c>
      <c r="F410" s="1">
        <v>7554200</v>
      </c>
      <c r="G410" s="1" t="s">
        <v>11</v>
      </c>
      <c r="H410" s="1" t="s">
        <v>38</v>
      </c>
      <c r="I410" t="s">
        <v>13</v>
      </c>
      <c r="J410" t="s">
        <v>13</v>
      </c>
    </row>
    <row r="411" spans="1:11" x14ac:dyDescent="0.35">
      <c r="A411" t="s">
        <v>5</v>
      </c>
      <c r="B411" t="str">
        <f t="shared" si="4"/>
        <v>05216</v>
      </c>
      <c r="C411" t="str">
        <f>"014"</f>
        <v>014</v>
      </c>
      <c r="D411">
        <v>2019</v>
      </c>
      <c r="E411" s="1">
        <v>2906800</v>
      </c>
      <c r="F411" s="1">
        <v>2327200</v>
      </c>
      <c r="G411" s="1" t="s">
        <v>11</v>
      </c>
      <c r="H411" s="1" t="s">
        <v>38</v>
      </c>
      <c r="I411" t="s">
        <v>13</v>
      </c>
      <c r="J411" t="s">
        <v>13</v>
      </c>
    </row>
    <row r="412" spans="1:11" x14ac:dyDescent="0.35">
      <c r="A412" t="s">
        <v>5</v>
      </c>
      <c r="B412" t="str">
        <f t="shared" si="4"/>
        <v>05216</v>
      </c>
      <c r="C412" t="str">
        <f>"015"</f>
        <v>015</v>
      </c>
      <c r="D412">
        <v>2020</v>
      </c>
      <c r="E412" s="1">
        <v>2553300</v>
      </c>
      <c r="F412" s="1">
        <v>-62700</v>
      </c>
      <c r="G412" s="1" t="s">
        <v>48</v>
      </c>
      <c r="H412" s="1" t="s">
        <v>38</v>
      </c>
      <c r="I412" t="s">
        <v>13</v>
      </c>
      <c r="J412" t="s">
        <v>13</v>
      </c>
    </row>
    <row r="413" spans="1:11" x14ac:dyDescent="0.35">
      <c r="A413" t="s">
        <v>5</v>
      </c>
      <c r="B413" t="str">
        <f t="shared" si="4"/>
        <v>05216</v>
      </c>
      <c r="C413" t="str">
        <f>"016"</f>
        <v>016</v>
      </c>
      <c r="D413">
        <v>2020</v>
      </c>
      <c r="E413" s="1">
        <v>0</v>
      </c>
      <c r="F413" s="1">
        <v>0</v>
      </c>
      <c r="G413" s="1" t="s">
        <v>11</v>
      </c>
      <c r="H413" s="1" t="s">
        <v>38</v>
      </c>
      <c r="I413" t="s">
        <v>13</v>
      </c>
      <c r="J413" t="s">
        <v>13</v>
      </c>
    </row>
    <row r="414" spans="1:11" x14ac:dyDescent="0.35">
      <c r="A414" t="s">
        <v>39</v>
      </c>
      <c r="B414" t="s">
        <v>13</v>
      </c>
      <c r="C414" t="s">
        <v>7</v>
      </c>
      <c r="D414" t="s">
        <v>8</v>
      </c>
      <c r="E414" s="1">
        <v>324460300</v>
      </c>
      <c r="F414" s="1">
        <v>159863400</v>
      </c>
      <c r="G414" s="1" t="s">
        <v>11</v>
      </c>
      <c r="H414" s="1">
        <v>2509546300</v>
      </c>
      <c r="I414" t="s">
        <v>13</v>
      </c>
      <c r="J414" t="s">
        <v>13</v>
      </c>
      <c r="K414">
        <v>6.37</v>
      </c>
    </row>
    <row r="415" spans="1:11" x14ac:dyDescent="0.35">
      <c r="E415" s="1"/>
      <c r="F415" s="1"/>
      <c r="G415" s="1"/>
      <c r="H415" s="1"/>
    </row>
    <row r="416" spans="1:11" x14ac:dyDescent="0.35">
      <c r="A416" t="s">
        <v>127</v>
      </c>
      <c r="B416" t="str">
        <f>"12116"</f>
        <v>12116</v>
      </c>
      <c r="C416" t="str">
        <f>"001"</f>
        <v>001</v>
      </c>
      <c r="D416">
        <v>2001</v>
      </c>
      <c r="E416" s="1">
        <v>511300</v>
      </c>
      <c r="F416" s="1">
        <v>349600</v>
      </c>
      <c r="G416" s="1" t="s">
        <v>11</v>
      </c>
      <c r="H416" s="1" t="s">
        <v>38</v>
      </c>
      <c r="I416" t="s">
        <v>13</v>
      </c>
      <c r="J416" t="s">
        <v>13</v>
      </c>
    </row>
    <row r="417" spans="1:11" x14ac:dyDescent="0.35">
      <c r="A417" t="s">
        <v>5</v>
      </c>
      <c r="B417" t="str">
        <f>"62116"</f>
        <v>62116</v>
      </c>
      <c r="C417" t="str">
        <f>"001"</f>
        <v>001</v>
      </c>
      <c r="D417">
        <v>2001</v>
      </c>
      <c r="E417" s="1">
        <v>737500</v>
      </c>
      <c r="F417" s="1">
        <v>397300</v>
      </c>
      <c r="G417" s="1" t="s">
        <v>11</v>
      </c>
      <c r="H417" s="1" t="s">
        <v>38</v>
      </c>
      <c r="I417" t="s">
        <v>13</v>
      </c>
      <c r="J417" t="s">
        <v>13</v>
      </c>
    </row>
    <row r="418" spans="1:11" x14ac:dyDescent="0.35">
      <c r="A418" t="s">
        <v>39</v>
      </c>
      <c r="B418" t="s">
        <v>13</v>
      </c>
      <c r="C418" t="s">
        <v>7</v>
      </c>
      <c r="D418" t="s">
        <v>8</v>
      </c>
      <c r="E418" s="1">
        <v>1248800</v>
      </c>
      <c r="F418" s="1">
        <v>746900</v>
      </c>
      <c r="G418" s="1" t="s">
        <v>11</v>
      </c>
      <c r="H418" s="1">
        <v>22851300</v>
      </c>
      <c r="I418" t="s">
        <v>13</v>
      </c>
      <c r="J418" t="s">
        <v>13</v>
      </c>
      <c r="K418">
        <v>3.27</v>
      </c>
    </row>
    <row r="419" spans="1:11" x14ac:dyDescent="0.35">
      <c r="E419" s="1"/>
      <c r="F419" s="1"/>
      <c r="G419" s="1"/>
      <c r="H419" s="1"/>
    </row>
    <row r="420" spans="1:11" x14ac:dyDescent="0.35">
      <c r="A420" t="s">
        <v>128</v>
      </c>
      <c r="B420" t="str">
        <f>"13117"</f>
        <v>13117</v>
      </c>
      <c r="C420" t="str">
        <f>"003"</f>
        <v>003</v>
      </c>
      <c r="D420">
        <v>2005</v>
      </c>
      <c r="E420" s="1">
        <v>37389900</v>
      </c>
      <c r="F420" s="1">
        <v>27419500</v>
      </c>
      <c r="G420" s="1" t="s">
        <v>11</v>
      </c>
      <c r="H420" s="1" t="s">
        <v>38</v>
      </c>
      <c r="I420" t="s">
        <v>13</v>
      </c>
      <c r="J420" t="s">
        <v>13</v>
      </c>
    </row>
    <row r="421" spans="1:11" x14ac:dyDescent="0.35">
      <c r="A421" t="s">
        <v>5</v>
      </c>
      <c r="B421" t="str">
        <f>"13117"</f>
        <v>13117</v>
      </c>
      <c r="C421" t="str">
        <f>"005"</f>
        <v>005</v>
      </c>
      <c r="D421">
        <v>2008</v>
      </c>
      <c r="E421" s="1">
        <v>313300</v>
      </c>
      <c r="F421" s="1">
        <v>301600</v>
      </c>
      <c r="G421" s="1" t="s">
        <v>11</v>
      </c>
      <c r="H421" s="1" t="s">
        <v>38</v>
      </c>
      <c r="I421" t="s">
        <v>13</v>
      </c>
      <c r="J421" t="s">
        <v>13</v>
      </c>
    </row>
    <row r="422" spans="1:11" x14ac:dyDescent="0.35">
      <c r="A422" t="s">
        <v>5</v>
      </c>
      <c r="B422" t="str">
        <f>"13117"</f>
        <v>13117</v>
      </c>
      <c r="C422" t="str">
        <f>"006"</f>
        <v>006</v>
      </c>
      <c r="D422">
        <v>2019</v>
      </c>
      <c r="E422" s="1">
        <v>1751100</v>
      </c>
      <c r="F422" s="1">
        <v>685400</v>
      </c>
      <c r="G422" s="1" t="s">
        <v>11</v>
      </c>
      <c r="H422" s="1" t="s">
        <v>38</v>
      </c>
      <c r="I422" t="s">
        <v>13</v>
      </c>
      <c r="J422" t="s">
        <v>13</v>
      </c>
    </row>
    <row r="423" spans="1:11" x14ac:dyDescent="0.35">
      <c r="A423" t="s">
        <v>39</v>
      </c>
      <c r="B423" t="s">
        <v>13</v>
      </c>
      <c r="C423" t="s">
        <v>7</v>
      </c>
      <c r="D423" t="s">
        <v>8</v>
      </c>
      <c r="E423" s="1">
        <v>39454300</v>
      </c>
      <c r="F423" s="1">
        <v>28406500</v>
      </c>
      <c r="G423" s="1" t="s">
        <v>11</v>
      </c>
      <c r="H423" s="1">
        <v>271604400</v>
      </c>
      <c r="I423" t="s">
        <v>13</v>
      </c>
      <c r="J423" t="s">
        <v>13</v>
      </c>
      <c r="K423">
        <v>10.46</v>
      </c>
    </row>
    <row r="424" spans="1:11" x14ac:dyDescent="0.35">
      <c r="E424" s="1"/>
      <c r="F424" s="1"/>
      <c r="G424" s="1"/>
      <c r="H424" s="1"/>
    </row>
    <row r="425" spans="1:11" x14ac:dyDescent="0.35">
      <c r="A425" t="s">
        <v>129</v>
      </c>
      <c r="B425" t="str">
        <f t="shared" ref="B425:B432" si="5">"13118"</f>
        <v>13118</v>
      </c>
      <c r="C425" t="str">
        <f>"002"</f>
        <v>002</v>
      </c>
      <c r="D425">
        <v>2009</v>
      </c>
      <c r="E425" s="1">
        <v>58928500</v>
      </c>
      <c r="F425" s="1">
        <v>58900600</v>
      </c>
      <c r="G425" s="1" t="s">
        <v>11</v>
      </c>
      <c r="H425" s="1" t="s">
        <v>38</v>
      </c>
      <c r="I425" t="s">
        <v>13</v>
      </c>
      <c r="J425" t="s">
        <v>13</v>
      </c>
    </row>
    <row r="426" spans="1:11" x14ac:dyDescent="0.35">
      <c r="A426" t="s">
        <v>5</v>
      </c>
      <c r="B426" t="str">
        <f t="shared" si="5"/>
        <v>13118</v>
      </c>
      <c r="C426" t="str">
        <f>"003"</f>
        <v>003</v>
      </c>
      <c r="D426">
        <v>2009</v>
      </c>
      <c r="E426" s="1">
        <v>19426500</v>
      </c>
      <c r="F426" s="1">
        <v>18444600</v>
      </c>
      <c r="G426" s="1" t="s">
        <v>11</v>
      </c>
      <c r="H426" s="1" t="s">
        <v>38</v>
      </c>
      <c r="I426" t="s">
        <v>13</v>
      </c>
      <c r="J426" t="s">
        <v>13</v>
      </c>
    </row>
    <row r="427" spans="1:11" x14ac:dyDescent="0.35">
      <c r="A427" t="s">
        <v>5</v>
      </c>
      <c r="B427" t="str">
        <f t="shared" si="5"/>
        <v>13118</v>
      </c>
      <c r="C427" t="str">
        <f>"004"</f>
        <v>004</v>
      </c>
      <c r="D427">
        <v>2009</v>
      </c>
      <c r="E427" s="1">
        <v>60908400</v>
      </c>
      <c r="F427" s="1">
        <v>60562700</v>
      </c>
      <c r="G427" s="1" t="s">
        <v>11</v>
      </c>
      <c r="H427" s="1" t="s">
        <v>38</v>
      </c>
      <c r="I427" t="s">
        <v>13</v>
      </c>
      <c r="J427" t="s">
        <v>13</v>
      </c>
    </row>
    <row r="428" spans="1:11" x14ac:dyDescent="0.35">
      <c r="A428" t="s">
        <v>5</v>
      </c>
      <c r="B428" t="str">
        <f t="shared" si="5"/>
        <v>13118</v>
      </c>
      <c r="C428" t="str">
        <f>"005"</f>
        <v>005</v>
      </c>
      <c r="D428">
        <v>2010</v>
      </c>
      <c r="E428" s="1">
        <v>24216700</v>
      </c>
      <c r="F428" s="1">
        <v>23866200</v>
      </c>
      <c r="G428" s="1" t="s">
        <v>11</v>
      </c>
      <c r="H428" s="1" t="s">
        <v>38</v>
      </c>
      <c r="I428" t="s">
        <v>13</v>
      </c>
      <c r="J428" t="s">
        <v>13</v>
      </c>
    </row>
    <row r="429" spans="1:11" x14ac:dyDescent="0.35">
      <c r="A429" t="s">
        <v>5</v>
      </c>
      <c r="B429" t="str">
        <f t="shared" si="5"/>
        <v>13118</v>
      </c>
      <c r="C429" t="str">
        <f>"006"</f>
        <v>006</v>
      </c>
      <c r="D429">
        <v>2011</v>
      </c>
      <c r="E429" s="1">
        <v>41800500</v>
      </c>
      <c r="F429" s="1">
        <v>39035900</v>
      </c>
      <c r="G429" s="1" t="s">
        <v>11</v>
      </c>
      <c r="H429" s="1" t="s">
        <v>38</v>
      </c>
      <c r="I429" t="s">
        <v>13</v>
      </c>
      <c r="J429" t="s">
        <v>13</v>
      </c>
    </row>
    <row r="430" spans="1:11" x14ac:dyDescent="0.35">
      <c r="A430" t="s">
        <v>5</v>
      </c>
      <c r="B430" t="str">
        <f t="shared" si="5"/>
        <v>13118</v>
      </c>
      <c r="C430" t="str">
        <f>"007"</f>
        <v>007</v>
      </c>
      <c r="D430">
        <v>2011</v>
      </c>
      <c r="E430" s="1">
        <v>32948900</v>
      </c>
      <c r="F430" s="1">
        <v>28456900</v>
      </c>
      <c r="G430" s="1" t="s">
        <v>11</v>
      </c>
      <c r="H430" s="1" t="s">
        <v>38</v>
      </c>
      <c r="I430" t="s">
        <v>13</v>
      </c>
      <c r="J430" t="s">
        <v>13</v>
      </c>
    </row>
    <row r="431" spans="1:11" x14ac:dyDescent="0.35">
      <c r="A431" t="s">
        <v>5</v>
      </c>
      <c r="B431" t="str">
        <f t="shared" si="5"/>
        <v>13118</v>
      </c>
      <c r="C431" t="str">
        <f>"008"</f>
        <v>008</v>
      </c>
      <c r="D431">
        <v>2017</v>
      </c>
      <c r="E431" s="1">
        <v>50339100</v>
      </c>
      <c r="F431" s="1">
        <v>43610700</v>
      </c>
      <c r="G431" s="1" t="s">
        <v>11</v>
      </c>
      <c r="H431" s="1" t="s">
        <v>38</v>
      </c>
      <c r="I431" t="s">
        <v>13</v>
      </c>
      <c r="J431" t="s">
        <v>13</v>
      </c>
    </row>
    <row r="432" spans="1:11" x14ac:dyDescent="0.35">
      <c r="A432" t="s">
        <v>5</v>
      </c>
      <c r="B432" t="str">
        <f t="shared" si="5"/>
        <v>13118</v>
      </c>
      <c r="C432" t="str">
        <f>"009"</f>
        <v>009</v>
      </c>
      <c r="D432">
        <v>2017</v>
      </c>
      <c r="E432" s="1">
        <v>31427500</v>
      </c>
      <c r="F432" s="1">
        <v>23846600</v>
      </c>
      <c r="G432" s="1" t="s">
        <v>11</v>
      </c>
      <c r="H432" s="1" t="s">
        <v>38</v>
      </c>
      <c r="I432" t="s">
        <v>13</v>
      </c>
      <c r="J432" t="s">
        <v>13</v>
      </c>
    </row>
    <row r="433" spans="1:11" x14ac:dyDescent="0.35">
      <c r="A433" t="s">
        <v>39</v>
      </c>
      <c r="B433" t="s">
        <v>13</v>
      </c>
      <c r="C433" t="s">
        <v>7</v>
      </c>
      <c r="D433" t="s">
        <v>8</v>
      </c>
      <c r="E433" s="1">
        <v>319996100</v>
      </c>
      <c r="F433" s="1">
        <v>296724200</v>
      </c>
      <c r="G433" s="1" t="s">
        <v>11</v>
      </c>
      <c r="H433" s="1">
        <v>1582529000</v>
      </c>
      <c r="I433" t="s">
        <v>13</v>
      </c>
      <c r="J433" t="s">
        <v>13</v>
      </c>
      <c r="K433">
        <v>18.75</v>
      </c>
    </row>
    <row r="434" spans="1:11" x14ac:dyDescent="0.35">
      <c r="E434" s="1"/>
      <c r="F434" s="1"/>
      <c r="G434" s="1"/>
      <c r="H434" s="1"/>
    </row>
    <row r="435" spans="1:11" x14ac:dyDescent="0.35">
      <c r="A435" t="s">
        <v>130</v>
      </c>
      <c r="B435" t="str">
        <f>"67216"</f>
        <v>67216</v>
      </c>
      <c r="C435" t="str">
        <f>"004"</f>
        <v>004</v>
      </c>
      <c r="D435">
        <v>2012</v>
      </c>
      <c r="E435" s="1">
        <v>16343100</v>
      </c>
      <c r="F435" s="1">
        <v>8246100</v>
      </c>
      <c r="G435" s="1" t="s">
        <v>11</v>
      </c>
      <c r="H435" s="1" t="s">
        <v>38</v>
      </c>
      <c r="I435" t="s">
        <v>13</v>
      </c>
      <c r="J435" t="s">
        <v>13</v>
      </c>
    </row>
    <row r="436" spans="1:11" x14ac:dyDescent="0.35">
      <c r="A436" t="s">
        <v>39</v>
      </c>
      <c r="B436" t="s">
        <v>13</v>
      </c>
      <c r="C436" t="s">
        <v>7</v>
      </c>
      <c r="D436" t="s">
        <v>8</v>
      </c>
      <c r="E436" s="1">
        <v>16343100</v>
      </c>
      <c r="F436" s="1">
        <v>8246100</v>
      </c>
      <c r="G436" s="1" t="s">
        <v>11</v>
      </c>
      <c r="H436" s="1">
        <v>1760693400</v>
      </c>
      <c r="I436" t="s">
        <v>13</v>
      </c>
      <c r="J436" t="s">
        <v>13</v>
      </c>
      <c r="K436">
        <v>0.47</v>
      </c>
    </row>
    <row r="437" spans="1:11" x14ac:dyDescent="0.35">
      <c r="E437" s="1"/>
      <c r="F437" s="1"/>
      <c r="G437" s="1"/>
      <c r="H437" s="1"/>
    </row>
    <row r="438" spans="1:11" x14ac:dyDescent="0.35">
      <c r="A438" t="s">
        <v>131</v>
      </c>
      <c r="B438" t="str">
        <f>"64216"</f>
        <v>64216</v>
      </c>
      <c r="C438" t="str">
        <f>"004"</f>
        <v>004</v>
      </c>
      <c r="D438">
        <v>2003</v>
      </c>
      <c r="E438" s="1">
        <v>73467500</v>
      </c>
      <c r="F438" s="1">
        <v>50469700</v>
      </c>
      <c r="G438" s="1" t="s">
        <v>11</v>
      </c>
      <c r="H438" s="1" t="s">
        <v>38</v>
      </c>
      <c r="I438" t="s">
        <v>13</v>
      </c>
      <c r="J438" t="s">
        <v>13</v>
      </c>
    </row>
    <row r="439" spans="1:11" x14ac:dyDescent="0.35">
      <c r="A439" t="s">
        <v>5</v>
      </c>
      <c r="B439" t="str">
        <f>"64216"</f>
        <v>64216</v>
      </c>
      <c r="C439" t="str">
        <f>"005"</f>
        <v>005</v>
      </c>
      <c r="D439">
        <v>2012</v>
      </c>
      <c r="E439" s="1">
        <v>31180400</v>
      </c>
      <c r="F439" s="1">
        <v>9349600</v>
      </c>
      <c r="G439" s="1" t="s">
        <v>11</v>
      </c>
      <c r="H439" s="1" t="s">
        <v>38</v>
      </c>
      <c r="I439" t="s">
        <v>13</v>
      </c>
      <c r="J439" t="s">
        <v>13</v>
      </c>
    </row>
    <row r="440" spans="1:11" x14ac:dyDescent="0.35">
      <c r="A440" t="s">
        <v>39</v>
      </c>
      <c r="B440" t="s">
        <v>13</v>
      </c>
      <c r="C440" t="s">
        <v>7</v>
      </c>
      <c r="D440" t="s">
        <v>8</v>
      </c>
      <c r="E440" s="1">
        <v>104647900</v>
      </c>
      <c r="F440" s="1">
        <v>59819300</v>
      </c>
      <c r="G440" s="1" t="s">
        <v>11</v>
      </c>
      <c r="H440" s="1">
        <v>761089800</v>
      </c>
      <c r="I440" t="s">
        <v>13</v>
      </c>
      <c r="J440" t="s">
        <v>13</v>
      </c>
      <c r="K440">
        <v>7.86</v>
      </c>
    </row>
    <row r="441" spans="1:11" x14ac:dyDescent="0.35">
      <c r="E441" s="1"/>
      <c r="F441" s="1"/>
      <c r="G441" s="1"/>
      <c r="H441" s="1"/>
    </row>
    <row r="442" spans="1:11" x14ac:dyDescent="0.35">
      <c r="A442" t="s">
        <v>132</v>
      </c>
      <c r="B442" t="str">
        <f>"22116"</f>
        <v>22116</v>
      </c>
      <c r="C442" t="str">
        <f>"001"</f>
        <v>001</v>
      </c>
      <c r="D442">
        <v>2014</v>
      </c>
      <c r="E442" s="1">
        <v>2875600</v>
      </c>
      <c r="F442" s="1">
        <v>1324900</v>
      </c>
      <c r="G442" s="1" t="s">
        <v>11</v>
      </c>
      <c r="H442" s="1" t="s">
        <v>38</v>
      </c>
      <c r="I442" t="s">
        <v>13</v>
      </c>
      <c r="J442" t="s">
        <v>13</v>
      </c>
    </row>
    <row r="443" spans="1:11" x14ac:dyDescent="0.35">
      <c r="A443" t="s">
        <v>39</v>
      </c>
      <c r="B443" t="s">
        <v>13</v>
      </c>
      <c r="C443" t="s">
        <v>7</v>
      </c>
      <c r="D443" t="s">
        <v>8</v>
      </c>
      <c r="E443" s="1">
        <v>2875600</v>
      </c>
      <c r="F443" s="1">
        <v>1324900</v>
      </c>
      <c r="G443" s="1" t="s">
        <v>11</v>
      </c>
      <c r="H443" s="1">
        <v>71784400</v>
      </c>
      <c r="I443" t="s">
        <v>13</v>
      </c>
      <c r="J443" t="s">
        <v>13</v>
      </c>
      <c r="K443">
        <v>1.85</v>
      </c>
    </row>
    <row r="444" spans="1:11" x14ac:dyDescent="0.35">
      <c r="E444" s="1"/>
      <c r="F444" s="1"/>
      <c r="G444" s="1"/>
      <c r="H444" s="1"/>
    </row>
    <row r="445" spans="1:11" x14ac:dyDescent="0.35">
      <c r="A445" t="s">
        <v>133</v>
      </c>
      <c r="B445" t="str">
        <f>"25216"</f>
        <v>25216</v>
      </c>
      <c r="C445" t="str">
        <f>"003"</f>
        <v>003</v>
      </c>
      <c r="D445">
        <v>2020</v>
      </c>
      <c r="E445" s="1">
        <v>1925400</v>
      </c>
      <c r="F445" s="1">
        <v>57500</v>
      </c>
      <c r="G445" s="1" t="s">
        <v>11</v>
      </c>
      <c r="H445" s="1" t="s">
        <v>38</v>
      </c>
      <c r="I445" t="s">
        <v>13</v>
      </c>
      <c r="J445" t="s">
        <v>13</v>
      </c>
    </row>
    <row r="446" spans="1:11" x14ac:dyDescent="0.35">
      <c r="A446" t="s">
        <v>39</v>
      </c>
      <c r="B446" t="s">
        <v>13</v>
      </c>
      <c r="C446" t="s">
        <v>7</v>
      </c>
      <c r="D446" t="s">
        <v>8</v>
      </c>
      <c r="E446" s="1">
        <v>1925400</v>
      </c>
      <c r="F446" s="1">
        <v>57500</v>
      </c>
      <c r="G446" s="1" t="s">
        <v>11</v>
      </c>
      <c r="H446" s="1">
        <v>440173600</v>
      </c>
      <c r="I446" t="s">
        <v>13</v>
      </c>
      <c r="J446" t="s">
        <v>13</v>
      </c>
      <c r="K446">
        <v>0.01</v>
      </c>
    </row>
    <row r="447" spans="1:11" x14ac:dyDescent="0.35">
      <c r="E447" s="1"/>
      <c r="F447" s="1"/>
      <c r="G447" s="1"/>
      <c r="H447" s="1"/>
    </row>
    <row r="448" spans="1:11" x14ac:dyDescent="0.35">
      <c r="A448" t="s">
        <v>134</v>
      </c>
      <c r="B448" t="str">
        <f>"10116"</f>
        <v>10116</v>
      </c>
      <c r="C448" t="str">
        <f>"001"</f>
        <v>001</v>
      </c>
      <c r="D448">
        <v>1992</v>
      </c>
      <c r="E448" s="1">
        <v>7174200</v>
      </c>
      <c r="F448" s="1">
        <v>6941200</v>
      </c>
      <c r="G448" s="1" t="s">
        <v>11</v>
      </c>
      <c r="H448" s="1" t="s">
        <v>38</v>
      </c>
      <c r="I448" t="s">
        <v>13</v>
      </c>
      <c r="J448" t="s">
        <v>13</v>
      </c>
    </row>
    <row r="449" spans="1:11" x14ac:dyDescent="0.35">
      <c r="A449" t="s">
        <v>5</v>
      </c>
      <c r="B449" t="str">
        <f>"10116"</f>
        <v>10116</v>
      </c>
      <c r="C449" t="str">
        <f>"002"</f>
        <v>002</v>
      </c>
      <c r="D449">
        <v>1995</v>
      </c>
      <c r="E449" s="1">
        <v>26149100</v>
      </c>
      <c r="F449" s="1">
        <v>10649700</v>
      </c>
      <c r="G449" s="1" t="s">
        <v>11</v>
      </c>
      <c r="H449" s="1" t="s">
        <v>38</v>
      </c>
      <c r="I449" t="s">
        <v>13</v>
      </c>
      <c r="J449" t="s">
        <v>13</v>
      </c>
    </row>
    <row r="450" spans="1:11" x14ac:dyDescent="0.35">
      <c r="A450" t="s">
        <v>39</v>
      </c>
      <c r="B450" t="s">
        <v>13</v>
      </c>
      <c r="C450" t="s">
        <v>7</v>
      </c>
      <c r="D450" t="s">
        <v>8</v>
      </c>
      <c r="E450" s="1">
        <v>33323300</v>
      </c>
      <c r="F450" s="1">
        <v>17590900</v>
      </c>
      <c r="G450" s="1" t="s">
        <v>11</v>
      </c>
      <c r="H450" s="1">
        <v>53928600</v>
      </c>
      <c r="I450" t="s">
        <v>13</v>
      </c>
      <c r="J450" t="s">
        <v>13</v>
      </c>
      <c r="K450">
        <v>32.619999999999997</v>
      </c>
    </row>
    <row r="451" spans="1:11" x14ac:dyDescent="0.35">
      <c r="E451" s="1"/>
      <c r="F451" s="1"/>
      <c r="G451" s="1"/>
      <c r="H451" s="1"/>
    </row>
    <row r="452" spans="1:11" x14ac:dyDescent="0.35">
      <c r="A452" t="s">
        <v>135</v>
      </c>
      <c r="B452" t="str">
        <f>"46216"</f>
        <v>46216</v>
      </c>
      <c r="C452" t="str">
        <f>"003"</f>
        <v>003</v>
      </c>
      <c r="D452">
        <v>2007</v>
      </c>
      <c r="E452" s="1">
        <v>14151200</v>
      </c>
      <c r="F452" s="1">
        <v>3759500</v>
      </c>
      <c r="G452" s="1" t="s">
        <v>11</v>
      </c>
      <c r="H452" s="1" t="s">
        <v>38</v>
      </c>
      <c r="I452" t="s">
        <v>13</v>
      </c>
      <c r="J452" t="s">
        <v>13</v>
      </c>
    </row>
    <row r="453" spans="1:11" x14ac:dyDescent="0.35">
      <c r="A453" t="s">
        <v>39</v>
      </c>
      <c r="B453" t="s">
        <v>13</v>
      </c>
      <c r="C453" t="s">
        <v>7</v>
      </c>
      <c r="D453" t="s">
        <v>8</v>
      </c>
      <c r="E453" s="1">
        <v>14151200</v>
      </c>
      <c r="F453" s="1">
        <v>3759500</v>
      </c>
      <c r="G453" s="1" t="s">
        <v>11</v>
      </c>
      <c r="H453" s="1">
        <v>110706800</v>
      </c>
      <c r="I453" t="s">
        <v>13</v>
      </c>
      <c r="J453" t="s">
        <v>13</v>
      </c>
      <c r="K453">
        <v>3.4</v>
      </c>
    </row>
    <row r="454" spans="1:11" x14ac:dyDescent="0.35">
      <c r="E454" s="1"/>
      <c r="F454" s="1"/>
      <c r="G454" s="1"/>
      <c r="H454" s="1"/>
    </row>
    <row r="455" spans="1:11" x14ac:dyDescent="0.35">
      <c r="A455" t="s">
        <v>136</v>
      </c>
      <c r="B455" t="str">
        <f>"63221"</f>
        <v>63221</v>
      </c>
      <c r="C455" t="str">
        <f>"002"</f>
        <v>002</v>
      </c>
      <c r="D455">
        <v>2007</v>
      </c>
      <c r="E455" s="1">
        <v>13021700</v>
      </c>
      <c r="F455" s="1">
        <v>8959300</v>
      </c>
      <c r="G455" s="1" t="s">
        <v>11</v>
      </c>
      <c r="H455" s="1" t="s">
        <v>38</v>
      </c>
      <c r="I455" t="s">
        <v>13</v>
      </c>
      <c r="J455" t="s">
        <v>13</v>
      </c>
    </row>
    <row r="456" spans="1:11" x14ac:dyDescent="0.35">
      <c r="A456" t="s">
        <v>5</v>
      </c>
      <c r="B456" t="str">
        <f>"63221"</f>
        <v>63221</v>
      </c>
      <c r="C456" t="str">
        <f>"003"</f>
        <v>003</v>
      </c>
      <c r="D456">
        <v>2007</v>
      </c>
      <c r="E456" s="1">
        <v>21353200</v>
      </c>
      <c r="F456" s="1">
        <v>13214500</v>
      </c>
      <c r="G456" s="1" t="s">
        <v>11</v>
      </c>
      <c r="H456" s="1" t="s">
        <v>38</v>
      </c>
      <c r="I456" t="s">
        <v>13</v>
      </c>
      <c r="J456" t="s">
        <v>13</v>
      </c>
    </row>
    <row r="457" spans="1:11" x14ac:dyDescent="0.35">
      <c r="A457" t="s">
        <v>39</v>
      </c>
      <c r="B457" t="s">
        <v>13</v>
      </c>
      <c r="C457" t="s">
        <v>7</v>
      </c>
      <c r="D457" t="s">
        <v>8</v>
      </c>
      <c r="E457" s="1">
        <v>34374900</v>
      </c>
      <c r="F457" s="1">
        <v>22173800</v>
      </c>
      <c r="G457" s="1" t="s">
        <v>11</v>
      </c>
      <c r="H457" s="1">
        <v>211658700</v>
      </c>
      <c r="I457" t="s">
        <v>13</v>
      </c>
      <c r="J457" t="s">
        <v>13</v>
      </c>
      <c r="K457">
        <v>10.48</v>
      </c>
    </row>
    <row r="458" spans="1:11" x14ac:dyDescent="0.35">
      <c r="E458" s="1"/>
      <c r="F458" s="1"/>
      <c r="G458" s="1"/>
      <c r="H458" s="1"/>
    </row>
    <row r="459" spans="1:11" x14ac:dyDescent="0.35">
      <c r="A459" t="s">
        <v>137</v>
      </c>
      <c r="B459" t="str">
        <f>"64121"</f>
        <v>64121</v>
      </c>
      <c r="C459" t="str">
        <f>"003"</f>
        <v>003</v>
      </c>
      <c r="D459">
        <v>1999</v>
      </c>
      <c r="E459" s="1">
        <v>35894200</v>
      </c>
      <c r="F459" s="1">
        <v>35697400</v>
      </c>
      <c r="G459" s="1" t="s">
        <v>11</v>
      </c>
      <c r="H459" s="1" t="s">
        <v>38</v>
      </c>
      <c r="I459" t="s">
        <v>13</v>
      </c>
      <c r="J459" t="s">
        <v>13</v>
      </c>
    </row>
    <row r="460" spans="1:11" x14ac:dyDescent="0.35">
      <c r="A460" t="s">
        <v>5</v>
      </c>
      <c r="B460" t="str">
        <f>"64121"</f>
        <v>64121</v>
      </c>
      <c r="C460" t="str">
        <f>"004"</f>
        <v>004</v>
      </c>
      <c r="D460">
        <v>2018</v>
      </c>
      <c r="E460" s="1">
        <v>2610300</v>
      </c>
      <c r="F460" s="1">
        <v>818200</v>
      </c>
      <c r="G460" s="1" t="s">
        <v>11</v>
      </c>
      <c r="H460" s="1" t="s">
        <v>38</v>
      </c>
      <c r="I460" t="s">
        <v>13</v>
      </c>
      <c r="J460" t="s">
        <v>13</v>
      </c>
    </row>
    <row r="461" spans="1:11" x14ac:dyDescent="0.35">
      <c r="A461" t="s">
        <v>39</v>
      </c>
      <c r="B461" t="s">
        <v>13</v>
      </c>
      <c r="C461" t="s">
        <v>7</v>
      </c>
      <c r="D461" t="s">
        <v>8</v>
      </c>
      <c r="E461" s="1">
        <v>38504500</v>
      </c>
      <c r="F461" s="1">
        <v>36515600</v>
      </c>
      <c r="G461" s="1" t="s">
        <v>11</v>
      </c>
      <c r="H461" s="1">
        <v>428830300</v>
      </c>
      <c r="I461" t="s">
        <v>13</v>
      </c>
      <c r="J461" t="s">
        <v>13</v>
      </c>
      <c r="K461">
        <v>8.52</v>
      </c>
    </row>
    <row r="462" spans="1:11" x14ac:dyDescent="0.35">
      <c r="E462" s="1"/>
      <c r="F462" s="1"/>
      <c r="G462" s="1"/>
      <c r="H462" s="1"/>
    </row>
    <row r="463" spans="1:11" x14ac:dyDescent="0.35">
      <c r="A463" t="s">
        <v>138</v>
      </c>
      <c r="B463" t="str">
        <f>"18221"</f>
        <v>18221</v>
      </c>
      <c r="C463" t="str">
        <f>"007"</f>
        <v>007</v>
      </c>
      <c r="D463">
        <v>1997</v>
      </c>
      <c r="E463" s="1">
        <v>6547400</v>
      </c>
      <c r="F463" s="1">
        <v>6218300</v>
      </c>
      <c r="G463" s="1" t="s">
        <v>11</v>
      </c>
      <c r="H463" s="1" t="s">
        <v>38</v>
      </c>
      <c r="I463" t="s">
        <v>13</v>
      </c>
      <c r="J463" t="s">
        <v>13</v>
      </c>
    </row>
    <row r="464" spans="1:11" x14ac:dyDescent="0.35">
      <c r="A464" t="s">
        <v>5</v>
      </c>
      <c r="B464" t="str">
        <f>"18221"</f>
        <v>18221</v>
      </c>
      <c r="C464" t="str">
        <f>"008"</f>
        <v>008</v>
      </c>
      <c r="D464">
        <v>2002</v>
      </c>
      <c r="E464" s="1">
        <v>78206700</v>
      </c>
      <c r="F464" s="1">
        <v>65788300</v>
      </c>
      <c r="G464" s="1" t="s">
        <v>11</v>
      </c>
      <c r="H464" s="1" t="s">
        <v>38</v>
      </c>
      <c r="I464" t="s">
        <v>13</v>
      </c>
      <c r="J464" t="s">
        <v>13</v>
      </c>
    </row>
    <row r="465" spans="1:11" x14ac:dyDescent="0.35">
      <c r="A465" t="s">
        <v>5</v>
      </c>
      <c r="B465" t="str">
        <f>"18221"</f>
        <v>18221</v>
      </c>
      <c r="C465" t="str">
        <f>"009"</f>
        <v>009</v>
      </c>
      <c r="D465">
        <v>2008</v>
      </c>
      <c r="E465" s="1">
        <v>31241200</v>
      </c>
      <c r="F465" s="1">
        <v>17646500</v>
      </c>
      <c r="G465" s="1" t="s">
        <v>11</v>
      </c>
      <c r="H465" s="1" t="s">
        <v>38</v>
      </c>
      <c r="I465" t="s">
        <v>13</v>
      </c>
      <c r="J465" t="s">
        <v>13</v>
      </c>
    </row>
    <row r="466" spans="1:11" x14ac:dyDescent="0.35">
      <c r="A466" t="s">
        <v>5</v>
      </c>
      <c r="B466" t="str">
        <f>"09221"</f>
        <v>09221</v>
      </c>
      <c r="C466" t="str">
        <f>"009"</f>
        <v>009</v>
      </c>
      <c r="D466">
        <v>2008</v>
      </c>
      <c r="E466" s="1">
        <v>36300</v>
      </c>
      <c r="F466" s="1">
        <v>-18200</v>
      </c>
      <c r="G466" s="1" t="s">
        <v>48</v>
      </c>
      <c r="H466" s="1" t="s">
        <v>38</v>
      </c>
      <c r="I466" t="s">
        <v>13</v>
      </c>
      <c r="J466" t="s">
        <v>13</v>
      </c>
    </row>
    <row r="467" spans="1:11" x14ac:dyDescent="0.35">
      <c r="A467" t="s">
        <v>5</v>
      </c>
      <c r="B467" t="str">
        <f>"18221"</f>
        <v>18221</v>
      </c>
      <c r="C467" t="str">
        <f>"010"</f>
        <v>010</v>
      </c>
      <c r="D467">
        <v>2015</v>
      </c>
      <c r="E467" s="1">
        <v>39756300</v>
      </c>
      <c r="F467" s="1">
        <v>29962100</v>
      </c>
      <c r="G467" s="1" t="s">
        <v>11</v>
      </c>
      <c r="H467" s="1" t="s">
        <v>38</v>
      </c>
      <c r="I467" t="s">
        <v>13</v>
      </c>
      <c r="J467" t="s">
        <v>13</v>
      </c>
    </row>
    <row r="468" spans="1:11" x14ac:dyDescent="0.35">
      <c r="A468" t="s">
        <v>5</v>
      </c>
      <c r="B468" t="str">
        <f>"18221"</f>
        <v>18221</v>
      </c>
      <c r="C468" t="str">
        <f>"011"</f>
        <v>011</v>
      </c>
      <c r="D468">
        <v>2015</v>
      </c>
      <c r="E468" s="1">
        <v>34062300</v>
      </c>
      <c r="F468" s="1">
        <v>17437100</v>
      </c>
      <c r="G468" s="1" t="s">
        <v>11</v>
      </c>
      <c r="H468" s="1" t="s">
        <v>38</v>
      </c>
      <c r="I468" t="s">
        <v>13</v>
      </c>
      <c r="J468" t="s">
        <v>13</v>
      </c>
    </row>
    <row r="469" spans="1:11" x14ac:dyDescent="0.35">
      <c r="A469" t="s">
        <v>5</v>
      </c>
      <c r="B469" t="str">
        <f>"18221"</f>
        <v>18221</v>
      </c>
      <c r="C469" t="str">
        <f>"012"</f>
        <v>012</v>
      </c>
      <c r="D469">
        <v>2017</v>
      </c>
      <c r="E469" s="1">
        <v>25050100</v>
      </c>
      <c r="F469" s="1">
        <v>2768600</v>
      </c>
      <c r="G469" s="1" t="s">
        <v>11</v>
      </c>
      <c r="H469" s="1" t="s">
        <v>38</v>
      </c>
      <c r="I469" t="s">
        <v>13</v>
      </c>
      <c r="J469" t="s">
        <v>13</v>
      </c>
    </row>
    <row r="470" spans="1:11" x14ac:dyDescent="0.35">
      <c r="A470" t="s">
        <v>5</v>
      </c>
      <c r="B470" t="str">
        <f>"18221"</f>
        <v>18221</v>
      </c>
      <c r="C470" t="str">
        <f>"013"</f>
        <v>013</v>
      </c>
      <c r="D470">
        <v>2019</v>
      </c>
      <c r="E470" s="1">
        <v>14423200</v>
      </c>
      <c r="F470" s="1">
        <v>11394300</v>
      </c>
      <c r="G470" s="1" t="s">
        <v>11</v>
      </c>
      <c r="H470" s="1" t="s">
        <v>38</v>
      </c>
      <c r="I470" t="s">
        <v>13</v>
      </c>
      <c r="J470" t="s">
        <v>13</v>
      </c>
    </row>
    <row r="471" spans="1:11" x14ac:dyDescent="0.35">
      <c r="A471" t="s">
        <v>39</v>
      </c>
      <c r="B471" t="s">
        <v>13</v>
      </c>
      <c r="C471" t="s">
        <v>7</v>
      </c>
      <c r="D471" t="s">
        <v>8</v>
      </c>
      <c r="E471" s="1">
        <v>229323500</v>
      </c>
      <c r="F471" s="1">
        <v>151215200</v>
      </c>
      <c r="G471" s="1" t="s">
        <v>11</v>
      </c>
      <c r="H471" s="1">
        <v>6487588600</v>
      </c>
      <c r="I471" t="s">
        <v>13</v>
      </c>
      <c r="J471" t="s">
        <v>13</v>
      </c>
      <c r="K471">
        <v>2.33</v>
      </c>
    </row>
    <row r="472" spans="1:11" x14ac:dyDescent="0.35">
      <c r="E472" s="1"/>
      <c r="F472" s="1"/>
      <c r="G472" s="1"/>
      <c r="H472" s="1"/>
    </row>
    <row r="473" spans="1:11" x14ac:dyDescent="0.35">
      <c r="A473" t="s">
        <v>139</v>
      </c>
      <c r="B473" t="str">
        <f>"37121"</f>
        <v>37121</v>
      </c>
      <c r="C473" t="str">
        <f>"001"</f>
        <v>001</v>
      </c>
      <c r="D473">
        <v>2002</v>
      </c>
      <c r="E473" s="1">
        <v>1814500</v>
      </c>
      <c r="F473" s="1">
        <v>1025200</v>
      </c>
      <c r="G473" s="1" t="s">
        <v>11</v>
      </c>
      <c r="H473" s="1" t="s">
        <v>38</v>
      </c>
      <c r="I473" t="s">
        <v>13</v>
      </c>
      <c r="J473" t="s">
        <v>13</v>
      </c>
    </row>
    <row r="474" spans="1:11" x14ac:dyDescent="0.35">
      <c r="A474" t="s">
        <v>5</v>
      </c>
      <c r="B474" t="str">
        <f>"37121"</f>
        <v>37121</v>
      </c>
      <c r="C474" t="str">
        <f>"003"</f>
        <v>003</v>
      </c>
      <c r="D474">
        <v>2005</v>
      </c>
      <c r="E474" s="1">
        <v>5620800</v>
      </c>
      <c r="F474" s="1">
        <v>5565100</v>
      </c>
      <c r="G474" s="1" t="s">
        <v>11</v>
      </c>
      <c r="H474" s="1" t="s">
        <v>38</v>
      </c>
      <c r="I474" t="s">
        <v>13</v>
      </c>
      <c r="J474" t="s">
        <v>13</v>
      </c>
    </row>
    <row r="475" spans="1:11" x14ac:dyDescent="0.35">
      <c r="A475" t="s">
        <v>5</v>
      </c>
      <c r="B475" t="str">
        <f>"37121"</f>
        <v>37121</v>
      </c>
      <c r="C475" t="str">
        <f>"004"</f>
        <v>004</v>
      </c>
      <c r="D475">
        <v>2016</v>
      </c>
      <c r="E475" s="1">
        <v>4601300</v>
      </c>
      <c r="F475" s="1">
        <v>2946100</v>
      </c>
      <c r="G475" s="1" t="s">
        <v>11</v>
      </c>
      <c r="H475" s="1" t="s">
        <v>38</v>
      </c>
      <c r="I475" t="s">
        <v>13</v>
      </c>
      <c r="J475" t="s">
        <v>13</v>
      </c>
    </row>
    <row r="476" spans="1:11" x14ac:dyDescent="0.35">
      <c r="A476" t="s">
        <v>39</v>
      </c>
      <c r="B476" t="s">
        <v>13</v>
      </c>
      <c r="C476" t="s">
        <v>7</v>
      </c>
      <c r="D476" t="s">
        <v>8</v>
      </c>
      <c r="E476" s="1">
        <v>12036600</v>
      </c>
      <c r="F476" s="1">
        <v>9536400</v>
      </c>
      <c r="G476" s="1" t="s">
        <v>11</v>
      </c>
      <c r="H476" s="1">
        <v>85621500</v>
      </c>
      <c r="I476" t="s">
        <v>13</v>
      </c>
      <c r="J476" t="s">
        <v>13</v>
      </c>
      <c r="K476">
        <v>11.14</v>
      </c>
    </row>
    <row r="477" spans="1:11" x14ac:dyDescent="0.35">
      <c r="E477" s="1"/>
      <c r="F477" s="1"/>
      <c r="G477" s="1"/>
      <c r="H477" s="1"/>
    </row>
    <row r="478" spans="1:11" x14ac:dyDescent="0.35">
      <c r="A478" t="s">
        <v>140</v>
      </c>
      <c r="B478" t="str">
        <f>"53221"</f>
        <v>53221</v>
      </c>
      <c r="C478" t="str">
        <f>"006"</f>
        <v>006</v>
      </c>
      <c r="D478">
        <v>2000</v>
      </c>
      <c r="E478" s="1">
        <v>30380800</v>
      </c>
      <c r="F478" s="1">
        <v>20274900</v>
      </c>
      <c r="G478" s="1" t="s">
        <v>11</v>
      </c>
      <c r="H478" s="1" t="s">
        <v>38</v>
      </c>
      <c r="I478" t="s">
        <v>13</v>
      </c>
      <c r="J478" t="s">
        <v>13</v>
      </c>
    </row>
    <row r="479" spans="1:11" x14ac:dyDescent="0.35">
      <c r="A479" t="s">
        <v>5</v>
      </c>
      <c r="B479" t="str">
        <f>"53221"</f>
        <v>53221</v>
      </c>
      <c r="C479" t="str">
        <f>"007"</f>
        <v>007</v>
      </c>
      <c r="D479">
        <v>2000</v>
      </c>
      <c r="E479" s="1">
        <v>2901300</v>
      </c>
      <c r="F479" s="1">
        <v>2251200</v>
      </c>
      <c r="G479" s="1" t="s">
        <v>11</v>
      </c>
      <c r="H479" s="1" t="s">
        <v>38</v>
      </c>
      <c r="I479" t="s">
        <v>13</v>
      </c>
      <c r="J479" t="s">
        <v>13</v>
      </c>
    </row>
    <row r="480" spans="1:11" x14ac:dyDescent="0.35">
      <c r="A480" t="s">
        <v>5</v>
      </c>
      <c r="B480" t="str">
        <f>"53221"</f>
        <v>53221</v>
      </c>
      <c r="C480" t="str">
        <f>"008"</f>
        <v>008</v>
      </c>
      <c r="D480">
        <v>2005</v>
      </c>
      <c r="E480" s="1">
        <v>13642700</v>
      </c>
      <c r="F480" s="1">
        <v>6304800</v>
      </c>
      <c r="G480" s="1" t="s">
        <v>11</v>
      </c>
      <c r="H480" s="1" t="s">
        <v>38</v>
      </c>
      <c r="I480" t="s">
        <v>13</v>
      </c>
      <c r="J480" t="s">
        <v>13</v>
      </c>
    </row>
    <row r="481" spans="1:11" x14ac:dyDescent="0.35">
      <c r="A481" t="s">
        <v>39</v>
      </c>
      <c r="B481" t="s">
        <v>13</v>
      </c>
      <c r="C481" t="s">
        <v>7</v>
      </c>
      <c r="D481" t="s">
        <v>8</v>
      </c>
      <c r="E481" s="1">
        <v>46924800</v>
      </c>
      <c r="F481" s="1">
        <v>28830900</v>
      </c>
      <c r="G481" s="1" t="s">
        <v>11</v>
      </c>
      <c r="H481" s="1">
        <v>488817100</v>
      </c>
      <c r="I481" t="s">
        <v>13</v>
      </c>
      <c r="J481" t="s">
        <v>13</v>
      </c>
      <c r="K481">
        <v>5.9</v>
      </c>
    </row>
    <row r="482" spans="1:11" x14ac:dyDescent="0.35">
      <c r="E482" s="1"/>
      <c r="F482" s="1"/>
      <c r="G482" s="1"/>
      <c r="H482" s="1"/>
    </row>
    <row r="483" spans="1:11" x14ac:dyDescent="0.35">
      <c r="A483" t="s">
        <v>141</v>
      </c>
      <c r="B483" t="str">
        <f>"17121"</f>
        <v>17121</v>
      </c>
      <c r="C483" t="str">
        <f>"001"</f>
        <v>001</v>
      </c>
      <c r="D483">
        <v>2007</v>
      </c>
      <c r="E483" s="1">
        <v>4504700</v>
      </c>
      <c r="F483" s="1">
        <v>2005000</v>
      </c>
      <c r="G483" s="1" t="s">
        <v>11</v>
      </c>
      <c r="H483" s="1" t="s">
        <v>38</v>
      </c>
      <c r="I483" t="s">
        <v>13</v>
      </c>
      <c r="J483" t="s">
        <v>13</v>
      </c>
    </row>
    <row r="484" spans="1:11" x14ac:dyDescent="0.35">
      <c r="A484" t="s">
        <v>39</v>
      </c>
      <c r="B484" t="s">
        <v>13</v>
      </c>
      <c r="C484" t="s">
        <v>7</v>
      </c>
      <c r="D484" t="s">
        <v>8</v>
      </c>
      <c r="E484" s="1">
        <v>4504700</v>
      </c>
      <c r="F484" s="1">
        <v>2005000</v>
      </c>
      <c r="G484" s="1" t="s">
        <v>11</v>
      </c>
      <c r="H484" s="1">
        <v>43631100</v>
      </c>
      <c r="I484" t="s">
        <v>13</v>
      </c>
      <c r="J484" t="s">
        <v>13</v>
      </c>
      <c r="K484">
        <v>4.5999999999999996</v>
      </c>
    </row>
    <row r="485" spans="1:11" x14ac:dyDescent="0.35">
      <c r="E485" s="1"/>
      <c r="F485" s="1"/>
      <c r="G485" s="1"/>
      <c r="H485" s="1"/>
    </row>
    <row r="486" spans="1:11" x14ac:dyDescent="0.35">
      <c r="A486" t="s">
        <v>142</v>
      </c>
      <c r="B486" t="str">
        <f>"59121"</f>
        <v>59121</v>
      </c>
      <c r="C486" t="str">
        <f>"002"</f>
        <v>002</v>
      </c>
      <c r="D486">
        <v>2013</v>
      </c>
      <c r="E486" s="1">
        <v>32826700</v>
      </c>
      <c r="F486" s="1">
        <v>21191000</v>
      </c>
      <c r="G486" s="1" t="s">
        <v>11</v>
      </c>
      <c r="H486" s="1" t="s">
        <v>38</v>
      </c>
      <c r="I486" t="s">
        <v>13</v>
      </c>
      <c r="J486" t="s">
        <v>13</v>
      </c>
    </row>
    <row r="487" spans="1:11" x14ac:dyDescent="0.35">
      <c r="A487" t="s">
        <v>5</v>
      </c>
      <c r="B487" t="str">
        <f>"59121"</f>
        <v>59121</v>
      </c>
      <c r="C487" t="str">
        <f>"003"</f>
        <v>003</v>
      </c>
      <c r="D487">
        <v>2013</v>
      </c>
      <c r="E487" s="1">
        <v>8259800</v>
      </c>
      <c r="F487" s="1">
        <v>6409700</v>
      </c>
      <c r="G487" s="1" t="s">
        <v>11</v>
      </c>
      <c r="H487" s="1" t="s">
        <v>38</v>
      </c>
      <c r="I487" t="s">
        <v>13</v>
      </c>
      <c r="J487" t="s">
        <v>13</v>
      </c>
    </row>
    <row r="488" spans="1:11" x14ac:dyDescent="0.35">
      <c r="A488" t="s">
        <v>5</v>
      </c>
      <c r="B488" t="str">
        <f>"59121"</f>
        <v>59121</v>
      </c>
      <c r="C488" t="str">
        <f>"004"</f>
        <v>004</v>
      </c>
      <c r="D488">
        <v>2015</v>
      </c>
      <c r="E488" s="1">
        <v>12819700</v>
      </c>
      <c r="F488" s="1">
        <v>12108300</v>
      </c>
      <c r="G488" s="1" t="s">
        <v>11</v>
      </c>
      <c r="H488" s="1" t="s">
        <v>38</v>
      </c>
      <c r="I488" t="s">
        <v>13</v>
      </c>
      <c r="J488" t="s">
        <v>13</v>
      </c>
    </row>
    <row r="489" spans="1:11" x14ac:dyDescent="0.35">
      <c r="A489" t="s">
        <v>39</v>
      </c>
      <c r="B489" t="s">
        <v>13</v>
      </c>
      <c r="C489" t="s">
        <v>7</v>
      </c>
      <c r="D489" t="s">
        <v>8</v>
      </c>
      <c r="E489" s="1">
        <v>53906200</v>
      </c>
      <c r="F489" s="1">
        <v>39709000</v>
      </c>
      <c r="G489" s="1" t="s">
        <v>11</v>
      </c>
      <c r="H489" s="1">
        <v>376976400</v>
      </c>
      <c r="I489" t="s">
        <v>13</v>
      </c>
      <c r="J489" t="s">
        <v>13</v>
      </c>
      <c r="K489">
        <v>10.53</v>
      </c>
    </row>
    <row r="490" spans="1:11" x14ac:dyDescent="0.35">
      <c r="E490" s="1"/>
      <c r="F490" s="1"/>
      <c r="G490" s="1"/>
      <c r="H490" s="1"/>
    </row>
    <row r="491" spans="1:11" x14ac:dyDescent="0.35">
      <c r="A491" t="s">
        <v>143</v>
      </c>
      <c r="B491" t="str">
        <f>"64221"</f>
        <v>64221</v>
      </c>
      <c r="C491" t="str">
        <f>"004"</f>
        <v>004</v>
      </c>
      <c r="D491">
        <v>2017</v>
      </c>
      <c r="E491" s="1">
        <v>15935900</v>
      </c>
      <c r="F491" s="1">
        <v>12402200</v>
      </c>
      <c r="G491" s="1" t="s">
        <v>11</v>
      </c>
      <c r="H491" s="1" t="s">
        <v>38</v>
      </c>
      <c r="I491" t="s">
        <v>13</v>
      </c>
      <c r="J491" t="s">
        <v>13</v>
      </c>
    </row>
    <row r="492" spans="1:11" x14ac:dyDescent="0.35">
      <c r="A492" t="s">
        <v>39</v>
      </c>
      <c r="B492" t="s">
        <v>13</v>
      </c>
      <c r="C492" t="s">
        <v>7</v>
      </c>
      <c r="D492" t="s">
        <v>8</v>
      </c>
      <c r="E492" s="1">
        <v>15935900</v>
      </c>
      <c r="F492" s="1">
        <v>12402200</v>
      </c>
      <c r="G492" s="1" t="s">
        <v>11</v>
      </c>
      <c r="H492" s="1">
        <v>972474300</v>
      </c>
      <c r="I492" t="s">
        <v>13</v>
      </c>
      <c r="J492" t="s">
        <v>13</v>
      </c>
      <c r="K492">
        <v>1.28</v>
      </c>
    </row>
    <row r="493" spans="1:11" x14ac:dyDescent="0.35">
      <c r="E493" s="1"/>
      <c r="F493" s="1"/>
      <c r="G493" s="1"/>
      <c r="H493" s="1"/>
    </row>
    <row r="494" spans="1:11" x14ac:dyDescent="0.35">
      <c r="A494" t="s">
        <v>144</v>
      </c>
      <c r="B494" t="str">
        <f t="shared" ref="B494:B499" si="6">"47121"</f>
        <v>47121</v>
      </c>
      <c r="C494" t="str">
        <f>"004"</f>
        <v>004</v>
      </c>
      <c r="D494">
        <v>1996</v>
      </c>
      <c r="E494" s="1">
        <v>789700</v>
      </c>
      <c r="F494" s="1">
        <v>735100</v>
      </c>
      <c r="G494" s="1" t="s">
        <v>11</v>
      </c>
      <c r="H494" s="1" t="s">
        <v>38</v>
      </c>
      <c r="I494" t="s">
        <v>13</v>
      </c>
      <c r="J494" t="s">
        <v>13</v>
      </c>
    </row>
    <row r="495" spans="1:11" x14ac:dyDescent="0.35">
      <c r="A495" t="s">
        <v>5</v>
      </c>
      <c r="B495" t="str">
        <f t="shared" si="6"/>
        <v>47121</v>
      </c>
      <c r="C495" t="str">
        <f>"007"</f>
        <v>007</v>
      </c>
      <c r="D495">
        <v>2006</v>
      </c>
      <c r="E495" s="1">
        <v>9116800</v>
      </c>
      <c r="F495" s="1">
        <v>8893500</v>
      </c>
      <c r="G495" s="1" t="s">
        <v>11</v>
      </c>
      <c r="H495" s="1" t="s">
        <v>38</v>
      </c>
      <c r="I495" t="s">
        <v>13</v>
      </c>
      <c r="J495" t="s">
        <v>13</v>
      </c>
    </row>
    <row r="496" spans="1:11" x14ac:dyDescent="0.35">
      <c r="A496" t="s">
        <v>5</v>
      </c>
      <c r="B496" t="str">
        <f t="shared" si="6"/>
        <v>47121</v>
      </c>
      <c r="C496" t="str">
        <f>"008"</f>
        <v>008</v>
      </c>
      <c r="D496">
        <v>2010</v>
      </c>
      <c r="E496" s="1">
        <v>8021200</v>
      </c>
      <c r="F496" s="1">
        <v>4247500</v>
      </c>
      <c r="G496" s="1" t="s">
        <v>11</v>
      </c>
      <c r="H496" s="1" t="s">
        <v>38</v>
      </c>
      <c r="I496" t="s">
        <v>13</v>
      </c>
      <c r="J496" t="s">
        <v>13</v>
      </c>
    </row>
    <row r="497" spans="1:11" x14ac:dyDescent="0.35">
      <c r="A497" t="s">
        <v>5</v>
      </c>
      <c r="B497" t="str">
        <f t="shared" si="6"/>
        <v>47121</v>
      </c>
      <c r="C497" t="str">
        <f>"009"</f>
        <v>009</v>
      </c>
      <c r="D497">
        <v>2011</v>
      </c>
      <c r="E497" s="1">
        <v>3993900</v>
      </c>
      <c r="F497" s="1">
        <v>3483500</v>
      </c>
      <c r="G497" s="1" t="s">
        <v>11</v>
      </c>
      <c r="H497" s="1" t="s">
        <v>38</v>
      </c>
      <c r="I497" t="s">
        <v>13</v>
      </c>
      <c r="J497" t="s">
        <v>13</v>
      </c>
    </row>
    <row r="498" spans="1:11" x14ac:dyDescent="0.35">
      <c r="A498" t="s">
        <v>5</v>
      </c>
      <c r="B498" t="str">
        <f t="shared" si="6"/>
        <v>47121</v>
      </c>
      <c r="C498" t="str">
        <f>"010"</f>
        <v>010</v>
      </c>
      <c r="D498">
        <v>2012</v>
      </c>
      <c r="E498" s="1">
        <v>1800300</v>
      </c>
      <c r="F498" s="1">
        <v>973000</v>
      </c>
      <c r="G498" s="1" t="s">
        <v>11</v>
      </c>
      <c r="H498" s="1" t="s">
        <v>38</v>
      </c>
      <c r="I498" t="s">
        <v>13</v>
      </c>
      <c r="J498" t="s">
        <v>13</v>
      </c>
    </row>
    <row r="499" spans="1:11" x14ac:dyDescent="0.35">
      <c r="A499" t="s">
        <v>5</v>
      </c>
      <c r="B499" t="str">
        <f t="shared" si="6"/>
        <v>47121</v>
      </c>
      <c r="C499" t="str">
        <f>"011"</f>
        <v>011</v>
      </c>
      <c r="D499">
        <v>2013</v>
      </c>
      <c r="E499" s="1">
        <v>1498400</v>
      </c>
      <c r="F499" s="1">
        <v>190200</v>
      </c>
      <c r="G499" s="1" t="s">
        <v>11</v>
      </c>
      <c r="H499" s="1" t="s">
        <v>38</v>
      </c>
      <c r="I499" t="s">
        <v>13</v>
      </c>
      <c r="J499" t="s">
        <v>13</v>
      </c>
    </row>
    <row r="500" spans="1:11" x14ac:dyDescent="0.35">
      <c r="A500" t="s">
        <v>39</v>
      </c>
      <c r="B500" t="s">
        <v>13</v>
      </c>
      <c r="C500" t="s">
        <v>7</v>
      </c>
      <c r="D500" t="s">
        <v>8</v>
      </c>
      <c r="E500" s="1">
        <v>25220300</v>
      </c>
      <c r="F500" s="1">
        <v>18522800</v>
      </c>
      <c r="G500" s="1" t="s">
        <v>11</v>
      </c>
      <c r="H500" s="1">
        <v>254361100</v>
      </c>
      <c r="I500" t="s">
        <v>13</v>
      </c>
      <c r="J500" t="s">
        <v>13</v>
      </c>
      <c r="K500">
        <v>7.28</v>
      </c>
    </row>
    <row r="501" spans="1:11" x14ac:dyDescent="0.35">
      <c r="E501" s="1"/>
      <c r="F501" s="1"/>
      <c r="G501" s="1"/>
      <c r="H501" s="1"/>
    </row>
    <row r="502" spans="1:11" x14ac:dyDescent="0.35">
      <c r="A502" t="s">
        <v>145</v>
      </c>
      <c r="B502" t="str">
        <f>"67122"</f>
        <v>67122</v>
      </c>
      <c r="C502" t="str">
        <f>"002"</f>
        <v>002</v>
      </c>
      <c r="D502">
        <v>2004</v>
      </c>
      <c r="E502" s="1">
        <v>70421300</v>
      </c>
      <c r="F502" s="1">
        <v>36985500</v>
      </c>
      <c r="G502" s="1" t="s">
        <v>11</v>
      </c>
      <c r="H502" s="1" t="s">
        <v>38</v>
      </c>
      <c r="I502" t="s">
        <v>13</v>
      </c>
      <c r="J502" t="s">
        <v>13</v>
      </c>
    </row>
    <row r="503" spans="1:11" x14ac:dyDescent="0.35">
      <c r="A503" t="s">
        <v>39</v>
      </c>
      <c r="B503" t="s">
        <v>13</v>
      </c>
      <c r="C503" t="s">
        <v>7</v>
      </c>
      <c r="D503" t="s">
        <v>8</v>
      </c>
      <c r="E503" s="1">
        <v>70421300</v>
      </c>
      <c r="F503" s="1">
        <v>36985500</v>
      </c>
      <c r="G503" s="1" t="s">
        <v>11</v>
      </c>
      <c r="H503" s="1">
        <v>1299350800</v>
      </c>
      <c r="I503" t="s">
        <v>13</v>
      </c>
      <c r="J503" t="s">
        <v>13</v>
      </c>
      <c r="K503">
        <v>2.85</v>
      </c>
    </row>
    <row r="504" spans="1:11" x14ac:dyDescent="0.35">
      <c r="E504" s="1"/>
      <c r="F504" s="1"/>
      <c r="G504" s="1"/>
      <c r="H504" s="1"/>
    </row>
    <row r="505" spans="1:11" x14ac:dyDescent="0.35">
      <c r="A505" t="s">
        <v>146</v>
      </c>
      <c r="B505" t="str">
        <f>"47122"</f>
        <v>47122</v>
      </c>
      <c r="C505" t="str">
        <f>"003"</f>
        <v>003</v>
      </c>
      <c r="D505">
        <v>2002</v>
      </c>
      <c r="E505" s="1">
        <v>4458000</v>
      </c>
      <c r="F505" s="1">
        <v>3705700</v>
      </c>
      <c r="G505" s="1" t="s">
        <v>11</v>
      </c>
      <c r="H505" s="1" t="s">
        <v>38</v>
      </c>
      <c r="I505" t="s">
        <v>13</v>
      </c>
      <c r="J505" t="s">
        <v>13</v>
      </c>
    </row>
    <row r="506" spans="1:11" x14ac:dyDescent="0.35">
      <c r="A506" t="s">
        <v>5</v>
      </c>
      <c r="B506" t="str">
        <f>"47122"</f>
        <v>47122</v>
      </c>
      <c r="C506" t="str">
        <f>"004"</f>
        <v>004</v>
      </c>
      <c r="D506">
        <v>2009</v>
      </c>
      <c r="E506" s="1">
        <v>5960200</v>
      </c>
      <c r="F506" s="1">
        <v>2412800</v>
      </c>
      <c r="G506" s="1" t="s">
        <v>11</v>
      </c>
      <c r="H506" s="1" t="s">
        <v>38</v>
      </c>
      <c r="I506" t="s">
        <v>13</v>
      </c>
      <c r="J506" t="s">
        <v>13</v>
      </c>
    </row>
    <row r="507" spans="1:11" x14ac:dyDescent="0.35">
      <c r="A507" t="s">
        <v>5</v>
      </c>
      <c r="B507" t="str">
        <f>"47122"</f>
        <v>47122</v>
      </c>
      <c r="C507" t="str">
        <f>"005"</f>
        <v>005</v>
      </c>
      <c r="D507">
        <v>2007</v>
      </c>
      <c r="E507" s="1">
        <v>2993500</v>
      </c>
      <c r="F507" s="1">
        <v>2620200</v>
      </c>
      <c r="G507" s="1" t="s">
        <v>11</v>
      </c>
      <c r="H507" s="1" t="s">
        <v>38</v>
      </c>
      <c r="I507" t="s">
        <v>13</v>
      </c>
      <c r="J507" t="s">
        <v>13</v>
      </c>
    </row>
    <row r="508" spans="1:11" x14ac:dyDescent="0.35">
      <c r="A508" t="s">
        <v>39</v>
      </c>
      <c r="B508" t="s">
        <v>13</v>
      </c>
      <c r="C508" t="s">
        <v>7</v>
      </c>
      <c r="D508" t="s">
        <v>8</v>
      </c>
      <c r="E508" s="1">
        <v>13411700</v>
      </c>
      <c r="F508" s="1">
        <v>8738700</v>
      </c>
      <c r="G508" s="1" t="s">
        <v>11</v>
      </c>
      <c r="H508" s="1">
        <v>50585000</v>
      </c>
      <c r="I508" t="s">
        <v>13</v>
      </c>
      <c r="J508" t="s">
        <v>13</v>
      </c>
      <c r="K508">
        <v>17.28</v>
      </c>
    </row>
    <row r="509" spans="1:11" x14ac:dyDescent="0.35">
      <c r="E509" s="1"/>
      <c r="F509" s="1"/>
      <c r="G509" s="1"/>
      <c r="H509" s="1"/>
    </row>
    <row r="510" spans="1:11" x14ac:dyDescent="0.35">
      <c r="A510" t="s">
        <v>147</v>
      </c>
      <c r="B510" t="str">
        <f>"29221"</f>
        <v>29221</v>
      </c>
      <c r="C510" t="str">
        <f>"002"</f>
        <v>002</v>
      </c>
      <c r="D510">
        <v>1999</v>
      </c>
      <c r="E510" s="1">
        <v>654200</v>
      </c>
      <c r="F510" s="1">
        <v>381000</v>
      </c>
      <c r="G510" s="1" t="s">
        <v>11</v>
      </c>
      <c r="H510" s="1" t="s">
        <v>38</v>
      </c>
      <c r="I510" t="s">
        <v>13</v>
      </c>
      <c r="J510" t="s">
        <v>13</v>
      </c>
    </row>
    <row r="511" spans="1:11" x14ac:dyDescent="0.35">
      <c r="A511" t="s">
        <v>5</v>
      </c>
      <c r="B511" t="str">
        <f>"29221"</f>
        <v>29221</v>
      </c>
      <c r="C511" t="str">
        <f>"003"</f>
        <v>003</v>
      </c>
      <c r="D511">
        <v>1999</v>
      </c>
      <c r="E511" s="1">
        <v>3917500</v>
      </c>
      <c r="F511" s="1">
        <v>1481000</v>
      </c>
      <c r="G511" s="1" t="s">
        <v>11</v>
      </c>
      <c r="H511" s="1" t="s">
        <v>38</v>
      </c>
      <c r="I511" t="s">
        <v>13</v>
      </c>
      <c r="J511" t="s">
        <v>13</v>
      </c>
    </row>
    <row r="512" spans="1:11" x14ac:dyDescent="0.35">
      <c r="A512" t="s">
        <v>5</v>
      </c>
      <c r="B512" t="str">
        <f>"29221"</f>
        <v>29221</v>
      </c>
      <c r="C512" t="str">
        <f>"004"</f>
        <v>004</v>
      </c>
      <c r="D512">
        <v>1999</v>
      </c>
      <c r="E512" s="1">
        <v>4359700</v>
      </c>
      <c r="F512" s="1">
        <v>3048400</v>
      </c>
      <c r="G512" s="1" t="s">
        <v>11</v>
      </c>
      <c r="H512" s="1" t="s">
        <v>38</v>
      </c>
      <c r="I512" t="s">
        <v>13</v>
      </c>
      <c r="J512" t="s">
        <v>13</v>
      </c>
    </row>
    <row r="513" spans="1:11" x14ac:dyDescent="0.35">
      <c r="A513" t="s">
        <v>5</v>
      </c>
      <c r="B513" t="str">
        <f>"29221"</f>
        <v>29221</v>
      </c>
      <c r="C513" t="str">
        <f>"005"</f>
        <v>005</v>
      </c>
      <c r="D513">
        <v>1999</v>
      </c>
      <c r="E513" s="1">
        <v>2948600</v>
      </c>
      <c r="F513" s="1">
        <v>2912100</v>
      </c>
      <c r="G513" s="1" t="s">
        <v>11</v>
      </c>
      <c r="H513" s="1" t="s">
        <v>38</v>
      </c>
      <c r="I513" t="s">
        <v>13</v>
      </c>
      <c r="J513" t="s">
        <v>13</v>
      </c>
    </row>
    <row r="514" spans="1:11" x14ac:dyDescent="0.35">
      <c r="A514" t="s">
        <v>5</v>
      </c>
      <c r="B514" t="str">
        <f>"29221"</f>
        <v>29221</v>
      </c>
      <c r="C514" t="str">
        <f>"006"</f>
        <v>006</v>
      </c>
      <c r="D514">
        <v>2014</v>
      </c>
      <c r="E514" s="1">
        <v>2483700</v>
      </c>
      <c r="F514" s="1">
        <v>1665200</v>
      </c>
      <c r="G514" s="1" t="s">
        <v>11</v>
      </c>
      <c r="H514" s="1" t="s">
        <v>38</v>
      </c>
      <c r="I514" t="s">
        <v>13</v>
      </c>
      <c r="J514" t="s">
        <v>13</v>
      </c>
    </row>
    <row r="515" spans="1:11" x14ac:dyDescent="0.35">
      <c r="A515" t="s">
        <v>39</v>
      </c>
      <c r="B515" t="s">
        <v>13</v>
      </c>
      <c r="C515" t="s">
        <v>7</v>
      </c>
      <c r="D515" t="s">
        <v>8</v>
      </c>
      <c r="E515" s="1">
        <v>14363700</v>
      </c>
      <c r="F515" s="1">
        <v>9487700</v>
      </c>
      <c r="G515" s="1" t="s">
        <v>11</v>
      </c>
      <c r="H515" s="1">
        <v>68571500</v>
      </c>
      <c r="I515" t="s">
        <v>13</v>
      </c>
      <c r="J515" t="s">
        <v>13</v>
      </c>
      <c r="K515">
        <v>13.84</v>
      </c>
    </row>
    <row r="516" spans="1:11" x14ac:dyDescent="0.35">
      <c r="E516" s="1"/>
      <c r="F516" s="1"/>
      <c r="G516" s="1"/>
      <c r="H516" s="1"/>
    </row>
    <row r="517" spans="1:11" x14ac:dyDescent="0.35">
      <c r="A517" t="s">
        <v>148</v>
      </c>
      <c r="B517" t="str">
        <f>"39121"</f>
        <v>39121</v>
      </c>
      <c r="C517" t="str">
        <f>"001"</f>
        <v>001</v>
      </c>
      <c r="D517">
        <v>1993</v>
      </c>
      <c r="E517" s="1">
        <v>7497300</v>
      </c>
      <c r="F517" s="1">
        <v>6337400</v>
      </c>
      <c r="G517" s="1" t="s">
        <v>11</v>
      </c>
      <c r="H517" s="1" t="s">
        <v>38</v>
      </c>
      <c r="I517" t="s">
        <v>13</v>
      </c>
      <c r="J517" t="s">
        <v>13</v>
      </c>
    </row>
    <row r="518" spans="1:11" x14ac:dyDescent="0.35">
      <c r="A518" t="s">
        <v>39</v>
      </c>
      <c r="B518" t="s">
        <v>13</v>
      </c>
      <c r="C518" t="s">
        <v>7</v>
      </c>
      <c r="D518" t="s">
        <v>8</v>
      </c>
      <c r="E518" s="1">
        <v>7497300</v>
      </c>
      <c r="F518" s="1">
        <v>6337400</v>
      </c>
      <c r="G518" s="1" t="s">
        <v>11</v>
      </c>
      <c r="H518" s="1">
        <v>22933900</v>
      </c>
      <c r="I518" t="s">
        <v>13</v>
      </c>
      <c r="J518" t="s">
        <v>13</v>
      </c>
      <c r="K518">
        <v>27.63</v>
      </c>
    </row>
    <row r="519" spans="1:11" x14ac:dyDescent="0.35">
      <c r="E519" s="1"/>
      <c r="F519" s="1"/>
      <c r="G519" s="1"/>
      <c r="H519" s="1"/>
    </row>
    <row r="520" spans="1:11" x14ac:dyDescent="0.35">
      <c r="A520" t="s">
        <v>149</v>
      </c>
      <c r="B520" t="str">
        <f>"53222"</f>
        <v>53222</v>
      </c>
      <c r="C520" t="str">
        <f>"005"</f>
        <v>005</v>
      </c>
      <c r="D520">
        <v>2004</v>
      </c>
      <c r="E520" s="1">
        <v>23741500</v>
      </c>
      <c r="F520" s="1">
        <v>12442400</v>
      </c>
      <c r="G520" s="1" t="s">
        <v>11</v>
      </c>
      <c r="H520" s="1" t="s">
        <v>38</v>
      </c>
      <c r="I520" t="s">
        <v>13</v>
      </c>
      <c r="J520" t="s">
        <v>13</v>
      </c>
    </row>
    <row r="521" spans="1:11" x14ac:dyDescent="0.35">
      <c r="A521" t="s">
        <v>5</v>
      </c>
      <c r="B521" t="str">
        <f>"53222"</f>
        <v>53222</v>
      </c>
      <c r="C521" t="str">
        <f>"006"</f>
        <v>006</v>
      </c>
      <c r="D521">
        <v>2006</v>
      </c>
      <c r="E521" s="1">
        <v>7643800</v>
      </c>
      <c r="F521" s="1">
        <v>5716000</v>
      </c>
      <c r="G521" s="1" t="s">
        <v>11</v>
      </c>
      <c r="H521" s="1" t="s">
        <v>38</v>
      </c>
      <c r="I521" t="s">
        <v>13</v>
      </c>
      <c r="J521" t="s">
        <v>13</v>
      </c>
    </row>
    <row r="522" spans="1:11" x14ac:dyDescent="0.35">
      <c r="A522" t="s">
        <v>5</v>
      </c>
      <c r="B522" t="str">
        <f>"53222"</f>
        <v>53222</v>
      </c>
      <c r="C522" t="str">
        <f>"007"</f>
        <v>007</v>
      </c>
      <c r="D522">
        <v>2007</v>
      </c>
      <c r="E522" s="1">
        <v>16509100</v>
      </c>
      <c r="F522" s="1">
        <v>10407400</v>
      </c>
      <c r="G522" s="1" t="s">
        <v>11</v>
      </c>
      <c r="H522" s="1" t="s">
        <v>38</v>
      </c>
      <c r="I522" t="s">
        <v>13</v>
      </c>
      <c r="J522" t="s">
        <v>13</v>
      </c>
    </row>
    <row r="523" spans="1:11" x14ac:dyDescent="0.35">
      <c r="A523" t="s">
        <v>5</v>
      </c>
      <c r="B523" t="str">
        <f>"53222"</f>
        <v>53222</v>
      </c>
      <c r="C523" t="str">
        <f>"008"</f>
        <v>008</v>
      </c>
      <c r="D523">
        <v>2008</v>
      </c>
      <c r="E523" s="1">
        <v>5501900</v>
      </c>
      <c r="F523" s="1">
        <v>2806600</v>
      </c>
      <c r="G523" s="1" t="s">
        <v>11</v>
      </c>
      <c r="H523" s="1" t="s">
        <v>38</v>
      </c>
      <c r="I523" t="s">
        <v>13</v>
      </c>
      <c r="J523" t="s">
        <v>13</v>
      </c>
    </row>
    <row r="524" spans="1:11" x14ac:dyDescent="0.35">
      <c r="A524" t="s">
        <v>5</v>
      </c>
      <c r="B524" t="str">
        <f>"53222"</f>
        <v>53222</v>
      </c>
      <c r="C524" t="str">
        <f>"009"</f>
        <v>009</v>
      </c>
      <c r="D524">
        <v>2018</v>
      </c>
      <c r="E524" s="1">
        <v>2361800</v>
      </c>
      <c r="F524" s="1">
        <v>2361300</v>
      </c>
      <c r="G524" s="1" t="s">
        <v>11</v>
      </c>
      <c r="H524" s="1" t="s">
        <v>38</v>
      </c>
      <c r="I524" t="s">
        <v>13</v>
      </c>
      <c r="J524" t="s">
        <v>13</v>
      </c>
    </row>
    <row r="525" spans="1:11" x14ac:dyDescent="0.35">
      <c r="A525" t="s">
        <v>39</v>
      </c>
      <c r="B525" t="s">
        <v>13</v>
      </c>
      <c r="C525" t="s">
        <v>7</v>
      </c>
      <c r="D525" t="s">
        <v>8</v>
      </c>
      <c r="E525" s="1">
        <v>55758100</v>
      </c>
      <c r="F525" s="1">
        <v>33733700</v>
      </c>
      <c r="G525" s="1" t="s">
        <v>11</v>
      </c>
      <c r="H525" s="1">
        <v>520346300</v>
      </c>
      <c r="I525" t="s">
        <v>13</v>
      </c>
      <c r="J525" t="s">
        <v>13</v>
      </c>
      <c r="K525">
        <v>6.48</v>
      </c>
    </row>
    <row r="526" spans="1:11" x14ac:dyDescent="0.35">
      <c r="E526" s="1"/>
      <c r="F526" s="1"/>
      <c r="G526" s="1"/>
      <c r="H526" s="1"/>
    </row>
    <row r="527" spans="1:11" x14ac:dyDescent="0.35">
      <c r="A527" t="s">
        <v>150</v>
      </c>
      <c r="B527" t="str">
        <f>"20126"</f>
        <v>20126</v>
      </c>
      <c r="C527" t="str">
        <f>"001"</f>
        <v>001</v>
      </c>
      <c r="D527">
        <v>1997</v>
      </c>
      <c r="E527" s="1">
        <v>5079700</v>
      </c>
      <c r="F527" s="1">
        <v>4328300</v>
      </c>
      <c r="G527" s="1" t="s">
        <v>11</v>
      </c>
      <c r="H527" s="1" t="s">
        <v>38</v>
      </c>
      <c r="I527" t="s">
        <v>13</v>
      </c>
      <c r="J527" t="s">
        <v>13</v>
      </c>
    </row>
    <row r="528" spans="1:11" x14ac:dyDescent="0.35">
      <c r="A528" t="s">
        <v>39</v>
      </c>
      <c r="B528" t="s">
        <v>13</v>
      </c>
      <c r="C528" t="s">
        <v>7</v>
      </c>
      <c r="D528" t="s">
        <v>8</v>
      </c>
      <c r="E528" s="1">
        <v>5079700</v>
      </c>
      <c r="F528" s="1">
        <v>4328300</v>
      </c>
      <c r="G528" s="1" t="s">
        <v>11</v>
      </c>
      <c r="H528" s="1">
        <v>23007400</v>
      </c>
      <c r="I528" t="s">
        <v>13</v>
      </c>
      <c r="J528" t="s">
        <v>13</v>
      </c>
      <c r="K528">
        <v>18.809999999999999</v>
      </c>
    </row>
    <row r="529" spans="1:11" x14ac:dyDescent="0.35">
      <c r="E529" s="1"/>
      <c r="F529" s="1"/>
      <c r="G529" s="1"/>
      <c r="H529" s="1"/>
    </row>
    <row r="530" spans="1:11" x14ac:dyDescent="0.35">
      <c r="A530" t="s">
        <v>151</v>
      </c>
      <c r="B530" t="str">
        <f>"18127"</f>
        <v>18127</v>
      </c>
      <c r="C530" t="str">
        <f>"001"</f>
        <v>001</v>
      </c>
      <c r="D530">
        <v>2000</v>
      </c>
      <c r="E530" s="1">
        <v>1502900</v>
      </c>
      <c r="F530" s="1">
        <v>1430100</v>
      </c>
      <c r="G530" s="1" t="s">
        <v>11</v>
      </c>
      <c r="H530" s="1" t="s">
        <v>38</v>
      </c>
      <c r="I530" t="s">
        <v>13</v>
      </c>
      <c r="J530" t="s">
        <v>13</v>
      </c>
    </row>
    <row r="531" spans="1:11" x14ac:dyDescent="0.35">
      <c r="A531" t="s">
        <v>5</v>
      </c>
      <c r="B531" t="str">
        <f>"18127"</f>
        <v>18127</v>
      </c>
      <c r="C531" t="str">
        <f>"002"</f>
        <v>002</v>
      </c>
      <c r="D531">
        <v>2013</v>
      </c>
      <c r="E531" s="1">
        <v>7555500</v>
      </c>
      <c r="F531" s="1">
        <v>5942200</v>
      </c>
      <c r="G531" s="1" t="s">
        <v>11</v>
      </c>
      <c r="H531" s="1" t="s">
        <v>38</v>
      </c>
      <c r="I531" t="s">
        <v>13</v>
      </c>
      <c r="J531" t="s">
        <v>13</v>
      </c>
    </row>
    <row r="532" spans="1:11" x14ac:dyDescent="0.35">
      <c r="A532" t="s">
        <v>39</v>
      </c>
      <c r="B532" t="s">
        <v>13</v>
      </c>
      <c r="C532" t="s">
        <v>7</v>
      </c>
      <c r="D532" t="s">
        <v>8</v>
      </c>
      <c r="E532" s="1">
        <v>9058400</v>
      </c>
      <c r="F532" s="1">
        <v>7372300</v>
      </c>
      <c r="G532" s="1" t="s">
        <v>11</v>
      </c>
      <c r="H532" s="1">
        <v>106112700</v>
      </c>
      <c r="I532" t="s">
        <v>13</v>
      </c>
      <c r="J532" t="s">
        <v>13</v>
      </c>
      <c r="K532">
        <v>6.95</v>
      </c>
    </row>
    <row r="533" spans="1:11" x14ac:dyDescent="0.35">
      <c r="E533" s="1"/>
      <c r="F533" s="1"/>
      <c r="G533" s="1"/>
      <c r="H533" s="1"/>
    </row>
    <row r="534" spans="1:11" x14ac:dyDescent="0.35">
      <c r="A534" t="s">
        <v>152</v>
      </c>
      <c r="B534" t="str">
        <f>"11126"</f>
        <v>11126</v>
      </c>
      <c r="C534" t="str">
        <f>"005"</f>
        <v>005</v>
      </c>
      <c r="D534">
        <v>2020</v>
      </c>
      <c r="E534" s="1">
        <v>19289100</v>
      </c>
      <c r="F534" s="1">
        <v>378400</v>
      </c>
      <c r="G534" s="1" t="s">
        <v>11</v>
      </c>
      <c r="H534" s="1" t="s">
        <v>38</v>
      </c>
      <c r="I534" t="s">
        <v>13</v>
      </c>
      <c r="J534" t="s">
        <v>13</v>
      </c>
    </row>
    <row r="535" spans="1:11" x14ac:dyDescent="0.35">
      <c r="A535" t="s">
        <v>39</v>
      </c>
      <c r="B535" t="s">
        <v>13</v>
      </c>
      <c r="C535" t="s">
        <v>7</v>
      </c>
      <c r="D535" t="s">
        <v>8</v>
      </c>
      <c r="E535" s="1">
        <v>19289100</v>
      </c>
      <c r="F535" s="1">
        <v>378400</v>
      </c>
      <c r="G535" s="1" t="s">
        <v>11</v>
      </c>
      <c r="H535" s="1">
        <v>179060400</v>
      </c>
      <c r="I535" t="s">
        <v>13</v>
      </c>
      <c r="J535" t="s">
        <v>13</v>
      </c>
      <c r="K535">
        <v>0.21</v>
      </c>
    </row>
    <row r="536" spans="1:11" x14ac:dyDescent="0.35">
      <c r="E536" s="1"/>
      <c r="F536" s="1"/>
      <c r="G536" s="1"/>
      <c r="H536" s="1"/>
    </row>
    <row r="537" spans="1:11" x14ac:dyDescent="0.35">
      <c r="A537" t="s">
        <v>153</v>
      </c>
      <c r="B537" t="str">
        <f>"22226"</f>
        <v>22226</v>
      </c>
      <c r="C537" t="str">
        <f>"004"</f>
        <v>004</v>
      </c>
      <c r="D537">
        <v>2002</v>
      </c>
      <c r="E537" s="1">
        <v>1020600</v>
      </c>
      <c r="F537" s="1">
        <v>988400</v>
      </c>
      <c r="G537" s="1" t="s">
        <v>11</v>
      </c>
      <c r="H537" s="1" t="s">
        <v>38</v>
      </c>
      <c r="I537" t="s">
        <v>13</v>
      </c>
      <c r="J537" t="s">
        <v>13</v>
      </c>
    </row>
    <row r="538" spans="1:11" x14ac:dyDescent="0.35">
      <c r="A538" t="s">
        <v>5</v>
      </c>
      <c r="B538" t="str">
        <f>"22226"</f>
        <v>22226</v>
      </c>
      <c r="C538" t="str">
        <f>"005"</f>
        <v>005</v>
      </c>
      <c r="D538">
        <v>2005</v>
      </c>
      <c r="E538" s="1">
        <v>5815800</v>
      </c>
      <c r="F538" s="1">
        <v>-1143100</v>
      </c>
      <c r="G538" s="1" t="s">
        <v>48</v>
      </c>
      <c r="H538" s="1" t="s">
        <v>38</v>
      </c>
      <c r="I538" t="s">
        <v>13</v>
      </c>
      <c r="J538" t="s">
        <v>13</v>
      </c>
    </row>
    <row r="539" spans="1:11" x14ac:dyDescent="0.35">
      <c r="A539" t="s">
        <v>5</v>
      </c>
      <c r="B539" t="str">
        <f>"22226"</f>
        <v>22226</v>
      </c>
      <c r="C539" t="str">
        <f>"006"</f>
        <v>006</v>
      </c>
      <c r="D539">
        <v>2017</v>
      </c>
      <c r="E539" s="1">
        <v>14842800</v>
      </c>
      <c r="F539" s="1">
        <v>8406200</v>
      </c>
      <c r="G539" s="1" t="s">
        <v>11</v>
      </c>
      <c r="H539" s="1" t="s">
        <v>38</v>
      </c>
      <c r="I539" t="s">
        <v>13</v>
      </c>
      <c r="J539" t="s">
        <v>13</v>
      </c>
    </row>
    <row r="540" spans="1:11" x14ac:dyDescent="0.35">
      <c r="A540" t="s">
        <v>39</v>
      </c>
      <c r="B540" t="s">
        <v>13</v>
      </c>
      <c r="C540" t="s">
        <v>7</v>
      </c>
      <c r="D540" t="s">
        <v>8</v>
      </c>
      <c r="E540" s="1">
        <v>21679200</v>
      </c>
      <c r="F540" s="1">
        <v>9394600</v>
      </c>
      <c r="G540" s="1" t="s">
        <v>11</v>
      </c>
      <c r="H540" s="1">
        <v>138745200</v>
      </c>
      <c r="I540" t="s">
        <v>13</v>
      </c>
      <c r="J540" t="s">
        <v>13</v>
      </c>
      <c r="K540">
        <v>6.77</v>
      </c>
    </row>
    <row r="541" spans="1:11" x14ac:dyDescent="0.35">
      <c r="E541" s="1"/>
      <c r="F541" s="1"/>
      <c r="G541" s="1"/>
      <c r="H541" s="1"/>
    </row>
    <row r="542" spans="1:11" x14ac:dyDescent="0.35">
      <c r="A542" t="s">
        <v>154</v>
      </c>
      <c r="B542" t="str">
        <f>"12126"</f>
        <v>12126</v>
      </c>
      <c r="C542" t="str">
        <f>"001"</f>
        <v>001</v>
      </c>
      <c r="D542">
        <v>2003</v>
      </c>
      <c r="E542" s="1">
        <v>369400</v>
      </c>
      <c r="F542" s="1">
        <v>317300</v>
      </c>
      <c r="G542" s="1" t="s">
        <v>11</v>
      </c>
      <c r="H542" s="1" t="s">
        <v>38</v>
      </c>
      <c r="I542" t="s">
        <v>13</v>
      </c>
      <c r="J542" t="s">
        <v>13</v>
      </c>
    </row>
    <row r="543" spans="1:11" x14ac:dyDescent="0.35">
      <c r="A543" t="s">
        <v>39</v>
      </c>
      <c r="B543" t="s">
        <v>13</v>
      </c>
      <c r="C543" t="s">
        <v>7</v>
      </c>
      <c r="D543" t="s">
        <v>8</v>
      </c>
      <c r="E543" s="1">
        <v>369400</v>
      </c>
      <c r="F543" s="1">
        <v>317300</v>
      </c>
      <c r="G543" s="1" t="s">
        <v>11</v>
      </c>
      <c r="H543" s="1">
        <v>30083500</v>
      </c>
      <c r="I543" t="s">
        <v>13</v>
      </c>
      <c r="J543" t="s">
        <v>13</v>
      </c>
      <c r="K543">
        <v>1.05</v>
      </c>
    </row>
    <row r="544" spans="1:11" x14ac:dyDescent="0.35">
      <c r="E544" s="1"/>
      <c r="F544" s="1"/>
      <c r="G544" s="1"/>
      <c r="H544" s="1"/>
    </row>
    <row r="545" spans="1:11" x14ac:dyDescent="0.35">
      <c r="A545" t="s">
        <v>155</v>
      </c>
      <c r="B545" t="str">
        <f t="shared" ref="B545:B551" si="7">"13225"</f>
        <v>13225</v>
      </c>
      <c r="C545" t="str">
        <f>"004"</f>
        <v>004</v>
      </c>
      <c r="D545">
        <v>2003</v>
      </c>
      <c r="E545" s="1">
        <v>269700200</v>
      </c>
      <c r="F545" s="1">
        <v>220556200</v>
      </c>
      <c r="G545" s="1" t="s">
        <v>11</v>
      </c>
      <c r="H545" s="1" t="s">
        <v>38</v>
      </c>
      <c r="I545" t="s">
        <v>13</v>
      </c>
      <c r="J545" t="s">
        <v>13</v>
      </c>
    </row>
    <row r="546" spans="1:11" x14ac:dyDescent="0.35">
      <c r="A546" t="s">
        <v>5</v>
      </c>
      <c r="B546" t="str">
        <f t="shared" si="7"/>
        <v>13225</v>
      </c>
      <c r="C546" t="str">
        <f>"006"</f>
        <v>006</v>
      </c>
      <c r="D546">
        <v>2006</v>
      </c>
      <c r="E546" s="1">
        <v>198236700</v>
      </c>
      <c r="F546" s="1">
        <v>111435900</v>
      </c>
      <c r="G546" s="1" t="s">
        <v>11</v>
      </c>
      <c r="H546" s="1" t="s">
        <v>38</v>
      </c>
      <c r="I546" t="s">
        <v>13</v>
      </c>
      <c r="J546" t="s">
        <v>13</v>
      </c>
    </row>
    <row r="547" spans="1:11" x14ac:dyDescent="0.35">
      <c r="A547" t="s">
        <v>5</v>
      </c>
      <c r="B547" t="str">
        <f t="shared" si="7"/>
        <v>13225</v>
      </c>
      <c r="C547" t="str">
        <f>"009"</f>
        <v>009</v>
      </c>
      <c r="D547">
        <v>2015</v>
      </c>
      <c r="E547" s="1">
        <v>151815000</v>
      </c>
      <c r="F547" s="1">
        <v>105805400</v>
      </c>
      <c r="G547" s="1" t="s">
        <v>11</v>
      </c>
      <c r="H547" s="1" t="s">
        <v>38</v>
      </c>
      <c r="I547" t="s">
        <v>13</v>
      </c>
      <c r="J547" t="s">
        <v>13</v>
      </c>
    </row>
    <row r="548" spans="1:11" x14ac:dyDescent="0.35">
      <c r="A548" t="s">
        <v>5</v>
      </c>
      <c r="B548" t="str">
        <f t="shared" si="7"/>
        <v>13225</v>
      </c>
      <c r="C548" t="str">
        <f>"010"</f>
        <v>010</v>
      </c>
      <c r="D548">
        <v>2016</v>
      </c>
      <c r="E548" s="1">
        <v>74053300</v>
      </c>
      <c r="F548" s="1">
        <v>31180800</v>
      </c>
      <c r="G548" s="1" t="s">
        <v>11</v>
      </c>
      <c r="H548" s="1" t="s">
        <v>38</v>
      </c>
      <c r="I548" t="s">
        <v>13</v>
      </c>
      <c r="J548" t="s">
        <v>13</v>
      </c>
    </row>
    <row r="549" spans="1:11" x14ac:dyDescent="0.35">
      <c r="A549" t="s">
        <v>5</v>
      </c>
      <c r="B549" t="str">
        <f t="shared" si="7"/>
        <v>13225</v>
      </c>
      <c r="C549" t="str">
        <f>"011"</f>
        <v>011</v>
      </c>
      <c r="D549">
        <v>2018</v>
      </c>
      <c r="E549" s="1">
        <v>391000</v>
      </c>
      <c r="F549" s="1">
        <v>-45200</v>
      </c>
      <c r="G549" s="1" t="s">
        <v>48</v>
      </c>
      <c r="H549" s="1" t="s">
        <v>38</v>
      </c>
      <c r="I549" t="s">
        <v>13</v>
      </c>
      <c r="J549" t="s">
        <v>13</v>
      </c>
    </row>
    <row r="550" spans="1:11" x14ac:dyDescent="0.35">
      <c r="A550" t="s">
        <v>5</v>
      </c>
      <c r="B550" t="str">
        <f t="shared" si="7"/>
        <v>13225</v>
      </c>
      <c r="C550" t="str">
        <f>"012"</f>
        <v>012</v>
      </c>
      <c r="D550">
        <v>2018</v>
      </c>
      <c r="E550" s="1">
        <v>216824900</v>
      </c>
      <c r="F550" s="1">
        <v>88634900</v>
      </c>
      <c r="G550" s="1" t="s">
        <v>11</v>
      </c>
      <c r="H550" s="1" t="s">
        <v>38</v>
      </c>
      <c r="I550" t="s">
        <v>13</v>
      </c>
      <c r="J550" t="s">
        <v>13</v>
      </c>
    </row>
    <row r="551" spans="1:11" x14ac:dyDescent="0.35">
      <c r="A551" t="s">
        <v>5</v>
      </c>
      <c r="B551" t="str">
        <f t="shared" si="7"/>
        <v>13225</v>
      </c>
      <c r="C551" t="str">
        <f>"013"</f>
        <v>013</v>
      </c>
      <c r="D551">
        <v>2018</v>
      </c>
      <c r="E551" s="1">
        <v>29973500</v>
      </c>
      <c r="F551" s="1">
        <v>13834400</v>
      </c>
      <c r="G551" s="1" t="s">
        <v>11</v>
      </c>
      <c r="H551" s="1" t="s">
        <v>38</v>
      </c>
      <c r="I551" t="s">
        <v>13</v>
      </c>
      <c r="J551" t="s">
        <v>13</v>
      </c>
    </row>
    <row r="552" spans="1:11" x14ac:dyDescent="0.35">
      <c r="A552" t="s">
        <v>39</v>
      </c>
      <c r="B552" t="s">
        <v>13</v>
      </c>
      <c r="C552" t="s">
        <v>7</v>
      </c>
      <c r="D552" t="s">
        <v>8</v>
      </c>
      <c r="E552" s="1">
        <v>940994600</v>
      </c>
      <c r="F552" s="1">
        <v>571447600</v>
      </c>
      <c r="G552" s="1" t="s">
        <v>11</v>
      </c>
      <c r="H552" s="1">
        <v>4100343800</v>
      </c>
      <c r="I552" t="s">
        <v>13</v>
      </c>
      <c r="J552" t="s">
        <v>13</v>
      </c>
      <c r="K552">
        <v>13.94</v>
      </c>
    </row>
    <row r="553" spans="1:11" x14ac:dyDescent="0.35">
      <c r="E553" s="1"/>
      <c r="F553" s="1"/>
      <c r="G553" s="1"/>
      <c r="H553" s="1"/>
    </row>
    <row r="554" spans="1:11" x14ac:dyDescent="0.35">
      <c r="A554" t="s">
        <v>156</v>
      </c>
      <c r="B554" t="str">
        <f>"19010"</f>
        <v>19010</v>
      </c>
      <c r="C554" t="str">
        <f>"001R"</f>
        <v>001R</v>
      </c>
      <c r="D554">
        <v>2013</v>
      </c>
      <c r="E554" s="1">
        <v>17136500</v>
      </c>
      <c r="F554" s="1">
        <v>5736100</v>
      </c>
      <c r="G554" s="1" t="s">
        <v>11</v>
      </c>
      <c r="H554" s="1" t="s">
        <v>38</v>
      </c>
      <c r="I554" t="s">
        <v>13</v>
      </c>
      <c r="J554" t="s">
        <v>13</v>
      </c>
    </row>
    <row r="555" spans="1:11" x14ac:dyDescent="0.35">
      <c r="A555" t="s">
        <v>39</v>
      </c>
      <c r="B555" t="s">
        <v>13</v>
      </c>
      <c r="C555" t="s">
        <v>7</v>
      </c>
      <c r="D555" t="s">
        <v>8</v>
      </c>
      <c r="E555" s="1">
        <v>17136500</v>
      </c>
      <c r="F555" s="1">
        <v>5736100</v>
      </c>
      <c r="G555" s="1" t="s">
        <v>11</v>
      </c>
      <c r="H555" s="1">
        <v>376385800</v>
      </c>
      <c r="I555" t="s">
        <v>13</v>
      </c>
      <c r="J555" t="s">
        <v>13</v>
      </c>
      <c r="K555">
        <v>1.52</v>
      </c>
    </row>
    <row r="556" spans="1:11" x14ac:dyDescent="0.35">
      <c r="E556" s="1"/>
      <c r="F556" s="1"/>
      <c r="G556" s="1"/>
      <c r="H556" s="1"/>
    </row>
    <row r="557" spans="1:11" x14ac:dyDescent="0.35">
      <c r="A557" t="s">
        <v>157</v>
      </c>
      <c r="B557" t="str">
        <f t="shared" ref="B557:B569" si="8">"20226"</f>
        <v>20226</v>
      </c>
      <c r="C557" t="str">
        <f>"010"</f>
        <v>010</v>
      </c>
      <c r="D557">
        <v>2004</v>
      </c>
      <c r="E557" s="1">
        <v>74799800</v>
      </c>
      <c r="F557" s="1">
        <v>72769200</v>
      </c>
      <c r="G557" s="1" t="s">
        <v>11</v>
      </c>
      <c r="H557" s="1" t="s">
        <v>38</v>
      </c>
      <c r="I557" t="s">
        <v>13</v>
      </c>
      <c r="J557" t="s">
        <v>13</v>
      </c>
    </row>
    <row r="558" spans="1:11" x14ac:dyDescent="0.35">
      <c r="A558" t="s">
        <v>5</v>
      </c>
      <c r="B558" t="str">
        <f t="shared" si="8"/>
        <v>20226</v>
      </c>
      <c r="C558" t="str">
        <f>"012"</f>
        <v>012</v>
      </c>
      <c r="D558">
        <v>2008</v>
      </c>
      <c r="E558" s="1">
        <v>2602100</v>
      </c>
      <c r="F558" s="1">
        <v>2602100</v>
      </c>
      <c r="G558" s="1" t="s">
        <v>11</v>
      </c>
      <c r="H558" s="1" t="s">
        <v>38</v>
      </c>
      <c r="I558" t="s">
        <v>13</v>
      </c>
      <c r="J558" t="s">
        <v>13</v>
      </c>
    </row>
    <row r="559" spans="1:11" x14ac:dyDescent="0.35">
      <c r="A559" t="s">
        <v>5</v>
      </c>
      <c r="B559" t="str">
        <f t="shared" si="8"/>
        <v>20226</v>
      </c>
      <c r="C559" t="str">
        <f>"013"</f>
        <v>013</v>
      </c>
      <c r="D559">
        <v>2010</v>
      </c>
      <c r="E559" s="1">
        <v>6843800</v>
      </c>
      <c r="F559" s="1">
        <v>4111300</v>
      </c>
      <c r="G559" s="1" t="s">
        <v>11</v>
      </c>
      <c r="H559" s="1" t="s">
        <v>38</v>
      </c>
      <c r="I559" t="s">
        <v>13</v>
      </c>
      <c r="J559" t="s">
        <v>13</v>
      </c>
    </row>
    <row r="560" spans="1:11" x14ac:dyDescent="0.35">
      <c r="A560" t="s">
        <v>5</v>
      </c>
      <c r="B560" t="str">
        <f t="shared" si="8"/>
        <v>20226</v>
      </c>
      <c r="C560" t="str">
        <f>"014"</f>
        <v>014</v>
      </c>
      <c r="D560">
        <v>2011</v>
      </c>
      <c r="E560" s="1">
        <v>7895200</v>
      </c>
      <c r="F560" s="1">
        <v>7366200</v>
      </c>
      <c r="G560" s="1" t="s">
        <v>11</v>
      </c>
      <c r="H560" s="1" t="s">
        <v>38</v>
      </c>
      <c r="I560" t="s">
        <v>13</v>
      </c>
      <c r="J560" t="s">
        <v>13</v>
      </c>
    </row>
    <row r="561" spans="1:11" x14ac:dyDescent="0.35">
      <c r="A561" t="s">
        <v>5</v>
      </c>
      <c r="B561" t="str">
        <f t="shared" si="8"/>
        <v>20226</v>
      </c>
      <c r="C561" t="str">
        <f>"015"</f>
        <v>015</v>
      </c>
      <c r="D561">
        <v>2011</v>
      </c>
      <c r="E561" s="1">
        <v>908900</v>
      </c>
      <c r="F561" s="1">
        <v>712700</v>
      </c>
      <c r="G561" s="1" t="s">
        <v>11</v>
      </c>
      <c r="H561" s="1" t="s">
        <v>38</v>
      </c>
      <c r="I561" t="s">
        <v>13</v>
      </c>
      <c r="J561" t="s">
        <v>13</v>
      </c>
    </row>
    <row r="562" spans="1:11" x14ac:dyDescent="0.35">
      <c r="A562" t="s">
        <v>5</v>
      </c>
      <c r="B562" t="str">
        <f t="shared" si="8"/>
        <v>20226</v>
      </c>
      <c r="C562" t="str">
        <f>"017"</f>
        <v>017</v>
      </c>
      <c r="D562">
        <v>2012</v>
      </c>
      <c r="E562" s="1">
        <v>7405600</v>
      </c>
      <c r="F562" s="1">
        <v>6019900</v>
      </c>
      <c r="G562" s="1" t="s">
        <v>11</v>
      </c>
      <c r="H562" s="1" t="s">
        <v>38</v>
      </c>
      <c r="I562" t="s">
        <v>13</v>
      </c>
      <c r="J562" t="s">
        <v>13</v>
      </c>
    </row>
    <row r="563" spans="1:11" x14ac:dyDescent="0.35">
      <c r="A563" t="s">
        <v>5</v>
      </c>
      <c r="B563" t="str">
        <f t="shared" si="8"/>
        <v>20226</v>
      </c>
      <c r="C563" t="str">
        <f>"018"</f>
        <v>018</v>
      </c>
      <c r="D563">
        <v>2014</v>
      </c>
      <c r="E563" s="1">
        <v>14020800</v>
      </c>
      <c r="F563" s="1">
        <v>10231600</v>
      </c>
      <c r="G563" s="1" t="s">
        <v>11</v>
      </c>
      <c r="H563" s="1" t="s">
        <v>38</v>
      </c>
      <c r="I563" t="s">
        <v>13</v>
      </c>
      <c r="J563" t="s">
        <v>13</v>
      </c>
    </row>
    <row r="564" spans="1:11" x14ac:dyDescent="0.35">
      <c r="A564" t="s">
        <v>5</v>
      </c>
      <c r="B564" t="str">
        <f t="shared" si="8"/>
        <v>20226</v>
      </c>
      <c r="C564" t="str">
        <f>"019"</f>
        <v>019</v>
      </c>
      <c r="D564">
        <v>2015</v>
      </c>
      <c r="E564" s="1">
        <v>1733000</v>
      </c>
      <c r="F564" s="1">
        <v>973200</v>
      </c>
      <c r="G564" s="1" t="s">
        <v>11</v>
      </c>
      <c r="H564" s="1" t="s">
        <v>38</v>
      </c>
      <c r="I564" t="s">
        <v>13</v>
      </c>
      <c r="J564" t="s">
        <v>13</v>
      </c>
    </row>
    <row r="565" spans="1:11" x14ac:dyDescent="0.35">
      <c r="A565" t="s">
        <v>5</v>
      </c>
      <c r="B565" t="str">
        <f t="shared" si="8"/>
        <v>20226</v>
      </c>
      <c r="C565" t="str">
        <f>"020"</f>
        <v>020</v>
      </c>
      <c r="D565">
        <v>2017</v>
      </c>
      <c r="E565" s="1">
        <v>927300</v>
      </c>
      <c r="F565" s="1">
        <v>927300</v>
      </c>
      <c r="G565" s="1" t="s">
        <v>11</v>
      </c>
      <c r="H565" s="1" t="s">
        <v>38</v>
      </c>
      <c r="I565" t="s">
        <v>13</v>
      </c>
      <c r="J565" t="s">
        <v>13</v>
      </c>
    </row>
    <row r="566" spans="1:11" x14ac:dyDescent="0.35">
      <c r="A566" t="s">
        <v>5</v>
      </c>
      <c r="B566" t="str">
        <f t="shared" si="8"/>
        <v>20226</v>
      </c>
      <c r="C566" t="str">
        <f>"021"</f>
        <v>021</v>
      </c>
      <c r="D566">
        <v>2017</v>
      </c>
      <c r="E566" s="1">
        <v>1946800</v>
      </c>
      <c r="F566" s="1">
        <v>-209600</v>
      </c>
      <c r="G566" s="1" t="s">
        <v>48</v>
      </c>
      <c r="H566" s="1" t="s">
        <v>38</v>
      </c>
      <c r="I566" t="s">
        <v>13</v>
      </c>
      <c r="J566" t="s">
        <v>13</v>
      </c>
    </row>
    <row r="567" spans="1:11" x14ac:dyDescent="0.35">
      <c r="A567" t="s">
        <v>5</v>
      </c>
      <c r="B567" t="str">
        <f t="shared" si="8"/>
        <v>20226</v>
      </c>
      <c r="C567" t="str">
        <f>"022"</f>
        <v>022</v>
      </c>
      <c r="D567">
        <v>2017</v>
      </c>
      <c r="E567" s="1">
        <v>12745400</v>
      </c>
      <c r="F567" s="1">
        <v>11227700</v>
      </c>
      <c r="G567" s="1" t="s">
        <v>11</v>
      </c>
      <c r="H567" s="1" t="s">
        <v>38</v>
      </c>
      <c r="I567" t="s">
        <v>13</v>
      </c>
      <c r="J567" t="s">
        <v>13</v>
      </c>
    </row>
    <row r="568" spans="1:11" x14ac:dyDescent="0.35">
      <c r="A568" t="s">
        <v>5</v>
      </c>
      <c r="B568" t="str">
        <f t="shared" si="8"/>
        <v>20226</v>
      </c>
      <c r="C568" t="str">
        <f>"023"</f>
        <v>023</v>
      </c>
      <c r="D568">
        <v>2018</v>
      </c>
      <c r="E568" s="1">
        <v>7583200</v>
      </c>
      <c r="F568" s="1">
        <v>2335100</v>
      </c>
      <c r="G568" s="1" t="s">
        <v>11</v>
      </c>
      <c r="H568" s="1" t="s">
        <v>38</v>
      </c>
      <c r="I568" t="s">
        <v>13</v>
      </c>
      <c r="J568" t="s">
        <v>13</v>
      </c>
    </row>
    <row r="569" spans="1:11" x14ac:dyDescent="0.35">
      <c r="A569" t="s">
        <v>5</v>
      </c>
      <c r="B569" t="str">
        <f t="shared" si="8"/>
        <v>20226</v>
      </c>
      <c r="C569" t="str">
        <f>"024"</f>
        <v>024</v>
      </c>
      <c r="D569">
        <v>2018</v>
      </c>
      <c r="E569" s="1">
        <v>14474600</v>
      </c>
      <c r="F569" s="1">
        <v>14063100</v>
      </c>
      <c r="G569" s="1" t="s">
        <v>11</v>
      </c>
      <c r="H569" s="1" t="s">
        <v>38</v>
      </c>
      <c r="I569" t="s">
        <v>13</v>
      </c>
      <c r="J569" t="s">
        <v>13</v>
      </c>
    </row>
    <row r="570" spans="1:11" x14ac:dyDescent="0.35">
      <c r="A570" t="s">
        <v>39</v>
      </c>
      <c r="B570" t="s">
        <v>13</v>
      </c>
      <c r="C570" t="s">
        <v>7</v>
      </c>
      <c r="D570" t="s">
        <v>8</v>
      </c>
      <c r="E570" s="1">
        <v>153886500</v>
      </c>
      <c r="F570" s="1">
        <v>133339400</v>
      </c>
      <c r="G570" s="1" t="s">
        <v>11</v>
      </c>
      <c r="H570" s="1">
        <v>3329718700</v>
      </c>
      <c r="I570" t="s">
        <v>13</v>
      </c>
      <c r="J570" t="s">
        <v>13</v>
      </c>
      <c r="K570">
        <v>4</v>
      </c>
    </row>
    <row r="571" spans="1:11" x14ac:dyDescent="0.35">
      <c r="E571" s="1"/>
      <c r="F571" s="1"/>
      <c r="G571" s="1"/>
      <c r="H571" s="1"/>
    </row>
    <row r="572" spans="1:11" x14ac:dyDescent="0.35">
      <c r="A572" t="s">
        <v>158</v>
      </c>
      <c r="B572" t="str">
        <f>"64126"</f>
        <v>64126</v>
      </c>
      <c r="C572" t="str">
        <f>"001"</f>
        <v>001</v>
      </c>
      <c r="D572">
        <v>2001</v>
      </c>
      <c r="E572" s="1">
        <v>143477200</v>
      </c>
      <c r="F572" s="1">
        <v>113256800</v>
      </c>
      <c r="G572" s="1" t="s">
        <v>11</v>
      </c>
      <c r="H572" s="1" t="s">
        <v>38</v>
      </c>
      <c r="I572" t="s">
        <v>13</v>
      </c>
      <c r="J572" t="s">
        <v>13</v>
      </c>
    </row>
    <row r="573" spans="1:11" x14ac:dyDescent="0.35">
      <c r="A573" t="s">
        <v>39</v>
      </c>
      <c r="B573" t="s">
        <v>13</v>
      </c>
      <c r="C573" t="s">
        <v>7</v>
      </c>
      <c r="D573" t="s">
        <v>8</v>
      </c>
      <c r="E573" s="1">
        <v>143477200</v>
      </c>
      <c r="F573" s="1">
        <v>113256800</v>
      </c>
      <c r="G573" s="1" t="s">
        <v>11</v>
      </c>
      <c r="H573" s="1">
        <v>1518631100</v>
      </c>
      <c r="I573" t="s">
        <v>13</v>
      </c>
      <c r="J573" t="s">
        <v>13</v>
      </c>
      <c r="K573">
        <v>7.46</v>
      </c>
    </row>
    <row r="574" spans="1:11" x14ac:dyDescent="0.35">
      <c r="E574" s="1"/>
      <c r="F574" s="1"/>
      <c r="G574" s="1"/>
      <c r="H574" s="1"/>
    </row>
    <row r="575" spans="1:11" x14ac:dyDescent="0.35">
      <c r="A575" t="s">
        <v>159</v>
      </c>
      <c r="B575" t="str">
        <f>"53126"</f>
        <v>53126</v>
      </c>
      <c r="C575" t="str">
        <f>"001"</f>
        <v>001</v>
      </c>
      <c r="D575">
        <v>2000</v>
      </c>
      <c r="E575" s="1">
        <v>13402200</v>
      </c>
      <c r="F575" s="1">
        <v>12166900</v>
      </c>
      <c r="G575" s="1" t="s">
        <v>11</v>
      </c>
      <c r="H575" s="1" t="s">
        <v>38</v>
      </c>
      <c r="I575" t="s">
        <v>13</v>
      </c>
      <c r="J575" t="s">
        <v>13</v>
      </c>
    </row>
    <row r="576" spans="1:11" x14ac:dyDescent="0.35">
      <c r="A576" t="s">
        <v>39</v>
      </c>
      <c r="B576" t="s">
        <v>13</v>
      </c>
      <c r="C576" t="s">
        <v>7</v>
      </c>
      <c r="D576" t="s">
        <v>8</v>
      </c>
      <c r="E576" s="1">
        <v>13402200</v>
      </c>
      <c r="F576" s="1">
        <v>12166900</v>
      </c>
      <c r="G576" s="1" t="s">
        <v>11</v>
      </c>
      <c r="H576" s="1">
        <v>54481500</v>
      </c>
      <c r="I576" t="s">
        <v>13</v>
      </c>
      <c r="J576" t="s">
        <v>13</v>
      </c>
      <c r="K576">
        <v>22.33</v>
      </c>
    </row>
    <row r="577" spans="1:11" x14ac:dyDescent="0.35">
      <c r="E577" s="1"/>
      <c r="F577" s="1"/>
      <c r="G577" s="1"/>
      <c r="H577" s="1"/>
    </row>
    <row r="578" spans="1:11" x14ac:dyDescent="0.35">
      <c r="A578" t="s">
        <v>160</v>
      </c>
      <c r="B578" t="str">
        <f>"28226"</f>
        <v>28226</v>
      </c>
      <c r="C578" t="str">
        <f>"006"</f>
        <v>006</v>
      </c>
      <c r="D578">
        <v>2000</v>
      </c>
      <c r="E578" s="1">
        <v>7538300</v>
      </c>
      <c r="F578" s="1">
        <v>6402900</v>
      </c>
      <c r="G578" s="1" t="s">
        <v>11</v>
      </c>
      <c r="H578" s="1" t="s">
        <v>38</v>
      </c>
      <c r="I578" t="s">
        <v>13</v>
      </c>
      <c r="J578" t="s">
        <v>13</v>
      </c>
    </row>
    <row r="579" spans="1:11" x14ac:dyDescent="0.35">
      <c r="A579" t="s">
        <v>5</v>
      </c>
      <c r="B579" t="str">
        <f>"28226"</f>
        <v>28226</v>
      </c>
      <c r="C579" t="str">
        <f>"007"</f>
        <v>007</v>
      </c>
      <c r="D579">
        <v>2000</v>
      </c>
      <c r="E579" s="1">
        <v>31758700</v>
      </c>
      <c r="F579" s="1">
        <v>20170800</v>
      </c>
      <c r="G579" s="1" t="s">
        <v>11</v>
      </c>
      <c r="H579" s="1" t="s">
        <v>38</v>
      </c>
      <c r="I579" t="s">
        <v>13</v>
      </c>
      <c r="J579" t="s">
        <v>13</v>
      </c>
    </row>
    <row r="580" spans="1:11" x14ac:dyDescent="0.35">
      <c r="A580" t="s">
        <v>5</v>
      </c>
      <c r="B580" t="str">
        <f>"28226"</f>
        <v>28226</v>
      </c>
      <c r="C580" t="str">
        <f>"008"</f>
        <v>008</v>
      </c>
      <c r="D580">
        <v>2009</v>
      </c>
      <c r="E580" s="1">
        <v>65204300</v>
      </c>
      <c r="F580" s="1">
        <v>36620100</v>
      </c>
      <c r="G580" s="1" t="s">
        <v>11</v>
      </c>
      <c r="H580" s="1" t="s">
        <v>38</v>
      </c>
      <c r="I580" t="s">
        <v>13</v>
      </c>
      <c r="J580" t="s">
        <v>13</v>
      </c>
    </row>
    <row r="581" spans="1:11" x14ac:dyDescent="0.35">
      <c r="A581" t="s">
        <v>39</v>
      </c>
      <c r="B581" t="s">
        <v>13</v>
      </c>
      <c r="C581" t="s">
        <v>7</v>
      </c>
      <c r="D581" t="s">
        <v>8</v>
      </c>
      <c r="E581" s="1">
        <v>104501300</v>
      </c>
      <c r="F581" s="1">
        <v>63193800</v>
      </c>
      <c r="G581" s="1" t="s">
        <v>11</v>
      </c>
      <c r="H581" s="1">
        <v>1105765400</v>
      </c>
      <c r="I581" t="s">
        <v>13</v>
      </c>
      <c r="J581" t="s">
        <v>13</v>
      </c>
      <c r="K581">
        <v>5.71</v>
      </c>
    </row>
    <row r="582" spans="1:11" x14ac:dyDescent="0.35">
      <c r="E582" s="1"/>
      <c r="F582" s="1"/>
      <c r="G582" s="1"/>
      <c r="H582" s="1"/>
    </row>
    <row r="583" spans="1:11" x14ac:dyDescent="0.35">
      <c r="A583" t="s">
        <v>161</v>
      </c>
      <c r="B583" t="str">
        <f>"70121"</f>
        <v>70121</v>
      </c>
      <c r="C583" t="str">
        <f>"001"</f>
        <v>001</v>
      </c>
      <c r="D583">
        <v>2015</v>
      </c>
      <c r="E583" s="1">
        <v>33278000</v>
      </c>
      <c r="F583" s="1">
        <v>30545700</v>
      </c>
      <c r="G583" s="1" t="s">
        <v>11</v>
      </c>
      <c r="H583" s="1" t="s">
        <v>38</v>
      </c>
      <c r="I583" t="s">
        <v>13</v>
      </c>
      <c r="J583" t="s">
        <v>13</v>
      </c>
    </row>
    <row r="584" spans="1:11" x14ac:dyDescent="0.35">
      <c r="A584" t="s">
        <v>5</v>
      </c>
      <c r="B584" t="str">
        <f>"70121"</f>
        <v>70121</v>
      </c>
      <c r="C584" t="str">
        <f>"002"</f>
        <v>002</v>
      </c>
      <c r="D584">
        <v>2016</v>
      </c>
      <c r="E584" s="1">
        <v>53533200</v>
      </c>
      <c r="F584" s="1">
        <v>22583400</v>
      </c>
      <c r="G584" s="1" t="s">
        <v>11</v>
      </c>
      <c r="H584" s="1" t="s">
        <v>38</v>
      </c>
      <c r="I584" t="s">
        <v>13</v>
      </c>
      <c r="J584" t="s">
        <v>13</v>
      </c>
    </row>
    <row r="585" spans="1:11" x14ac:dyDescent="0.35">
      <c r="A585" t="s">
        <v>5</v>
      </c>
      <c r="B585" t="str">
        <f>"70121"</f>
        <v>70121</v>
      </c>
      <c r="C585" t="str">
        <f>"003"</f>
        <v>003</v>
      </c>
      <c r="D585">
        <v>2017</v>
      </c>
      <c r="E585" s="1">
        <v>67342000</v>
      </c>
      <c r="F585" s="1">
        <v>67322000</v>
      </c>
      <c r="G585" s="1" t="s">
        <v>11</v>
      </c>
      <c r="H585" s="1" t="s">
        <v>38</v>
      </c>
      <c r="I585" t="s">
        <v>13</v>
      </c>
      <c r="J585" t="s">
        <v>13</v>
      </c>
    </row>
    <row r="586" spans="1:11" x14ac:dyDescent="0.35">
      <c r="A586" t="s">
        <v>5</v>
      </c>
      <c r="B586" t="str">
        <f>"70121"</f>
        <v>70121</v>
      </c>
      <c r="C586" t="str">
        <f>"004"</f>
        <v>004</v>
      </c>
      <c r="D586">
        <v>2018</v>
      </c>
      <c r="E586" s="1">
        <v>899600</v>
      </c>
      <c r="F586" s="1">
        <v>356700</v>
      </c>
      <c r="G586" s="1" t="s">
        <v>11</v>
      </c>
      <c r="H586" s="1" t="s">
        <v>38</v>
      </c>
      <c r="I586" t="s">
        <v>13</v>
      </c>
      <c r="J586" t="s">
        <v>13</v>
      </c>
    </row>
    <row r="587" spans="1:11" x14ac:dyDescent="0.35">
      <c r="A587" t="s">
        <v>39</v>
      </c>
      <c r="B587" t="s">
        <v>13</v>
      </c>
      <c r="C587" t="s">
        <v>7</v>
      </c>
      <c r="D587" t="s">
        <v>8</v>
      </c>
      <c r="E587" s="1">
        <v>155052800</v>
      </c>
      <c r="F587" s="1">
        <v>120807800</v>
      </c>
      <c r="G587" s="1" t="s">
        <v>11</v>
      </c>
      <c r="H587" s="1">
        <v>2029944500</v>
      </c>
      <c r="I587" t="s">
        <v>13</v>
      </c>
      <c r="J587" t="s">
        <v>13</v>
      </c>
      <c r="K587">
        <v>5.95</v>
      </c>
    </row>
    <row r="588" spans="1:11" x14ac:dyDescent="0.35">
      <c r="E588" s="1"/>
      <c r="F588" s="1"/>
      <c r="G588" s="1"/>
      <c r="H588" s="1"/>
    </row>
    <row r="589" spans="1:11" x14ac:dyDescent="0.35">
      <c r="A589" t="s">
        <v>162</v>
      </c>
      <c r="B589" t="str">
        <f>"14226"</f>
        <v>14226</v>
      </c>
      <c r="C589" t="str">
        <f>"002"</f>
        <v>002</v>
      </c>
      <c r="D589">
        <v>2015</v>
      </c>
      <c r="E589" s="1">
        <v>16201300</v>
      </c>
      <c r="F589" s="1">
        <v>9005300</v>
      </c>
      <c r="G589" s="1" t="s">
        <v>11</v>
      </c>
      <c r="H589" s="1" t="s">
        <v>38</v>
      </c>
      <c r="I589" t="s">
        <v>13</v>
      </c>
      <c r="J589" t="s">
        <v>13</v>
      </c>
    </row>
    <row r="590" spans="1:11" x14ac:dyDescent="0.35">
      <c r="A590" t="s">
        <v>5</v>
      </c>
      <c r="B590" t="str">
        <f>"14226"</f>
        <v>14226</v>
      </c>
      <c r="C590" t="str">
        <f>"003"</f>
        <v>003</v>
      </c>
      <c r="D590">
        <v>2016</v>
      </c>
      <c r="E590" s="1">
        <v>9302800</v>
      </c>
      <c r="F590" s="1">
        <v>4668500</v>
      </c>
      <c r="G590" s="1" t="s">
        <v>11</v>
      </c>
      <c r="H590" s="1" t="s">
        <v>38</v>
      </c>
      <c r="I590" t="s">
        <v>13</v>
      </c>
      <c r="J590" t="s">
        <v>13</v>
      </c>
    </row>
    <row r="591" spans="1:11" x14ac:dyDescent="0.35">
      <c r="A591" t="s">
        <v>39</v>
      </c>
      <c r="B591" t="s">
        <v>13</v>
      </c>
      <c r="C591" t="s">
        <v>7</v>
      </c>
      <c r="D591" t="s">
        <v>8</v>
      </c>
      <c r="E591" s="1">
        <v>25504100</v>
      </c>
      <c r="F591" s="1">
        <v>13673800</v>
      </c>
      <c r="G591" s="1" t="s">
        <v>11</v>
      </c>
      <c r="H591" s="1">
        <v>107009800</v>
      </c>
      <c r="I591" t="s">
        <v>13</v>
      </c>
      <c r="J591" t="s">
        <v>13</v>
      </c>
      <c r="K591">
        <v>12.78</v>
      </c>
    </row>
    <row r="592" spans="1:11" x14ac:dyDescent="0.35">
      <c r="E592" s="1"/>
      <c r="F592" s="1"/>
      <c r="G592" s="1"/>
      <c r="H592" s="1"/>
    </row>
    <row r="593" spans="1:11" x14ac:dyDescent="0.35">
      <c r="A593" t="s">
        <v>163</v>
      </c>
      <c r="B593" t="str">
        <f>"36126"</f>
        <v>36126</v>
      </c>
      <c r="C593" t="str">
        <f>"002"</f>
        <v>002</v>
      </c>
      <c r="D593">
        <v>2004</v>
      </c>
      <c r="E593" s="1">
        <v>2017400</v>
      </c>
      <c r="F593" s="1">
        <v>1797800</v>
      </c>
      <c r="G593" s="1" t="s">
        <v>11</v>
      </c>
      <c r="H593" s="1" t="s">
        <v>38</v>
      </c>
      <c r="I593" t="s">
        <v>13</v>
      </c>
      <c r="J593" t="s">
        <v>13</v>
      </c>
    </row>
    <row r="594" spans="1:11" x14ac:dyDescent="0.35">
      <c r="A594" t="s">
        <v>39</v>
      </c>
      <c r="B594" t="s">
        <v>13</v>
      </c>
      <c r="C594" t="s">
        <v>7</v>
      </c>
      <c r="D594" t="s">
        <v>8</v>
      </c>
      <c r="E594" s="1">
        <v>2017400</v>
      </c>
      <c r="F594" s="1">
        <v>1797800</v>
      </c>
      <c r="G594" s="1" t="s">
        <v>11</v>
      </c>
      <c r="H594" s="1">
        <v>47204200</v>
      </c>
      <c r="I594" t="s">
        <v>13</v>
      </c>
      <c r="J594" t="s">
        <v>13</v>
      </c>
      <c r="K594">
        <v>3.81</v>
      </c>
    </row>
    <row r="595" spans="1:11" x14ac:dyDescent="0.35">
      <c r="E595" s="1"/>
      <c r="F595" s="1"/>
      <c r="G595" s="1"/>
      <c r="H595" s="1"/>
    </row>
    <row r="596" spans="1:11" x14ac:dyDescent="0.35">
      <c r="A596" t="s">
        <v>164</v>
      </c>
      <c r="B596" t="str">
        <f t="shared" ref="B596:B601" si="9">"40226"</f>
        <v>40226</v>
      </c>
      <c r="C596" t="str">
        <f>"003"</f>
        <v>003</v>
      </c>
      <c r="D596">
        <v>2005</v>
      </c>
      <c r="E596" s="1">
        <v>259212600</v>
      </c>
      <c r="F596" s="1">
        <v>85724400</v>
      </c>
      <c r="G596" s="1" t="s">
        <v>11</v>
      </c>
      <c r="H596" s="1" t="s">
        <v>38</v>
      </c>
      <c r="I596" t="s">
        <v>13</v>
      </c>
      <c r="J596" t="s">
        <v>13</v>
      </c>
    </row>
    <row r="597" spans="1:11" x14ac:dyDescent="0.35">
      <c r="A597" t="s">
        <v>5</v>
      </c>
      <c r="B597" t="str">
        <f t="shared" si="9"/>
        <v>40226</v>
      </c>
      <c r="C597" t="str">
        <f>"004"</f>
        <v>004</v>
      </c>
      <c r="D597">
        <v>2005</v>
      </c>
      <c r="E597" s="1">
        <v>81112000</v>
      </c>
      <c r="F597" s="1">
        <v>61294100</v>
      </c>
      <c r="G597" s="1" t="s">
        <v>11</v>
      </c>
      <c r="H597" s="1" t="s">
        <v>38</v>
      </c>
      <c r="I597" t="s">
        <v>13</v>
      </c>
      <c r="J597" t="s">
        <v>13</v>
      </c>
    </row>
    <row r="598" spans="1:11" x14ac:dyDescent="0.35">
      <c r="A598" t="s">
        <v>5</v>
      </c>
      <c r="B598" t="str">
        <f t="shared" si="9"/>
        <v>40226</v>
      </c>
      <c r="C598" t="str">
        <f>"005"</f>
        <v>005</v>
      </c>
      <c r="D598">
        <v>2016</v>
      </c>
      <c r="E598" s="1">
        <v>56299500</v>
      </c>
      <c r="F598" s="1">
        <v>53255600</v>
      </c>
      <c r="G598" s="1" t="s">
        <v>11</v>
      </c>
      <c r="H598" s="1" t="s">
        <v>38</v>
      </c>
      <c r="I598" t="s">
        <v>13</v>
      </c>
      <c r="J598" t="s">
        <v>13</v>
      </c>
    </row>
    <row r="599" spans="1:11" x14ac:dyDescent="0.35">
      <c r="A599" t="s">
        <v>5</v>
      </c>
      <c r="B599" t="str">
        <f t="shared" si="9"/>
        <v>40226</v>
      </c>
      <c r="C599" t="str">
        <f>"006"</f>
        <v>006</v>
      </c>
      <c r="D599">
        <v>2019</v>
      </c>
      <c r="E599" s="1">
        <v>3689000</v>
      </c>
      <c r="F599" s="1">
        <v>1668600</v>
      </c>
      <c r="G599" s="1" t="s">
        <v>11</v>
      </c>
      <c r="H599" s="1" t="s">
        <v>38</v>
      </c>
      <c r="I599" t="s">
        <v>13</v>
      </c>
      <c r="J599" t="s">
        <v>13</v>
      </c>
    </row>
    <row r="600" spans="1:11" x14ac:dyDescent="0.35">
      <c r="A600" t="s">
        <v>5</v>
      </c>
      <c r="B600" t="str">
        <f t="shared" si="9"/>
        <v>40226</v>
      </c>
      <c r="C600" t="str">
        <f>"007"</f>
        <v>007</v>
      </c>
      <c r="D600">
        <v>2019</v>
      </c>
      <c r="E600" s="1">
        <v>28291700</v>
      </c>
      <c r="F600" s="1">
        <v>20796200</v>
      </c>
      <c r="G600" s="1" t="s">
        <v>11</v>
      </c>
      <c r="H600" s="1" t="s">
        <v>38</v>
      </c>
      <c r="I600" t="s">
        <v>13</v>
      </c>
      <c r="J600" t="s">
        <v>13</v>
      </c>
    </row>
    <row r="601" spans="1:11" x14ac:dyDescent="0.35">
      <c r="A601" t="s">
        <v>5</v>
      </c>
      <c r="B601" t="str">
        <f t="shared" si="9"/>
        <v>40226</v>
      </c>
      <c r="C601" t="str">
        <f>"008"</f>
        <v>008</v>
      </c>
      <c r="D601">
        <v>2020</v>
      </c>
      <c r="E601" s="1">
        <v>53588200</v>
      </c>
      <c r="F601" s="1">
        <v>4157800</v>
      </c>
      <c r="G601" s="1" t="s">
        <v>11</v>
      </c>
      <c r="H601" s="1" t="s">
        <v>38</v>
      </c>
      <c r="I601" t="s">
        <v>13</v>
      </c>
      <c r="J601" t="s">
        <v>13</v>
      </c>
    </row>
    <row r="602" spans="1:11" x14ac:dyDescent="0.35">
      <c r="A602" t="s">
        <v>39</v>
      </c>
      <c r="B602" t="s">
        <v>13</v>
      </c>
      <c r="C602" t="s">
        <v>7</v>
      </c>
      <c r="D602" t="s">
        <v>8</v>
      </c>
      <c r="E602" s="1">
        <v>482193000</v>
      </c>
      <c r="F602" s="1">
        <v>226896700</v>
      </c>
      <c r="G602" s="1" t="s">
        <v>11</v>
      </c>
      <c r="H602" s="1">
        <v>4887373400</v>
      </c>
      <c r="I602" t="s">
        <v>13</v>
      </c>
      <c r="J602" t="s">
        <v>13</v>
      </c>
      <c r="K602">
        <v>4.6399999999999997</v>
      </c>
    </row>
    <row r="603" spans="1:11" x14ac:dyDescent="0.35">
      <c r="E603" s="1"/>
      <c r="F603" s="1"/>
      <c r="G603" s="1"/>
      <c r="H603" s="1"/>
    </row>
    <row r="604" spans="1:11" x14ac:dyDescent="0.35">
      <c r="A604" t="s">
        <v>165</v>
      </c>
      <c r="B604" t="str">
        <f>"48126"</f>
        <v>48126</v>
      </c>
      <c r="C604" t="str">
        <f>"003"</f>
        <v>003</v>
      </c>
      <c r="D604">
        <v>2007</v>
      </c>
      <c r="E604" s="1">
        <v>2847700</v>
      </c>
      <c r="F604" s="1">
        <v>1092400</v>
      </c>
      <c r="G604" s="1" t="s">
        <v>11</v>
      </c>
      <c r="H604" s="1" t="s">
        <v>38</v>
      </c>
      <c r="I604" t="s">
        <v>13</v>
      </c>
      <c r="J604" t="s">
        <v>13</v>
      </c>
    </row>
    <row r="605" spans="1:11" x14ac:dyDescent="0.35">
      <c r="A605" t="s">
        <v>39</v>
      </c>
      <c r="B605" t="s">
        <v>13</v>
      </c>
      <c r="C605" t="s">
        <v>7</v>
      </c>
      <c r="D605" t="s">
        <v>8</v>
      </c>
      <c r="E605" s="1">
        <v>2847700</v>
      </c>
      <c r="F605" s="1">
        <v>1092400</v>
      </c>
      <c r="G605" s="1" t="s">
        <v>11</v>
      </c>
      <c r="H605" s="1">
        <v>67667400</v>
      </c>
      <c r="I605" t="s">
        <v>13</v>
      </c>
      <c r="J605" t="s">
        <v>13</v>
      </c>
      <c r="K605">
        <v>1.61</v>
      </c>
    </row>
    <row r="606" spans="1:11" x14ac:dyDescent="0.35">
      <c r="E606" s="1"/>
      <c r="F606" s="1"/>
      <c r="G606" s="1"/>
      <c r="H606" s="1"/>
    </row>
    <row r="607" spans="1:11" x14ac:dyDescent="0.35">
      <c r="A607" t="s">
        <v>166</v>
      </c>
      <c r="B607" t="str">
        <f>"44018"</f>
        <v>44018</v>
      </c>
      <c r="C607" t="str">
        <f>"001A"</f>
        <v>001A</v>
      </c>
      <c r="D607">
        <v>2016</v>
      </c>
      <c r="E607" s="1">
        <v>8053300</v>
      </c>
      <c r="F607" s="1">
        <v>6059700</v>
      </c>
      <c r="G607" s="1" t="s">
        <v>11</v>
      </c>
      <c r="H607" s="1" t="s">
        <v>38</v>
      </c>
      <c r="I607" t="s">
        <v>13</v>
      </c>
      <c r="J607" t="s">
        <v>13</v>
      </c>
    </row>
    <row r="608" spans="1:11" x14ac:dyDescent="0.35">
      <c r="A608" t="s">
        <v>5</v>
      </c>
      <c r="B608" t="str">
        <f>"44018"</f>
        <v>44018</v>
      </c>
      <c r="C608" t="str">
        <f>"002A"</f>
        <v>002A</v>
      </c>
      <c r="D608">
        <v>2017</v>
      </c>
      <c r="E608" s="1">
        <v>27968200</v>
      </c>
      <c r="F608" s="1">
        <v>16239800</v>
      </c>
      <c r="G608" s="1" t="s">
        <v>11</v>
      </c>
      <c r="H608" s="1" t="s">
        <v>38</v>
      </c>
      <c r="I608" t="s">
        <v>13</v>
      </c>
      <c r="J608" t="s">
        <v>13</v>
      </c>
    </row>
    <row r="609" spans="1:11" x14ac:dyDescent="0.35">
      <c r="A609" t="s">
        <v>39</v>
      </c>
      <c r="B609" t="s">
        <v>13</v>
      </c>
      <c r="C609" t="s">
        <v>7</v>
      </c>
      <c r="D609" t="s">
        <v>8</v>
      </c>
      <c r="E609" s="1">
        <v>36021500</v>
      </c>
      <c r="F609" s="1">
        <v>22299500</v>
      </c>
      <c r="G609" s="1" t="s">
        <v>11</v>
      </c>
      <c r="H609" s="1">
        <v>651867500</v>
      </c>
      <c r="I609" t="s">
        <v>13</v>
      </c>
      <c r="J609" t="s">
        <v>13</v>
      </c>
      <c r="K609">
        <v>3.42</v>
      </c>
    </row>
    <row r="610" spans="1:11" x14ac:dyDescent="0.35">
      <c r="E610" s="1"/>
      <c r="F610" s="1"/>
      <c r="G610" s="1"/>
      <c r="H610" s="1"/>
    </row>
    <row r="611" spans="1:11" x14ac:dyDescent="0.35">
      <c r="A611" t="s">
        <v>167</v>
      </c>
      <c r="B611" t="str">
        <f>"01126"</f>
        <v>01126</v>
      </c>
      <c r="C611" t="str">
        <f>"001"</f>
        <v>001</v>
      </c>
      <c r="D611">
        <v>1997</v>
      </c>
      <c r="E611" s="1">
        <v>7820000</v>
      </c>
      <c r="F611" s="1">
        <v>5123700</v>
      </c>
      <c r="G611" s="1" t="s">
        <v>11</v>
      </c>
      <c r="H611" s="1" t="s">
        <v>38</v>
      </c>
      <c r="I611" t="s">
        <v>13</v>
      </c>
      <c r="J611" t="s">
        <v>13</v>
      </c>
    </row>
    <row r="612" spans="1:11" x14ac:dyDescent="0.35">
      <c r="A612" t="s">
        <v>5</v>
      </c>
      <c r="B612" t="str">
        <f>"01126"</f>
        <v>01126</v>
      </c>
      <c r="C612" t="str">
        <f>"002"</f>
        <v>002</v>
      </c>
      <c r="D612">
        <v>2000</v>
      </c>
      <c r="E612" s="1">
        <v>205400</v>
      </c>
      <c r="F612" s="1">
        <v>57400</v>
      </c>
      <c r="G612" s="1" t="s">
        <v>11</v>
      </c>
      <c r="H612" s="1" t="s">
        <v>38</v>
      </c>
      <c r="I612" t="s">
        <v>13</v>
      </c>
      <c r="J612" t="s">
        <v>13</v>
      </c>
    </row>
    <row r="613" spans="1:11" x14ac:dyDescent="0.35">
      <c r="A613" t="s">
        <v>39</v>
      </c>
      <c r="B613" t="s">
        <v>13</v>
      </c>
      <c r="C613" t="s">
        <v>7</v>
      </c>
      <c r="D613" t="s">
        <v>8</v>
      </c>
      <c r="E613" s="1">
        <v>8025400</v>
      </c>
      <c r="F613" s="1">
        <v>5181100</v>
      </c>
      <c r="G613" s="1" t="s">
        <v>11</v>
      </c>
      <c r="H613" s="1">
        <v>34457100</v>
      </c>
      <c r="I613" t="s">
        <v>13</v>
      </c>
      <c r="J613" t="s">
        <v>13</v>
      </c>
      <c r="K613">
        <v>15.04</v>
      </c>
    </row>
    <row r="614" spans="1:11" x14ac:dyDescent="0.35">
      <c r="E614" s="1"/>
      <c r="F614" s="1"/>
      <c r="G614" s="1"/>
      <c r="H614" s="1"/>
    </row>
    <row r="615" spans="1:11" x14ac:dyDescent="0.35">
      <c r="A615" t="s">
        <v>168</v>
      </c>
      <c r="B615" t="str">
        <f>"61231"</f>
        <v>61231</v>
      </c>
      <c r="C615" t="str">
        <f>"002"</f>
        <v>002</v>
      </c>
      <c r="D615">
        <v>2001</v>
      </c>
      <c r="E615" s="1">
        <v>13110400</v>
      </c>
      <c r="F615" s="1">
        <v>12071800</v>
      </c>
      <c r="G615" s="1" t="s">
        <v>11</v>
      </c>
      <c r="H615" s="1" t="s">
        <v>38</v>
      </c>
      <c r="I615" t="s">
        <v>13</v>
      </c>
      <c r="J615" t="s">
        <v>13</v>
      </c>
    </row>
    <row r="616" spans="1:11" x14ac:dyDescent="0.35">
      <c r="A616" t="s">
        <v>39</v>
      </c>
      <c r="B616" t="s">
        <v>13</v>
      </c>
      <c r="C616" t="s">
        <v>7</v>
      </c>
      <c r="D616" t="s">
        <v>8</v>
      </c>
      <c r="E616" s="1">
        <v>13110400</v>
      </c>
      <c r="F616" s="1">
        <v>12071800</v>
      </c>
      <c r="G616" s="1" t="s">
        <v>11</v>
      </c>
      <c r="H616" s="1">
        <v>115755900</v>
      </c>
      <c r="I616" t="s">
        <v>13</v>
      </c>
      <c r="J616" t="s">
        <v>13</v>
      </c>
      <c r="K616">
        <v>10.43</v>
      </c>
    </row>
    <row r="617" spans="1:11" x14ac:dyDescent="0.35">
      <c r="E617" s="1"/>
      <c r="F617" s="1"/>
      <c r="G617" s="1"/>
      <c r="H617" s="1"/>
    </row>
    <row r="618" spans="1:11" x14ac:dyDescent="0.35">
      <c r="A618" t="s">
        <v>169</v>
      </c>
      <c r="B618" t="str">
        <f>"12131"</f>
        <v>12131</v>
      </c>
      <c r="C618" t="str">
        <f>"001"</f>
        <v>001</v>
      </c>
      <c r="D618">
        <v>2000</v>
      </c>
      <c r="E618" s="1">
        <v>2527800</v>
      </c>
      <c r="F618" s="1">
        <v>2519900</v>
      </c>
      <c r="G618" s="1" t="s">
        <v>11</v>
      </c>
      <c r="H618" s="1" t="s">
        <v>38</v>
      </c>
      <c r="I618" t="s">
        <v>13</v>
      </c>
      <c r="J618" t="s">
        <v>13</v>
      </c>
    </row>
    <row r="619" spans="1:11" x14ac:dyDescent="0.35">
      <c r="A619" t="s">
        <v>5</v>
      </c>
      <c r="B619" t="str">
        <f>"12131"</f>
        <v>12131</v>
      </c>
      <c r="C619" t="str">
        <f>"003"</f>
        <v>003</v>
      </c>
      <c r="D619">
        <v>2018</v>
      </c>
      <c r="E619" s="1">
        <v>22300</v>
      </c>
      <c r="F619" s="1">
        <v>22300</v>
      </c>
      <c r="G619" s="1" t="s">
        <v>11</v>
      </c>
      <c r="H619" s="1" t="s">
        <v>38</v>
      </c>
      <c r="I619" t="s">
        <v>13</v>
      </c>
      <c r="J619" t="s">
        <v>13</v>
      </c>
    </row>
    <row r="620" spans="1:11" x14ac:dyDescent="0.35">
      <c r="A620" t="s">
        <v>5</v>
      </c>
      <c r="B620" t="str">
        <f>"12131"</f>
        <v>12131</v>
      </c>
      <c r="C620" t="str">
        <f>"004"</f>
        <v>004</v>
      </c>
      <c r="D620">
        <v>2018</v>
      </c>
      <c r="E620" s="1">
        <v>222000</v>
      </c>
      <c r="F620" s="1">
        <v>15200</v>
      </c>
      <c r="G620" s="1" t="s">
        <v>11</v>
      </c>
      <c r="H620" s="1" t="s">
        <v>38</v>
      </c>
      <c r="I620" t="s">
        <v>13</v>
      </c>
      <c r="J620" t="s">
        <v>13</v>
      </c>
    </row>
    <row r="621" spans="1:11" x14ac:dyDescent="0.35">
      <c r="A621" t="s">
        <v>39</v>
      </c>
      <c r="B621" t="s">
        <v>13</v>
      </c>
      <c r="C621" t="s">
        <v>7</v>
      </c>
      <c r="D621" t="s">
        <v>8</v>
      </c>
      <c r="E621" s="1">
        <v>2772100</v>
      </c>
      <c r="F621" s="1">
        <v>2557400</v>
      </c>
      <c r="G621" s="1" t="s">
        <v>11</v>
      </c>
      <c r="H621" s="1">
        <v>28488600</v>
      </c>
      <c r="I621" t="s">
        <v>13</v>
      </c>
      <c r="J621" t="s">
        <v>13</v>
      </c>
      <c r="K621">
        <v>8.98</v>
      </c>
    </row>
    <row r="622" spans="1:11" x14ac:dyDescent="0.35">
      <c r="E622" s="1"/>
      <c r="F622" s="1"/>
      <c r="G622" s="1"/>
      <c r="H622" s="1"/>
    </row>
    <row r="623" spans="1:11" x14ac:dyDescent="0.35">
      <c r="A623" t="s">
        <v>170</v>
      </c>
      <c r="B623" t="str">
        <f>"66131"</f>
        <v>66131</v>
      </c>
      <c r="C623" t="str">
        <f>"006"</f>
        <v>006</v>
      </c>
      <c r="D623">
        <v>2014</v>
      </c>
      <c r="E623" s="1">
        <v>33460500</v>
      </c>
      <c r="F623" s="1">
        <v>30664100</v>
      </c>
      <c r="G623" s="1" t="s">
        <v>11</v>
      </c>
      <c r="H623" s="1" t="s">
        <v>38</v>
      </c>
      <c r="I623" t="s">
        <v>13</v>
      </c>
      <c r="J623" t="s">
        <v>13</v>
      </c>
    </row>
    <row r="624" spans="1:11" x14ac:dyDescent="0.35">
      <c r="A624" t="s">
        <v>5</v>
      </c>
      <c r="B624" t="str">
        <f>"66131"</f>
        <v>66131</v>
      </c>
      <c r="C624" t="str">
        <f>"007"</f>
        <v>007</v>
      </c>
      <c r="D624">
        <v>2018</v>
      </c>
      <c r="E624" s="1">
        <v>13656100</v>
      </c>
      <c r="F624" s="1">
        <v>4326200</v>
      </c>
      <c r="G624" s="1" t="s">
        <v>11</v>
      </c>
      <c r="H624" s="1" t="s">
        <v>38</v>
      </c>
      <c r="I624" t="s">
        <v>13</v>
      </c>
      <c r="J624" t="s">
        <v>13</v>
      </c>
    </row>
    <row r="625" spans="1:11" x14ac:dyDescent="0.35">
      <c r="A625" t="s">
        <v>5</v>
      </c>
      <c r="B625" t="str">
        <f>"66131"</f>
        <v>66131</v>
      </c>
      <c r="C625" t="str">
        <f>"008"</f>
        <v>008</v>
      </c>
      <c r="D625">
        <v>2018</v>
      </c>
      <c r="E625" s="1">
        <v>103199700</v>
      </c>
      <c r="F625" s="1">
        <v>102559000</v>
      </c>
      <c r="G625" s="1" t="s">
        <v>11</v>
      </c>
      <c r="H625" s="1" t="s">
        <v>38</v>
      </c>
      <c r="I625" t="s">
        <v>13</v>
      </c>
      <c r="J625" t="s">
        <v>13</v>
      </c>
    </row>
    <row r="626" spans="1:11" x14ac:dyDescent="0.35">
      <c r="A626" t="s">
        <v>39</v>
      </c>
      <c r="B626" t="s">
        <v>13</v>
      </c>
      <c r="C626" t="s">
        <v>7</v>
      </c>
      <c r="D626" t="s">
        <v>8</v>
      </c>
      <c r="E626" s="1">
        <v>150316300</v>
      </c>
      <c r="F626" s="1">
        <v>137549300</v>
      </c>
      <c r="G626" s="1" t="s">
        <v>11</v>
      </c>
      <c r="H626" s="1">
        <v>3157994500</v>
      </c>
      <c r="I626" t="s">
        <v>13</v>
      </c>
      <c r="J626" t="s">
        <v>13</v>
      </c>
      <c r="K626">
        <v>4.3600000000000003</v>
      </c>
    </row>
    <row r="627" spans="1:11" x14ac:dyDescent="0.35">
      <c r="E627" s="1"/>
      <c r="F627" s="1"/>
      <c r="G627" s="1"/>
      <c r="H627" s="1"/>
    </row>
    <row r="628" spans="1:11" x14ac:dyDescent="0.35">
      <c r="A628" t="s">
        <v>171</v>
      </c>
      <c r="B628" t="str">
        <f>"42231"</f>
        <v>42231</v>
      </c>
      <c r="C628" t="str">
        <f>"002"</f>
        <v>002</v>
      </c>
      <c r="D628">
        <v>1993</v>
      </c>
      <c r="E628" s="1">
        <v>1427200</v>
      </c>
      <c r="F628" s="1">
        <v>1379500</v>
      </c>
      <c r="G628" s="1" t="s">
        <v>11</v>
      </c>
      <c r="H628" s="1" t="s">
        <v>38</v>
      </c>
      <c r="I628" t="s">
        <v>13</v>
      </c>
      <c r="J628" t="s">
        <v>13</v>
      </c>
    </row>
    <row r="629" spans="1:11" x14ac:dyDescent="0.35">
      <c r="A629" t="s">
        <v>5</v>
      </c>
      <c r="B629" t="str">
        <f>"42231"</f>
        <v>42231</v>
      </c>
      <c r="C629" t="str">
        <f>"003"</f>
        <v>003</v>
      </c>
      <c r="D629">
        <v>2000</v>
      </c>
      <c r="E629" s="1">
        <v>11179200</v>
      </c>
      <c r="F629" s="1">
        <v>3808700</v>
      </c>
      <c r="G629" s="1" t="s">
        <v>11</v>
      </c>
      <c r="H629" s="1" t="s">
        <v>38</v>
      </c>
      <c r="I629" t="s">
        <v>13</v>
      </c>
      <c r="J629" t="s">
        <v>13</v>
      </c>
    </row>
    <row r="630" spans="1:11" x14ac:dyDescent="0.35">
      <c r="A630" t="s">
        <v>39</v>
      </c>
      <c r="B630" t="s">
        <v>13</v>
      </c>
      <c r="C630" t="s">
        <v>7</v>
      </c>
      <c r="D630" t="s">
        <v>8</v>
      </c>
      <c r="E630" s="1">
        <v>12606400</v>
      </c>
      <c r="F630" s="1">
        <v>5188200</v>
      </c>
      <c r="G630" s="1" t="s">
        <v>11</v>
      </c>
      <c r="H630" s="1">
        <v>63750300</v>
      </c>
      <c r="I630" t="s">
        <v>13</v>
      </c>
      <c r="J630" t="s">
        <v>13</v>
      </c>
      <c r="K630">
        <v>8.14</v>
      </c>
    </row>
    <row r="631" spans="1:11" x14ac:dyDescent="0.35">
      <c r="E631" s="1"/>
      <c r="F631" s="1"/>
      <c r="G631" s="1"/>
      <c r="H631" s="1"/>
    </row>
    <row r="632" spans="1:11" x14ac:dyDescent="0.35">
      <c r="A632" t="s">
        <v>172</v>
      </c>
      <c r="B632" t="str">
        <f>"59131"</f>
        <v>59131</v>
      </c>
      <c r="C632" t="str">
        <f>"001"</f>
        <v>001</v>
      </c>
      <c r="D632">
        <v>2005</v>
      </c>
      <c r="E632" s="1">
        <v>4154800</v>
      </c>
      <c r="F632" s="1">
        <v>2291900</v>
      </c>
      <c r="G632" s="1" t="s">
        <v>11</v>
      </c>
      <c r="H632" s="1" t="s">
        <v>38</v>
      </c>
      <c r="I632" t="s">
        <v>13</v>
      </c>
      <c r="J632" t="s">
        <v>13</v>
      </c>
    </row>
    <row r="633" spans="1:11" x14ac:dyDescent="0.35">
      <c r="A633" t="s">
        <v>39</v>
      </c>
      <c r="B633" t="s">
        <v>13</v>
      </c>
      <c r="C633" t="s">
        <v>7</v>
      </c>
      <c r="D633" t="s">
        <v>8</v>
      </c>
      <c r="E633" s="1">
        <v>4154800</v>
      </c>
      <c r="F633" s="1">
        <v>2291900</v>
      </c>
      <c r="G633" s="1" t="s">
        <v>11</v>
      </c>
      <c r="H633" s="1">
        <v>38973100</v>
      </c>
      <c r="I633" t="s">
        <v>13</v>
      </c>
      <c r="J633" t="s">
        <v>13</v>
      </c>
      <c r="K633">
        <v>5.88</v>
      </c>
    </row>
    <row r="634" spans="1:11" x14ac:dyDescent="0.35">
      <c r="E634" s="1"/>
      <c r="F634" s="1"/>
      <c r="G634" s="1"/>
      <c r="H634" s="1"/>
    </row>
    <row r="635" spans="1:11" x14ac:dyDescent="0.35">
      <c r="A635" t="s">
        <v>173</v>
      </c>
      <c r="B635" t="str">
        <f>"40231"</f>
        <v>40231</v>
      </c>
      <c r="C635" t="str">
        <f>"007"</f>
        <v>007</v>
      </c>
      <c r="D635">
        <v>1996</v>
      </c>
      <c r="E635" s="1">
        <v>110445300</v>
      </c>
      <c r="F635" s="1">
        <v>96409300</v>
      </c>
      <c r="G635" s="1" t="s">
        <v>11</v>
      </c>
      <c r="H635" s="1" t="s">
        <v>38</v>
      </c>
      <c r="I635" t="s">
        <v>13</v>
      </c>
      <c r="J635" t="s">
        <v>13</v>
      </c>
    </row>
    <row r="636" spans="1:11" x14ac:dyDescent="0.35">
      <c r="A636" t="s">
        <v>5</v>
      </c>
      <c r="B636" t="str">
        <f>"40231"</f>
        <v>40231</v>
      </c>
      <c r="C636" t="str">
        <f>"008"</f>
        <v>008</v>
      </c>
      <c r="D636">
        <v>2002</v>
      </c>
      <c r="E636" s="1">
        <v>108335100</v>
      </c>
      <c r="F636" s="1">
        <v>30634300</v>
      </c>
      <c r="G636" s="1" t="s">
        <v>11</v>
      </c>
      <c r="H636" s="1" t="s">
        <v>38</v>
      </c>
      <c r="I636" t="s">
        <v>13</v>
      </c>
      <c r="J636" t="s">
        <v>13</v>
      </c>
    </row>
    <row r="637" spans="1:11" x14ac:dyDescent="0.35">
      <c r="A637" t="s">
        <v>39</v>
      </c>
      <c r="B637" t="s">
        <v>13</v>
      </c>
      <c r="C637" t="s">
        <v>7</v>
      </c>
      <c r="D637" t="s">
        <v>8</v>
      </c>
      <c r="E637" s="1">
        <v>218780400</v>
      </c>
      <c r="F637" s="1">
        <v>127043600</v>
      </c>
      <c r="G637" s="1" t="s">
        <v>11</v>
      </c>
      <c r="H637" s="1">
        <v>2129293600</v>
      </c>
      <c r="I637" t="s">
        <v>13</v>
      </c>
      <c r="J637" t="s">
        <v>13</v>
      </c>
      <c r="K637">
        <v>5.97</v>
      </c>
    </row>
    <row r="638" spans="1:11" x14ac:dyDescent="0.35">
      <c r="E638" s="1"/>
      <c r="F638" s="1"/>
      <c r="G638" s="1"/>
      <c r="H638" s="1"/>
    </row>
    <row r="639" spans="1:11" x14ac:dyDescent="0.35">
      <c r="A639" t="s">
        <v>174</v>
      </c>
      <c r="B639" t="str">
        <f>"45131"</f>
        <v>45131</v>
      </c>
      <c r="C639" t="str">
        <f>"003"</f>
        <v>003</v>
      </c>
      <c r="D639">
        <v>1999</v>
      </c>
      <c r="E639" s="1">
        <v>82514200</v>
      </c>
      <c r="F639" s="1">
        <v>61474300</v>
      </c>
      <c r="G639" s="1" t="s">
        <v>11</v>
      </c>
      <c r="H639" s="1" t="s">
        <v>38</v>
      </c>
      <c r="I639" t="s">
        <v>13</v>
      </c>
      <c r="J639" t="s">
        <v>13</v>
      </c>
    </row>
    <row r="640" spans="1:11" x14ac:dyDescent="0.35">
      <c r="A640" t="s">
        <v>5</v>
      </c>
      <c r="B640" t="str">
        <f>"45131"</f>
        <v>45131</v>
      </c>
      <c r="C640" t="str">
        <f>"004"</f>
        <v>004</v>
      </c>
      <c r="D640">
        <v>2004</v>
      </c>
      <c r="E640" s="1">
        <v>102230100</v>
      </c>
      <c r="F640" s="1">
        <v>54382700</v>
      </c>
      <c r="G640" s="1" t="s">
        <v>11</v>
      </c>
      <c r="H640" s="1" t="s">
        <v>38</v>
      </c>
      <c r="I640" t="s">
        <v>13</v>
      </c>
      <c r="J640" t="s">
        <v>13</v>
      </c>
    </row>
    <row r="641" spans="1:11" x14ac:dyDescent="0.35">
      <c r="A641" t="s">
        <v>5</v>
      </c>
      <c r="B641" t="str">
        <f>"45131"</f>
        <v>45131</v>
      </c>
      <c r="C641" t="str">
        <f>"005"</f>
        <v>005</v>
      </c>
      <c r="D641">
        <v>2006</v>
      </c>
      <c r="E641" s="1">
        <v>54826000</v>
      </c>
      <c r="F641" s="1">
        <v>54332500</v>
      </c>
      <c r="G641" s="1" t="s">
        <v>11</v>
      </c>
      <c r="H641" s="1" t="s">
        <v>38</v>
      </c>
      <c r="I641" t="s">
        <v>13</v>
      </c>
      <c r="J641" t="s">
        <v>13</v>
      </c>
    </row>
    <row r="642" spans="1:11" x14ac:dyDescent="0.35">
      <c r="A642" t="s">
        <v>39</v>
      </c>
      <c r="B642" t="s">
        <v>13</v>
      </c>
      <c r="C642" t="s">
        <v>7</v>
      </c>
      <c r="D642" t="s">
        <v>8</v>
      </c>
      <c r="E642" s="1">
        <v>239570300</v>
      </c>
      <c r="F642" s="1">
        <v>170189500</v>
      </c>
      <c r="G642" s="1" t="s">
        <v>11</v>
      </c>
      <c r="H642" s="1">
        <v>1594930600</v>
      </c>
      <c r="I642" t="s">
        <v>13</v>
      </c>
      <c r="J642" t="s">
        <v>13</v>
      </c>
      <c r="K642">
        <v>10.67</v>
      </c>
    </row>
    <row r="643" spans="1:11" x14ac:dyDescent="0.35">
      <c r="E643" s="1"/>
      <c r="F643" s="1"/>
      <c r="G643" s="1"/>
      <c r="H643" s="1"/>
    </row>
    <row r="644" spans="1:11" x14ac:dyDescent="0.35">
      <c r="A644" t="s">
        <v>175</v>
      </c>
      <c r="B644" t="str">
        <f>"44020"</f>
        <v>44020</v>
      </c>
      <c r="C644" t="str">
        <f>"001A"</f>
        <v>001A</v>
      </c>
      <c r="D644">
        <v>2015</v>
      </c>
      <c r="E644" s="1">
        <v>18010900</v>
      </c>
      <c r="F644" s="1">
        <v>18003200</v>
      </c>
      <c r="G644" s="1" t="s">
        <v>11</v>
      </c>
      <c r="H644" s="1" t="s">
        <v>38</v>
      </c>
      <c r="I644" t="s">
        <v>13</v>
      </c>
      <c r="J644" t="s">
        <v>13</v>
      </c>
    </row>
    <row r="645" spans="1:11" x14ac:dyDescent="0.35">
      <c r="A645" t="s">
        <v>5</v>
      </c>
      <c r="B645" t="str">
        <f>"44020"</f>
        <v>44020</v>
      </c>
      <c r="C645" t="str">
        <f>"002A"</f>
        <v>002A</v>
      </c>
      <c r="D645">
        <v>2016</v>
      </c>
      <c r="E645" s="1">
        <v>61838600</v>
      </c>
      <c r="F645" s="1">
        <v>44624200</v>
      </c>
      <c r="G645" s="1" t="s">
        <v>11</v>
      </c>
      <c r="H645" s="1" t="s">
        <v>38</v>
      </c>
      <c r="I645" t="s">
        <v>13</v>
      </c>
      <c r="J645" t="s">
        <v>13</v>
      </c>
    </row>
    <row r="646" spans="1:11" x14ac:dyDescent="0.35">
      <c r="A646" t="s">
        <v>5</v>
      </c>
      <c r="B646" t="str">
        <f>"44020"</f>
        <v>44020</v>
      </c>
      <c r="C646" t="str">
        <f>"003A"</f>
        <v>003A</v>
      </c>
      <c r="D646">
        <v>2017</v>
      </c>
      <c r="E646" s="1">
        <v>39648000</v>
      </c>
      <c r="F646" s="1">
        <v>24914600</v>
      </c>
      <c r="G646" s="1" t="s">
        <v>11</v>
      </c>
      <c r="H646" s="1" t="s">
        <v>38</v>
      </c>
      <c r="I646" t="s">
        <v>13</v>
      </c>
      <c r="J646" t="s">
        <v>13</v>
      </c>
    </row>
    <row r="647" spans="1:11" x14ac:dyDescent="0.35">
      <c r="A647" t="s">
        <v>5</v>
      </c>
      <c r="B647" t="str">
        <f>"44020"</f>
        <v>44020</v>
      </c>
      <c r="C647" t="str">
        <f>"004A"</f>
        <v>004A</v>
      </c>
      <c r="D647">
        <v>2018</v>
      </c>
      <c r="E647" s="1">
        <v>16031700</v>
      </c>
      <c r="F647" s="1">
        <v>12355600</v>
      </c>
      <c r="G647" s="1" t="s">
        <v>11</v>
      </c>
      <c r="H647" s="1" t="s">
        <v>38</v>
      </c>
      <c r="I647" t="s">
        <v>13</v>
      </c>
      <c r="J647" t="s">
        <v>13</v>
      </c>
    </row>
    <row r="648" spans="1:11" x14ac:dyDescent="0.35">
      <c r="A648" t="s">
        <v>39</v>
      </c>
      <c r="B648" t="s">
        <v>13</v>
      </c>
      <c r="C648" t="s">
        <v>7</v>
      </c>
      <c r="D648" t="s">
        <v>8</v>
      </c>
      <c r="E648" s="1">
        <v>135529200</v>
      </c>
      <c r="F648" s="1">
        <v>99897600</v>
      </c>
      <c r="G648" s="1" t="s">
        <v>11</v>
      </c>
      <c r="H648" s="1">
        <v>3209645000</v>
      </c>
      <c r="I648" t="s">
        <v>13</v>
      </c>
      <c r="J648" t="s">
        <v>13</v>
      </c>
      <c r="K648">
        <v>3.11</v>
      </c>
    </row>
    <row r="649" spans="1:11" x14ac:dyDescent="0.35">
      <c r="E649" s="1"/>
      <c r="F649" s="1"/>
      <c r="G649" s="1"/>
      <c r="H649" s="1"/>
    </row>
    <row r="650" spans="1:11" x14ac:dyDescent="0.35">
      <c r="A650" t="s">
        <v>176</v>
      </c>
      <c r="B650" t="str">
        <f>"10131"</f>
        <v>10131</v>
      </c>
      <c r="C650" t="str">
        <f>"001"</f>
        <v>001</v>
      </c>
      <c r="D650">
        <v>2009</v>
      </c>
      <c r="E650" s="1">
        <v>2208000</v>
      </c>
      <c r="F650" s="1">
        <v>845000</v>
      </c>
      <c r="G650" s="1" t="s">
        <v>11</v>
      </c>
      <c r="H650" s="1" t="s">
        <v>38</v>
      </c>
      <c r="I650" t="s">
        <v>13</v>
      </c>
      <c r="J650" t="s">
        <v>13</v>
      </c>
    </row>
    <row r="651" spans="1:11" x14ac:dyDescent="0.35">
      <c r="A651" t="s">
        <v>39</v>
      </c>
      <c r="B651" t="s">
        <v>13</v>
      </c>
      <c r="C651" t="s">
        <v>7</v>
      </c>
      <c r="D651" t="s">
        <v>8</v>
      </c>
      <c r="E651" s="1">
        <v>2208000</v>
      </c>
      <c r="F651" s="1">
        <v>845000</v>
      </c>
      <c r="G651" s="1" t="s">
        <v>11</v>
      </c>
      <c r="H651" s="1">
        <v>13545300</v>
      </c>
      <c r="I651" t="s">
        <v>13</v>
      </c>
      <c r="J651" t="s">
        <v>13</v>
      </c>
      <c r="K651">
        <v>6.24</v>
      </c>
    </row>
    <row r="652" spans="1:11" x14ac:dyDescent="0.35">
      <c r="E652" s="1"/>
      <c r="F652" s="1"/>
      <c r="G652" s="1"/>
      <c r="H652" s="1"/>
    </row>
    <row r="653" spans="1:11" x14ac:dyDescent="0.35">
      <c r="A653" t="s">
        <v>177</v>
      </c>
      <c r="B653" t="str">
        <f>"07131"</f>
        <v>07131</v>
      </c>
      <c r="C653" t="str">
        <f>"004"</f>
        <v>004</v>
      </c>
      <c r="D653">
        <v>2005</v>
      </c>
      <c r="E653" s="1">
        <v>4769600</v>
      </c>
      <c r="F653" s="1">
        <v>3678600</v>
      </c>
      <c r="G653" s="1" t="s">
        <v>11</v>
      </c>
      <c r="H653" s="1" t="s">
        <v>38</v>
      </c>
      <c r="I653" t="s">
        <v>13</v>
      </c>
      <c r="J653" t="s">
        <v>13</v>
      </c>
    </row>
    <row r="654" spans="1:11" x14ac:dyDescent="0.35">
      <c r="A654" t="s">
        <v>5</v>
      </c>
      <c r="B654" t="str">
        <f>"07131"</f>
        <v>07131</v>
      </c>
      <c r="C654" t="str">
        <f>"005"</f>
        <v>005</v>
      </c>
      <c r="D654">
        <v>2008</v>
      </c>
      <c r="E654" s="1">
        <v>637600</v>
      </c>
      <c r="F654" s="1">
        <v>425000</v>
      </c>
      <c r="G654" s="1" t="s">
        <v>11</v>
      </c>
      <c r="H654" s="1" t="s">
        <v>38</v>
      </c>
      <c r="I654" t="s">
        <v>13</v>
      </c>
      <c r="J654" t="s">
        <v>13</v>
      </c>
    </row>
    <row r="655" spans="1:11" x14ac:dyDescent="0.35">
      <c r="A655" t="s">
        <v>39</v>
      </c>
      <c r="B655" t="s">
        <v>13</v>
      </c>
      <c r="C655" t="s">
        <v>7</v>
      </c>
      <c r="D655" t="s">
        <v>8</v>
      </c>
      <c r="E655" s="1">
        <v>5407200</v>
      </c>
      <c r="F655" s="1">
        <v>4103600</v>
      </c>
      <c r="G655" s="1" t="s">
        <v>11</v>
      </c>
      <c r="H655" s="1">
        <v>81349300</v>
      </c>
      <c r="I655" t="s">
        <v>13</v>
      </c>
      <c r="J655" t="s">
        <v>13</v>
      </c>
      <c r="K655">
        <v>5.04</v>
      </c>
    </row>
    <row r="656" spans="1:11" x14ac:dyDescent="0.35">
      <c r="E656" s="1"/>
      <c r="F656" s="1"/>
      <c r="G656" s="1"/>
      <c r="H656" s="1"/>
    </row>
    <row r="657" spans="1:11" x14ac:dyDescent="0.35">
      <c r="A657" t="s">
        <v>178</v>
      </c>
      <c r="B657" t="str">
        <f>"33131"</f>
        <v>33131</v>
      </c>
      <c r="C657" t="str">
        <f>"001"</f>
        <v>001</v>
      </c>
      <c r="D657">
        <v>2001</v>
      </c>
      <c r="E657" s="1">
        <v>1776600</v>
      </c>
      <c r="F657" s="1">
        <v>1326700</v>
      </c>
      <c r="G657" s="1" t="s">
        <v>11</v>
      </c>
      <c r="H657" s="1" t="s">
        <v>38</v>
      </c>
      <c r="I657" t="s">
        <v>13</v>
      </c>
      <c r="J657" t="s">
        <v>13</v>
      </c>
    </row>
    <row r="658" spans="1:11" x14ac:dyDescent="0.35">
      <c r="A658" t="s">
        <v>39</v>
      </c>
      <c r="B658" t="s">
        <v>13</v>
      </c>
      <c r="C658" t="s">
        <v>7</v>
      </c>
      <c r="D658" t="s">
        <v>8</v>
      </c>
      <c r="E658" s="1">
        <v>1776600</v>
      </c>
      <c r="F658" s="1">
        <v>1326700</v>
      </c>
      <c r="G658" s="1" t="s">
        <v>11</v>
      </c>
      <c r="H658" s="1">
        <v>10165600</v>
      </c>
      <c r="I658" t="s">
        <v>13</v>
      </c>
      <c r="J658" t="s">
        <v>13</v>
      </c>
      <c r="K658">
        <v>13.05</v>
      </c>
    </row>
    <row r="659" spans="1:11" x14ac:dyDescent="0.35">
      <c r="E659" s="1"/>
      <c r="F659" s="1"/>
      <c r="G659" s="1"/>
      <c r="H659" s="1"/>
    </row>
    <row r="660" spans="1:11" x14ac:dyDescent="0.35">
      <c r="A660" t="s">
        <v>179</v>
      </c>
      <c r="B660" t="str">
        <f t="shared" ref="B660:B672" si="10">"05231"</f>
        <v>05231</v>
      </c>
      <c r="C660" t="str">
        <f>"004"</f>
        <v>004</v>
      </c>
      <c r="D660">
        <v>1998</v>
      </c>
      <c r="E660" s="1">
        <v>52274300</v>
      </c>
      <c r="F660" s="1">
        <v>25320300</v>
      </c>
      <c r="G660" s="1" t="s">
        <v>11</v>
      </c>
      <c r="H660" s="1" t="s">
        <v>38</v>
      </c>
      <c r="I660" t="s">
        <v>13</v>
      </c>
      <c r="J660" t="s">
        <v>13</v>
      </c>
    </row>
    <row r="661" spans="1:11" x14ac:dyDescent="0.35">
      <c r="A661" t="s">
        <v>5</v>
      </c>
      <c r="B661" t="str">
        <f t="shared" si="10"/>
        <v>05231</v>
      </c>
      <c r="C661" t="str">
        <f>"005"</f>
        <v>005</v>
      </c>
      <c r="D661">
        <v>2000</v>
      </c>
      <c r="E661" s="1">
        <v>149455800</v>
      </c>
      <c r="F661" s="1">
        <v>94206400</v>
      </c>
      <c r="G661" s="1" t="s">
        <v>11</v>
      </c>
      <c r="H661" s="1" t="s">
        <v>38</v>
      </c>
      <c r="I661" t="s">
        <v>13</v>
      </c>
      <c r="J661" t="s">
        <v>13</v>
      </c>
    </row>
    <row r="662" spans="1:11" x14ac:dyDescent="0.35">
      <c r="A662" t="s">
        <v>5</v>
      </c>
      <c r="B662" t="str">
        <f t="shared" si="10"/>
        <v>05231</v>
      </c>
      <c r="C662" t="str">
        <f>"010"</f>
        <v>010</v>
      </c>
      <c r="D662">
        <v>2004</v>
      </c>
      <c r="E662" s="1">
        <v>38165200</v>
      </c>
      <c r="F662" s="1">
        <v>13762700</v>
      </c>
      <c r="G662" s="1" t="s">
        <v>11</v>
      </c>
      <c r="H662" s="1" t="s">
        <v>38</v>
      </c>
      <c r="I662" t="s">
        <v>13</v>
      </c>
      <c r="J662" t="s">
        <v>13</v>
      </c>
    </row>
    <row r="663" spans="1:11" x14ac:dyDescent="0.35">
      <c r="A663" t="s">
        <v>5</v>
      </c>
      <c r="B663" t="str">
        <f t="shared" si="10"/>
        <v>05231</v>
      </c>
      <c r="C663" t="str">
        <f>"012"</f>
        <v>012</v>
      </c>
      <c r="D663">
        <v>2005</v>
      </c>
      <c r="E663" s="1">
        <v>336496900</v>
      </c>
      <c r="F663" s="1">
        <v>139905100</v>
      </c>
      <c r="G663" s="1" t="s">
        <v>11</v>
      </c>
      <c r="H663" s="1" t="s">
        <v>38</v>
      </c>
      <c r="I663" t="s">
        <v>13</v>
      </c>
      <c r="J663" t="s">
        <v>13</v>
      </c>
    </row>
    <row r="664" spans="1:11" x14ac:dyDescent="0.35">
      <c r="A664" t="s">
        <v>5</v>
      </c>
      <c r="B664" t="str">
        <f t="shared" si="10"/>
        <v>05231</v>
      </c>
      <c r="C664" t="str">
        <f>"013"</f>
        <v>013</v>
      </c>
      <c r="D664">
        <v>2005</v>
      </c>
      <c r="E664" s="1">
        <v>169326700</v>
      </c>
      <c r="F664" s="1">
        <v>122966200</v>
      </c>
      <c r="G664" s="1" t="s">
        <v>11</v>
      </c>
      <c r="H664" s="1" t="s">
        <v>38</v>
      </c>
      <c r="I664" t="s">
        <v>13</v>
      </c>
      <c r="J664" t="s">
        <v>13</v>
      </c>
    </row>
    <row r="665" spans="1:11" x14ac:dyDescent="0.35">
      <c r="A665" t="s">
        <v>5</v>
      </c>
      <c r="B665" t="str">
        <f t="shared" si="10"/>
        <v>05231</v>
      </c>
      <c r="C665" t="str">
        <f>"014"</f>
        <v>014</v>
      </c>
      <c r="D665">
        <v>2006</v>
      </c>
      <c r="E665" s="1">
        <v>37302600</v>
      </c>
      <c r="F665" s="1">
        <v>31147100</v>
      </c>
      <c r="G665" s="1" t="s">
        <v>11</v>
      </c>
      <c r="H665" s="1" t="s">
        <v>38</v>
      </c>
      <c r="I665" t="s">
        <v>13</v>
      </c>
      <c r="J665" t="s">
        <v>13</v>
      </c>
    </row>
    <row r="666" spans="1:11" x14ac:dyDescent="0.35">
      <c r="A666" t="s">
        <v>5</v>
      </c>
      <c r="B666" t="str">
        <f t="shared" si="10"/>
        <v>05231</v>
      </c>
      <c r="C666" t="str">
        <f>"016"</f>
        <v>016</v>
      </c>
      <c r="D666">
        <v>2007</v>
      </c>
      <c r="E666" s="1">
        <v>109840600</v>
      </c>
      <c r="F666" s="1">
        <v>27477400</v>
      </c>
      <c r="G666" s="1" t="s">
        <v>11</v>
      </c>
      <c r="H666" s="1" t="s">
        <v>38</v>
      </c>
      <c r="I666" t="s">
        <v>13</v>
      </c>
      <c r="J666" t="s">
        <v>13</v>
      </c>
    </row>
    <row r="667" spans="1:11" x14ac:dyDescent="0.35">
      <c r="A667" t="s">
        <v>5</v>
      </c>
      <c r="B667" t="str">
        <f t="shared" si="10"/>
        <v>05231</v>
      </c>
      <c r="C667" t="str">
        <f>"018"</f>
        <v>018</v>
      </c>
      <c r="D667">
        <v>2016</v>
      </c>
      <c r="E667" s="1">
        <v>57445100</v>
      </c>
      <c r="F667" s="1">
        <v>27684400</v>
      </c>
      <c r="G667" s="1" t="s">
        <v>11</v>
      </c>
      <c r="H667" s="1" t="s">
        <v>38</v>
      </c>
      <c r="I667" t="s">
        <v>13</v>
      </c>
      <c r="J667" t="s">
        <v>13</v>
      </c>
    </row>
    <row r="668" spans="1:11" x14ac:dyDescent="0.35">
      <c r="A668" t="s">
        <v>5</v>
      </c>
      <c r="B668" t="str">
        <f t="shared" si="10"/>
        <v>05231</v>
      </c>
      <c r="C668" t="str">
        <f>"019"</f>
        <v>019</v>
      </c>
      <c r="D668">
        <v>2017</v>
      </c>
      <c r="E668" s="1">
        <v>38723600</v>
      </c>
      <c r="F668" s="1">
        <v>11696100</v>
      </c>
      <c r="G668" s="1" t="s">
        <v>11</v>
      </c>
      <c r="H668" s="1" t="s">
        <v>38</v>
      </c>
      <c r="I668" t="s">
        <v>13</v>
      </c>
      <c r="J668" t="s">
        <v>13</v>
      </c>
    </row>
    <row r="669" spans="1:11" x14ac:dyDescent="0.35">
      <c r="A669" t="s">
        <v>5</v>
      </c>
      <c r="B669" t="str">
        <f t="shared" si="10"/>
        <v>05231</v>
      </c>
      <c r="C669" t="str">
        <f>"020"</f>
        <v>020</v>
      </c>
      <c r="D669">
        <v>2018</v>
      </c>
      <c r="E669" s="1">
        <v>12564900</v>
      </c>
      <c r="F669" s="1">
        <v>7279800</v>
      </c>
      <c r="G669" s="1" t="s">
        <v>11</v>
      </c>
      <c r="H669" s="1" t="s">
        <v>38</v>
      </c>
      <c r="I669" t="s">
        <v>13</v>
      </c>
      <c r="J669" t="s">
        <v>13</v>
      </c>
    </row>
    <row r="670" spans="1:11" x14ac:dyDescent="0.35">
      <c r="A670" t="s">
        <v>5</v>
      </c>
      <c r="B670" t="str">
        <f t="shared" si="10"/>
        <v>05231</v>
      </c>
      <c r="C670" t="str">
        <f>"021"</f>
        <v>021</v>
      </c>
      <c r="D670">
        <v>2018</v>
      </c>
      <c r="E670" s="1">
        <v>114266500</v>
      </c>
      <c r="F670" s="1">
        <v>88820200</v>
      </c>
      <c r="G670" s="1" t="s">
        <v>11</v>
      </c>
      <c r="H670" s="1" t="s">
        <v>38</v>
      </c>
      <c r="I670" t="s">
        <v>13</v>
      </c>
      <c r="J670" t="s">
        <v>13</v>
      </c>
    </row>
    <row r="671" spans="1:11" x14ac:dyDescent="0.35">
      <c r="A671" t="s">
        <v>5</v>
      </c>
      <c r="B671" t="str">
        <f t="shared" si="10"/>
        <v>05231</v>
      </c>
      <c r="C671" t="str">
        <f>"022"</f>
        <v>022</v>
      </c>
      <c r="D671">
        <v>2019</v>
      </c>
      <c r="E671" s="1">
        <v>4128300</v>
      </c>
      <c r="F671" s="1">
        <v>186900</v>
      </c>
      <c r="G671" s="1" t="s">
        <v>11</v>
      </c>
      <c r="H671" s="1" t="s">
        <v>38</v>
      </c>
      <c r="I671" t="s">
        <v>13</v>
      </c>
      <c r="J671" t="s">
        <v>13</v>
      </c>
    </row>
    <row r="672" spans="1:11" x14ac:dyDescent="0.35">
      <c r="A672" t="s">
        <v>5</v>
      </c>
      <c r="B672" t="str">
        <f t="shared" si="10"/>
        <v>05231</v>
      </c>
      <c r="C672" t="str">
        <f>"023"</f>
        <v>023</v>
      </c>
      <c r="D672">
        <v>2019</v>
      </c>
      <c r="E672" s="1">
        <v>11974200</v>
      </c>
      <c r="F672" s="1">
        <v>-53200</v>
      </c>
      <c r="G672" s="1" t="s">
        <v>48</v>
      </c>
      <c r="H672" s="1" t="s">
        <v>38</v>
      </c>
      <c r="I672" t="s">
        <v>13</v>
      </c>
      <c r="J672" t="s">
        <v>13</v>
      </c>
    </row>
    <row r="673" spans="1:11" x14ac:dyDescent="0.35">
      <c r="A673" t="s">
        <v>39</v>
      </c>
      <c r="B673" t="s">
        <v>13</v>
      </c>
      <c r="C673" t="s">
        <v>7</v>
      </c>
      <c r="D673" t="s">
        <v>8</v>
      </c>
      <c r="E673" s="1">
        <v>1131964700</v>
      </c>
      <c r="F673" s="1">
        <v>590452600</v>
      </c>
      <c r="G673" s="1" t="s">
        <v>11</v>
      </c>
      <c r="H673" s="1">
        <v>8051247100</v>
      </c>
      <c r="I673" t="s">
        <v>13</v>
      </c>
      <c r="J673" t="s">
        <v>13</v>
      </c>
      <c r="K673">
        <v>7.33</v>
      </c>
    </row>
    <row r="674" spans="1:11" x14ac:dyDescent="0.35">
      <c r="E674" s="1"/>
      <c r="F674" s="1"/>
      <c r="G674" s="1"/>
      <c r="H674" s="1"/>
    </row>
    <row r="675" spans="1:11" x14ac:dyDescent="0.35">
      <c r="A675" t="s">
        <v>180</v>
      </c>
      <c r="B675" t="str">
        <f>"24231"</f>
        <v>24231</v>
      </c>
      <c r="C675" t="str">
        <f>"003"</f>
        <v>003</v>
      </c>
      <c r="D675">
        <v>2005</v>
      </c>
      <c r="E675" s="1">
        <v>24756200</v>
      </c>
      <c r="F675" s="1">
        <v>15760400</v>
      </c>
      <c r="G675" s="1" t="s">
        <v>11</v>
      </c>
      <c r="H675" s="1" t="s">
        <v>38</v>
      </c>
      <c r="I675" t="s">
        <v>13</v>
      </c>
      <c r="J675" t="s">
        <v>13</v>
      </c>
    </row>
    <row r="676" spans="1:11" x14ac:dyDescent="0.35">
      <c r="A676" t="s">
        <v>5</v>
      </c>
      <c r="B676" t="str">
        <f>"24231"</f>
        <v>24231</v>
      </c>
      <c r="C676" t="str">
        <f>"004"</f>
        <v>004</v>
      </c>
      <c r="D676">
        <v>2009</v>
      </c>
      <c r="E676" s="1">
        <v>176800</v>
      </c>
      <c r="F676" s="1">
        <v>-60900</v>
      </c>
      <c r="G676" s="1" t="s">
        <v>48</v>
      </c>
      <c r="H676" s="1" t="s">
        <v>38</v>
      </c>
      <c r="I676" t="s">
        <v>13</v>
      </c>
      <c r="J676" t="s">
        <v>13</v>
      </c>
    </row>
    <row r="677" spans="1:11" x14ac:dyDescent="0.35">
      <c r="A677" t="s">
        <v>5</v>
      </c>
      <c r="B677" t="str">
        <f>"24231"</f>
        <v>24231</v>
      </c>
      <c r="C677" t="str">
        <f>"005"</f>
        <v>005</v>
      </c>
      <c r="D677">
        <v>2020</v>
      </c>
      <c r="E677" s="1">
        <v>5486000</v>
      </c>
      <c r="F677" s="1">
        <v>-187600</v>
      </c>
      <c r="G677" s="1" t="s">
        <v>48</v>
      </c>
      <c r="H677" s="1" t="s">
        <v>38</v>
      </c>
      <c r="I677" t="s">
        <v>13</v>
      </c>
      <c r="J677" t="s">
        <v>13</v>
      </c>
    </row>
    <row r="678" spans="1:11" x14ac:dyDescent="0.35">
      <c r="A678" t="s">
        <v>39</v>
      </c>
      <c r="B678" t="s">
        <v>13</v>
      </c>
      <c r="C678" t="s">
        <v>7</v>
      </c>
      <c r="D678" t="s">
        <v>8</v>
      </c>
      <c r="E678" s="1">
        <v>30419000</v>
      </c>
      <c r="F678" s="1">
        <v>15760400</v>
      </c>
      <c r="G678" s="1" t="s">
        <v>11</v>
      </c>
      <c r="H678" s="1">
        <v>260941100</v>
      </c>
      <c r="I678" t="s">
        <v>13</v>
      </c>
      <c r="J678" t="s">
        <v>13</v>
      </c>
      <c r="K678">
        <v>6.04</v>
      </c>
    </row>
    <row r="679" spans="1:11" x14ac:dyDescent="0.35">
      <c r="E679" s="1"/>
      <c r="F679" s="1"/>
      <c r="G679" s="1"/>
      <c r="H679" s="1"/>
    </row>
    <row r="680" spans="1:11" x14ac:dyDescent="0.35">
      <c r="A680" t="s">
        <v>181</v>
      </c>
      <c r="B680" t="str">
        <f>"40131"</f>
        <v>40131</v>
      </c>
      <c r="C680" t="str">
        <f>"001"</f>
        <v>001</v>
      </c>
      <c r="D680">
        <v>2010</v>
      </c>
      <c r="E680" s="1">
        <v>12234400</v>
      </c>
      <c r="F680" s="1">
        <v>11611300</v>
      </c>
      <c r="G680" s="1" t="s">
        <v>11</v>
      </c>
      <c r="H680" s="1" t="s">
        <v>38</v>
      </c>
      <c r="I680" t="s">
        <v>13</v>
      </c>
      <c r="J680" t="s">
        <v>13</v>
      </c>
    </row>
    <row r="681" spans="1:11" x14ac:dyDescent="0.35">
      <c r="A681" t="s">
        <v>5</v>
      </c>
      <c r="B681" t="str">
        <f>"40131"</f>
        <v>40131</v>
      </c>
      <c r="C681" t="str">
        <f>"002"</f>
        <v>002</v>
      </c>
      <c r="D681">
        <v>2011</v>
      </c>
      <c r="E681" s="1">
        <v>192155700</v>
      </c>
      <c r="F681" s="1">
        <v>86662600</v>
      </c>
      <c r="G681" s="1" t="s">
        <v>11</v>
      </c>
      <c r="H681" s="1" t="s">
        <v>38</v>
      </c>
      <c r="I681" t="s">
        <v>13</v>
      </c>
      <c r="J681" t="s">
        <v>13</v>
      </c>
    </row>
    <row r="682" spans="1:11" x14ac:dyDescent="0.35">
      <c r="A682" t="s">
        <v>5</v>
      </c>
      <c r="B682" t="str">
        <f>"40131"</f>
        <v>40131</v>
      </c>
      <c r="C682" t="str">
        <f>"003"</f>
        <v>003</v>
      </c>
      <c r="D682">
        <v>2011</v>
      </c>
      <c r="E682" s="1">
        <v>17626200</v>
      </c>
      <c r="F682" s="1">
        <v>11125300</v>
      </c>
      <c r="G682" s="1" t="s">
        <v>11</v>
      </c>
      <c r="H682" s="1" t="s">
        <v>38</v>
      </c>
      <c r="I682" t="s">
        <v>13</v>
      </c>
      <c r="J682" t="s">
        <v>13</v>
      </c>
    </row>
    <row r="683" spans="1:11" x14ac:dyDescent="0.35">
      <c r="A683" t="s">
        <v>5</v>
      </c>
      <c r="B683" t="str">
        <f>"40131"</f>
        <v>40131</v>
      </c>
      <c r="C683" t="str">
        <f>"004"</f>
        <v>004</v>
      </c>
      <c r="D683">
        <v>2016</v>
      </c>
      <c r="E683" s="1">
        <v>35479700</v>
      </c>
      <c r="F683" s="1">
        <v>28002900</v>
      </c>
      <c r="G683" s="1" t="s">
        <v>11</v>
      </c>
      <c r="H683" s="1" t="s">
        <v>38</v>
      </c>
      <c r="I683" t="s">
        <v>13</v>
      </c>
      <c r="J683" t="s">
        <v>13</v>
      </c>
    </row>
    <row r="684" spans="1:11" x14ac:dyDescent="0.35">
      <c r="A684" t="s">
        <v>5</v>
      </c>
      <c r="B684" t="str">
        <f>"40131"</f>
        <v>40131</v>
      </c>
      <c r="C684" t="str">
        <f>"005"</f>
        <v>005</v>
      </c>
      <c r="D684">
        <v>2018</v>
      </c>
      <c r="E684" s="1">
        <v>18763200</v>
      </c>
      <c r="F684" s="1">
        <v>13614000</v>
      </c>
      <c r="G684" s="1" t="s">
        <v>11</v>
      </c>
      <c r="H684" s="1" t="s">
        <v>38</v>
      </c>
      <c r="I684" t="s">
        <v>13</v>
      </c>
      <c r="J684" t="s">
        <v>13</v>
      </c>
    </row>
    <row r="685" spans="1:11" x14ac:dyDescent="0.35">
      <c r="A685" t="s">
        <v>39</v>
      </c>
      <c r="B685" t="s">
        <v>13</v>
      </c>
      <c r="C685" t="s">
        <v>7</v>
      </c>
      <c r="D685" t="s">
        <v>8</v>
      </c>
      <c r="E685" s="1">
        <v>276259200</v>
      </c>
      <c r="F685" s="1">
        <v>151016100</v>
      </c>
      <c r="G685" s="1" t="s">
        <v>11</v>
      </c>
      <c r="H685" s="1">
        <v>1674247400</v>
      </c>
      <c r="I685" t="s">
        <v>13</v>
      </c>
      <c r="J685" t="s">
        <v>13</v>
      </c>
      <c r="K685">
        <v>9.02</v>
      </c>
    </row>
    <row r="686" spans="1:11" x14ac:dyDescent="0.35">
      <c r="E686" s="1"/>
      <c r="F686" s="1"/>
      <c r="G686" s="1"/>
      <c r="H686" s="1"/>
    </row>
    <row r="687" spans="1:11" x14ac:dyDescent="0.35">
      <c r="A687" t="s">
        <v>182</v>
      </c>
      <c r="B687" t="str">
        <f t="shared" ref="B687:B692" si="11">"40236"</f>
        <v>40236</v>
      </c>
      <c r="C687" t="str">
        <f>"002"</f>
        <v>002</v>
      </c>
      <c r="D687">
        <v>2007</v>
      </c>
      <c r="E687" s="1">
        <v>72689000</v>
      </c>
      <c r="F687" s="1">
        <v>57714400</v>
      </c>
      <c r="G687" s="1" t="s">
        <v>11</v>
      </c>
      <c r="H687" s="1" t="s">
        <v>38</v>
      </c>
      <c r="I687" t="s">
        <v>13</v>
      </c>
      <c r="J687" t="s">
        <v>13</v>
      </c>
    </row>
    <row r="688" spans="1:11" x14ac:dyDescent="0.35">
      <c r="A688" t="s">
        <v>5</v>
      </c>
      <c r="B688" t="str">
        <f t="shared" si="11"/>
        <v>40236</v>
      </c>
      <c r="C688" t="str">
        <f>"003"</f>
        <v>003</v>
      </c>
      <c r="D688">
        <v>2009</v>
      </c>
      <c r="E688" s="1">
        <v>82380400</v>
      </c>
      <c r="F688" s="1">
        <v>6649400</v>
      </c>
      <c r="G688" s="1" t="s">
        <v>11</v>
      </c>
      <c r="H688" s="1" t="s">
        <v>38</v>
      </c>
      <c r="I688" t="s">
        <v>13</v>
      </c>
      <c r="J688" t="s">
        <v>13</v>
      </c>
    </row>
    <row r="689" spans="1:11" x14ac:dyDescent="0.35">
      <c r="A689" t="s">
        <v>5</v>
      </c>
      <c r="B689" t="str">
        <f t="shared" si="11"/>
        <v>40236</v>
      </c>
      <c r="C689" t="str">
        <f>"004"</f>
        <v>004</v>
      </c>
      <c r="D689">
        <v>2015</v>
      </c>
      <c r="E689" s="1">
        <v>62185600</v>
      </c>
      <c r="F689" s="1">
        <v>36746900</v>
      </c>
      <c r="G689" s="1" t="s">
        <v>11</v>
      </c>
      <c r="H689" s="1" t="s">
        <v>38</v>
      </c>
      <c r="I689" t="s">
        <v>13</v>
      </c>
      <c r="J689" t="s">
        <v>13</v>
      </c>
    </row>
    <row r="690" spans="1:11" x14ac:dyDescent="0.35">
      <c r="A690" t="s">
        <v>5</v>
      </c>
      <c r="B690" t="str">
        <f t="shared" si="11"/>
        <v>40236</v>
      </c>
      <c r="C690" t="str">
        <f>"005"</f>
        <v>005</v>
      </c>
      <c r="D690">
        <v>2015</v>
      </c>
      <c r="E690" s="1">
        <v>7873100</v>
      </c>
      <c r="F690" s="1">
        <v>952100</v>
      </c>
      <c r="G690" s="1" t="s">
        <v>11</v>
      </c>
      <c r="H690" s="1" t="s">
        <v>38</v>
      </c>
      <c r="I690" t="s">
        <v>13</v>
      </c>
      <c r="J690" t="s">
        <v>13</v>
      </c>
    </row>
    <row r="691" spans="1:11" x14ac:dyDescent="0.35">
      <c r="A691" t="s">
        <v>5</v>
      </c>
      <c r="B691" t="str">
        <f t="shared" si="11"/>
        <v>40236</v>
      </c>
      <c r="C691" t="str">
        <f>"006"</f>
        <v>006</v>
      </c>
      <c r="D691">
        <v>2015</v>
      </c>
      <c r="E691" s="1">
        <v>196347100</v>
      </c>
      <c r="F691" s="1">
        <v>188388000</v>
      </c>
      <c r="G691" s="1" t="s">
        <v>11</v>
      </c>
      <c r="H691" s="1" t="s">
        <v>38</v>
      </c>
      <c r="I691" t="s">
        <v>13</v>
      </c>
      <c r="J691" t="s">
        <v>13</v>
      </c>
    </row>
    <row r="692" spans="1:11" x14ac:dyDescent="0.35">
      <c r="A692" t="s">
        <v>5</v>
      </c>
      <c r="B692" t="str">
        <f t="shared" si="11"/>
        <v>40236</v>
      </c>
      <c r="C692" t="str">
        <f>"007"</f>
        <v>007</v>
      </c>
      <c r="D692">
        <v>2020</v>
      </c>
      <c r="E692" s="1">
        <v>2214100</v>
      </c>
      <c r="F692" s="1">
        <v>58600</v>
      </c>
      <c r="G692" s="1" t="s">
        <v>11</v>
      </c>
      <c r="H692" s="1" t="s">
        <v>38</v>
      </c>
      <c r="I692" t="s">
        <v>13</v>
      </c>
      <c r="J692" t="s">
        <v>13</v>
      </c>
    </row>
    <row r="693" spans="1:11" x14ac:dyDescent="0.35">
      <c r="A693" t="s">
        <v>39</v>
      </c>
      <c r="B693" t="s">
        <v>13</v>
      </c>
      <c r="C693" t="s">
        <v>7</v>
      </c>
      <c r="D693" t="s">
        <v>8</v>
      </c>
      <c r="E693" s="1">
        <v>423689300</v>
      </c>
      <c r="F693" s="1">
        <v>290509400</v>
      </c>
      <c r="G693" s="1" t="s">
        <v>11</v>
      </c>
      <c r="H693" s="1">
        <v>3641653400</v>
      </c>
      <c r="I693" t="s">
        <v>13</v>
      </c>
      <c r="J693" t="s">
        <v>13</v>
      </c>
      <c r="K693">
        <v>7.98</v>
      </c>
    </row>
    <row r="694" spans="1:11" x14ac:dyDescent="0.35">
      <c r="E694" s="1"/>
      <c r="F694" s="1"/>
      <c r="G694" s="1"/>
      <c r="H694" s="1"/>
    </row>
    <row r="695" spans="1:11" x14ac:dyDescent="0.35">
      <c r="A695" t="s">
        <v>183</v>
      </c>
      <c r="B695" t="str">
        <f>"44122"</f>
        <v>44122</v>
      </c>
      <c r="C695" t="str">
        <f>"001"</f>
        <v>001</v>
      </c>
      <c r="D695">
        <v>2017</v>
      </c>
      <c r="E695" s="1">
        <v>27585700</v>
      </c>
      <c r="F695" s="1">
        <v>16075200</v>
      </c>
      <c r="G695" s="1" t="s">
        <v>11</v>
      </c>
      <c r="H695" s="1" t="s">
        <v>38</v>
      </c>
      <c r="I695" t="s">
        <v>13</v>
      </c>
      <c r="J695" t="s">
        <v>13</v>
      </c>
    </row>
    <row r="696" spans="1:11" x14ac:dyDescent="0.35">
      <c r="A696" t="s">
        <v>39</v>
      </c>
      <c r="B696" t="s">
        <v>13</v>
      </c>
      <c r="C696" t="s">
        <v>7</v>
      </c>
      <c r="D696" t="s">
        <v>8</v>
      </c>
      <c r="E696" s="1">
        <v>27585700</v>
      </c>
      <c r="F696" s="1">
        <v>16075200</v>
      </c>
      <c r="G696" s="1" t="s">
        <v>11</v>
      </c>
      <c r="H696" s="1">
        <v>1265526300</v>
      </c>
      <c r="I696" t="s">
        <v>13</v>
      </c>
      <c r="J696" t="s">
        <v>13</v>
      </c>
      <c r="K696">
        <v>1.27</v>
      </c>
    </row>
    <row r="697" spans="1:11" x14ac:dyDescent="0.35">
      <c r="E697" s="1"/>
      <c r="F697" s="1"/>
      <c r="G697" s="1"/>
      <c r="H697" s="1"/>
    </row>
    <row r="698" spans="1:11" x14ac:dyDescent="0.35">
      <c r="A698" t="s">
        <v>184</v>
      </c>
      <c r="B698" t="str">
        <f>"10231"</f>
        <v>10231</v>
      </c>
      <c r="C698" t="str">
        <f>"001"</f>
        <v>001</v>
      </c>
      <c r="D698">
        <v>1991</v>
      </c>
      <c r="E698" s="1">
        <v>1501400</v>
      </c>
      <c r="F698" s="1">
        <v>1262400</v>
      </c>
      <c r="G698" s="1" t="s">
        <v>11</v>
      </c>
      <c r="H698" s="1" t="s">
        <v>38</v>
      </c>
      <c r="I698" t="s">
        <v>13</v>
      </c>
      <c r="J698" t="s">
        <v>13</v>
      </c>
    </row>
    <row r="699" spans="1:11" x14ac:dyDescent="0.35">
      <c r="A699" t="s">
        <v>5</v>
      </c>
      <c r="B699" t="str">
        <f>"10231"</f>
        <v>10231</v>
      </c>
      <c r="C699" t="str">
        <f>"002"</f>
        <v>002</v>
      </c>
      <c r="D699">
        <v>1998</v>
      </c>
      <c r="E699" s="1">
        <v>279700</v>
      </c>
      <c r="F699" s="1">
        <v>221400</v>
      </c>
      <c r="G699" s="1" t="s">
        <v>11</v>
      </c>
      <c r="H699" s="1" t="s">
        <v>38</v>
      </c>
      <c r="I699" t="s">
        <v>13</v>
      </c>
      <c r="J699" t="s">
        <v>13</v>
      </c>
    </row>
    <row r="700" spans="1:11" x14ac:dyDescent="0.35">
      <c r="A700" t="s">
        <v>5</v>
      </c>
      <c r="B700" t="str">
        <f>"10231"</f>
        <v>10231</v>
      </c>
      <c r="C700" t="str">
        <f>"003"</f>
        <v>003</v>
      </c>
      <c r="D700">
        <v>2019</v>
      </c>
      <c r="E700" s="1">
        <v>2439200</v>
      </c>
      <c r="F700" s="1">
        <v>2044500</v>
      </c>
      <c r="G700" s="1" t="s">
        <v>11</v>
      </c>
      <c r="H700" s="1" t="s">
        <v>38</v>
      </c>
      <c r="I700" t="s">
        <v>13</v>
      </c>
      <c r="J700" t="s">
        <v>13</v>
      </c>
    </row>
    <row r="701" spans="1:11" x14ac:dyDescent="0.35">
      <c r="A701" t="s">
        <v>39</v>
      </c>
      <c r="B701" t="s">
        <v>13</v>
      </c>
      <c r="C701" t="s">
        <v>7</v>
      </c>
      <c r="D701" t="s">
        <v>8</v>
      </c>
      <c r="E701" s="1">
        <v>4220300</v>
      </c>
      <c r="F701" s="1">
        <v>3528300</v>
      </c>
      <c r="G701" s="1" t="s">
        <v>11</v>
      </c>
      <c r="H701" s="1">
        <v>52043900</v>
      </c>
      <c r="I701" t="s">
        <v>13</v>
      </c>
      <c r="J701" t="s">
        <v>13</v>
      </c>
      <c r="K701">
        <v>6.78</v>
      </c>
    </row>
    <row r="702" spans="1:11" x14ac:dyDescent="0.35">
      <c r="E702" s="1"/>
      <c r="F702" s="1"/>
      <c r="G702" s="1"/>
      <c r="H702" s="1"/>
    </row>
    <row r="703" spans="1:11" x14ac:dyDescent="0.35">
      <c r="A703" t="s">
        <v>185</v>
      </c>
      <c r="B703" t="str">
        <f>"58131"</f>
        <v>58131</v>
      </c>
      <c r="C703" t="str">
        <f>"001"</f>
        <v>001</v>
      </c>
      <c r="D703">
        <v>2011</v>
      </c>
      <c r="E703" s="1">
        <v>1575000</v>
      </c>
      <c r="F703" s="1">
        <v>323500</v>
      </c>
      <c r="G703" s="1" t="s">
        <v>11</v>
      </c>
      <c r="H703" s="1" t="s">
        <v>38</v>
      </c>
      <c r="I703" t="s">
        <v>13</v>
      </c>
      <c r="J703" t="s">
        <v>13</v>
      </c>
    </row>
    <row r="704" spans="1:11" x14ac:dyDescent="0.35">
      <c r="A704" t="s">
        <v>5</v>
      </c>
      <c r="B704" t="str">
        <f>"58131"</f>
        <v>58131</v>
      </c>
      <c r="C704" t="str">
        <f>"002"</f>
        <v>002</v>
      </c>
      <c r="D704">
        <v>2015</v>
      </c>
      <c r="E704" s="1">
        <v>3833600</v>
      </c>
      <c r="F704" s="1">
        <v>1351600</v>
      </c>
      <c r="G704" s="1" t="s">
        <v>11</v>
      </c>
      <c r="H704" s="1" t="s">
        <v>38</v>
      </c>
      <c r="I704" t="s">
        <v>13</v>
      </c>
      <c r="J704" t="s">
        <v>13</v>
      </c>
    </row>
    <row r="705" spans="1:11" x14ac:dyDescent="0.35">
      <c r="A705" t="s">
        <v>39</v>
      </c>
      <c r="B705" t="s">
        <v>13</v>
      </c>
      <c r="C705" t="s">
        <v>7</v>
      </c>
      <c r="D705" t="s">
        <v>8</v>
      </c>
      <c r="E705" s="1">
        <v>5408600</v>
      </c>
      <c r="F705" s="1">
        <v>1675100</v>
      </c>
      <c r="G705" s="1" t="s">
        <v>11</v>
      </c>
      <c r="H705" s="1">
        <v>22581600</v>
      </c>
      <c r="I705" t="s">
        <v>13</v>
      </c>
      <c r="J705" t="s">
        <v>13</v>
      </c>
      <c r="K705">
        <v>7.42</v>
      </c>
    </row>
    <row r="706" spans="1:11" x14ac:dyDescent="0.35">
      <c r="E706" s="1"/>
      <c r="F706" s="1"/>
      <c r="G706" s="1"/>
      <c r="H706" s="1"/>
    </row>
    <row r="707" spans="1:11" x14ac:dyDescent="0.35">
      <c r="A707" t="s">
        <v>186</v>
      </c>
      <c r="B707" t="str">
        <f>"40136"</f>
        <v>40136</v>
      </c>
      <c r="C707" t="str">
        <f>"004"</f>
        <v>004</v>
      </c>
      <c r="D707">
        <v>2016</v>
      </c>
      <c r="E707" s="1">
        <v>22953700</v>
      </c>
      <c r="F707" s="1">
        <v>10976500</v>
      </c>
      <c r="G707" s="1" t="s">
        <v>11</v>
      </c>
      <c r="H707" s="1" t="s">
        <v>38</v>
      </c>
      <c r="I707" t="s">
        <v>13</v>
      </c>
      <c r="J707" t="s">
        <v>13</v>
      </c>
    </row>
    <row r="708" spans="1:11" x14ac:dyDescent="0.35">
      <c r="A708" t="s">
        <v>39</v>
      </c>
      <c r="B708" t="s">
        <v>13</v>
      </c>
      <c r="C708" t="s">
        <v>7</v>
      </c>
      <c r="D708" t="s">
        <v>8</v>
      </c>
      <c r="E708" s="1">
        <v>22953700</v>
      </c>
      <c r="F708" s="1">
        <v>10976500</v>
      </c>
      <c r="G708" s="1" t="s">
        <v>11</v>
      </c>
      <c r="H708" s="1">
        <v>737618700</v>
      </c>
      <c r="I708" t="s">
        <v>13</v>
      </c>
      <c r="J708" t="s">
        <v>13</v>
      </c>
      <c r="K708">
        <v>1.49</v>
      </c>
    </row>
    <row r="709" spans="1:11" x14ac:dyDescent="0.35">
      <c r="E709" s="1"/>
      <c r="F709" s="1"/>
      <c r="G709" s="1"/>
      <c r="H709" s="1"/>
    </row>
    <row r="710" spans="1:11" x14ac:dyDescent="0.35">
      <c r="A710" t="s">
        <v>187</v>
      </c>
      <c r="B710" t="str">
        <f>"55136"</f>
        <v>55136</v>
      </c>
      <c r="C710" t="str">
        <f>"005"</f>
        <v>005</v>
      </c>
      <c r="D710">
        <v>1995</v>
      </c>
      <c r="E710" s="1">
        <v>13234200</v>
      </c>
      <c r="F710" s="1">
        <v>13091600</v>
      </c>
      <c r="G710" s="1" t="s">
        <v>11</v>
      </c>
      <c r="H710" s="1" t="s">
        <v>38</v>
      </c>
      <c r="I710" t="s">
        <v>13</v>
      </c>
      <c r="J710" t="s">
        <v>13</v>
      </c>
    </row>
    <row r="711" spans="1:11" x14ac:dyDescent="0.35">
      <c r="A711" t="s">
        <v>39</v>
      </c>
      <c r="B711" t="s">
        <v>13</v>
      </c>
      <c r="C711" t="s">
        <v>7</v>
      </c>
      <c r="D711" t="s">
        <v>8</v>
      </c>
      <c r="E711" s="1">
        <v>13234200</v>
      </c>
      <c r="F711" s="1">
        <v>13091600</v>
      </c>
      <c r="G711" s="1" t="s">
        <v>11</v>
      </c>
      <c r="H711" s="1">
        <v>157931600</v>
      </c>
      <c r="I711" t="s">
        <v>13</v>
      </c>
      <c r="J711" t="s">
        <v>13</v>
      </c>
      <c r="K711">
        <v>8.2899999999999991</v>
      </c>
    </row>
    <row r="712" spans="1:11" x14ac:dyDescent="0.35">
      <c r="E712" s="1"/>
      <c r="F712" s="1"/>
      <c r="G712" s="1"/>
      <c r="H712" s="1"/>
    </row>
    <row r="713" spans="1:11" x14ac:dyDescent="0.35">
      <c r="A713" t="s">
        <v>188</v>
      </c>
      <c r="B713" t="str">
        <f>"69136"</f>
        <v>69136</v>
      </c>
      <c r="C713" t="str">
        <f>"001"</f>
        <v>001</v>
      </c>
      <c r="D713">
        <v>2016</v>
      </c>
      <c r="E713" s="1">
        <v>976600</v>
      </c>
      <c r="F713" s="1">
        <v>502700</v>
      </c>
      <c r="G713" s="1" t="s">
        <v>11</v>
      </c>
      <c r="H713" s="1" t="s">
        <v>38</v>
      </c>
      <c r="I713" t="s">
        <v>13</v>
      </c>
      <c r="J713" t="s">
        <v>13</v>
      </c>
    </row>
    <row r="714" spans="1:11" x14ac:dyDescent="0.35">
      <c r="A714" t="s">
        <v>39</v>
      </c>
      <c r="B714" t="s">
        <v>13</v>
      </c>
      <c r="C714" t="s">
        <v>7</v>
      </c>
      <c r="D714" t="s">
        <v>8</v>
      </c>
      <c r="E714" s="1">
        <v>976600</v>
      </c>
      <c r="F714" s="1">
        <v>502700</v>
      </c>
      <c r="G714" s="1" t="s">
        <v>11</v>
      </c>
      <c r="H714" s="1">
        <v>21002500</v>
      </c>
      <c r="I714" t="s">
        <v>13</v>
      </c>
      <c r="J714" t="s">
        <v>13</v>
      </c>
      <c r="K714">
        <v>2.39</v>
      </c>
    </row>
    <row r="715" spans="1:11" x14ac:dyDescent="0.35">
      <c r="E715" s="1"/>
      <c r="F715" s="1"/>
      <c r="G715" s="1"/>
      <c r="H715" s="1"/>
    </row>
    <row r="716" spans="1:11" x14ac:dyDescent="0.35">
      <c r="A716" t="s">
        <v>189</v>
      </c>
      <c r="B716" t="str">
        <f>"08131"</f>
        <v>08131</v>
      </c>
      <c r="C716" t="str">
        <f>"001"</f>
        <v>001</v>
      </c>
      <c r="D716">
        <v>2013</v>
      </c>
      <c r="E716" s="1">
        <v>41771200</v>
      </c>
      <c r="F716" s="1">
        <v>40986100</v>
      </c>
      <c r="G716" s="1" t="s">
        <v>11</v>
      </c>
      <c r="H716" s="1" t="s">
        <v>38</v>
      </c>
      <c r="I716" t="s">
        <v>13</v>
      </c>
      <c r="J716" t="s">
        <v>13</v>
      </c>
    </row>
    <row r="717" spans="1:11" x14ac:dyDescent="0.35">
      <c r="A717" t="s">
        <v>5</v>
      </c>
      <c r="B717" t="str">
        <f>"08131"</f>
        <v>08131</v>
      </c>
      <c r="C717" t="str">
        <f>"002"</f>
        <v>002</v>
      </c>
      <c r="D717">
        <v>2019</v>
      </c>
      <c r="E717" s="1">
        <v>16101100</v>
      </c>
      <c r="F717" s="1">
        <v>11392900</v>
      </c>
      <c r="G717" s="1" t="s">
        <v>11</v>
      </c>
      <c r="H717" s="1" t="s">
        <v>38</v>
      </c>
      <c r="I717" t="s">
        <v>13</v>
      </c>
      <c r="J717" t="s">
        <v>13</v>
      </c>
    </row>
    <row r="718" spans="1:11" x14ac:dyDescent="0.35">
      <c r="A718" t="s">
        <v>5</v>
      </c>
      <c r="B718" t="str">
        <f>"08131"</f>
        <v>08131</v>
      </c>
      <c r="C718" t="str">
        <f>"003"</f>
        <v>003</v>
      </c>
      <c r="D718">
        <v>2020</v>
      </c>
      <c r="E718" s="1">
        <v>1287700</v>
      </c>
      <c r="F718" s="1">
        <v>1094200</v>
      </c>
      <c r="G718" s="1" t="s">
        <v>11</v>
      </c>
      <c r="H718" s="1" t="s">
        <v>38</v>
      </c>
      <c r="I718" t="s">
        <v>13</v>
      </c>
      <c r="J718" t="s">
        <v>13</v>
      </c>
    </row>
    <row r="719" spans="1:11" x14ac:dyDescent="0.35">
      <c r="A719" t="s">
        <v>5</v>
      </c>
      <c r="B719" t="str">
        <f>"08131"</f>
        <v>08131</v>
      </c>
      <c r="C719" t="str">
        <f>"004"</f>
        <v>004</v>
      </c>
      <c r="D719">
        <v>2020</v>
      </c>
      <c r="E719" s="1">
        <v>439300</v>
      </c>
      <c r="F719" s="1">
        <v>-5100</v>
      </c>
      <c r="G719" s="1" t="s">
        <v>48</v>
      </c>
      <c r="H719" s="1" t="s">
        <v>38</v>
      </c>
      <c r="I719" t="s">
        <v>13</v>
      </c>
      <c r="J719" t="s">
        <v>13</v>
      </c>
    </row>
    <row r="720" spans="1:11" x14ac:dyDescent="0.35">
      <c r="A720" t="s">
        <v>39</v>
      </c>
      <c r="B720" t="s">
        <v>13</v>
      </c>
      <c r="C720" t="s">
        <v>7</v>
      </c>
      <c r="D720" t="s">
        <v>8</v>
      </c>
      <c r="E720" s="1">
        <v>59599300</v>
      </c>
      <c r="F720" s="1">
        <v>53473200</v>
      </c>
      <c r="G720" s="1" t="s">
        <v>11</v>
      </c>
      <c r="H720" s="1">
        <v>1351986400</v>
      </c>
      <c r="I720" t="s">
        <v>13</v>
      </c>
      <c r="J720" t="s">
        <v>13</v>
      </c>
      <c r="K720">
        <v>3.96</v>
      </c>
    </row>
    <row r="721" spans="1:11" x14ac:dyDescent="0.35">
      <c r="E721" s="1"/>
      <c r="F721" s="1"/>
      <c r="G721" s="1"/>
      <c r="H721" s="1"/>
    </row>
    <row r="722" spans="1:11" x14ac:dyDescent="0.35">
      <c r="A722" t="s">
        <v>190</v>
      </c>
      <c r="B722" t="str">
        <f>"66236"</f>
        <v>66236</v>
      </c>
      <c r="C722" t="str">
        <f>"006"</f>
        <v>006</v>
      </c>
      <c r="D722">
        <v>2008</v>
      </c>
      <c r="E722" s="1">
        <v>1891300</v>
      </c>
      <c r="F722" s="1">
        <v>791300</v>
      </c>
      <c r="G722" s="1" t="s">
        <v>11</v>
      </c>
      <c r="H722" s="1" t="s">
        <v>38</v>
      </c>
      <c r="I722" t="s">
        <v>13</v>
      </c>
      <c r="J722" t="s">
        <v>13</v>
      </c>
    </row>
    <row r="723" spans="1:11" x14ac:dyDescent="0.35">
      <c r="A723" t="s">
        <v>5</v>
      </c>
      <c r="B723" t="str">
        <f>"14230"</f>
        <v>14230</v>
      </c>
      <c r="C723" t="str">
        <f>"007"</f>
        <v>007</v>
      </c>
      <c r="D723">
        <v>2011</v>
      </c>
      <c r="E723" s="1">
        <v>6662500</v>
      </c>
      <c r="F723" s="1">
        <v>6648700</v>
      </c>
      <c r="G723" s="1" t="s">
        <v>11</v>
      </c>
      <c r="H723" s="1" t="s">
        <v>38</v>
      </c>
      <c r="I723" t="s">
        <v>13</v>
      </c>
      <c r="J723" t="s">
        <v>13</v>
      </c>
    </row>
    <row r="724" spans="1:11" x14ac:dyDescent="0.35">
      <c r="A724" t="s">
        <v>5</v>
      </c>
      <c r="B724" t="str">
        <f>"66236"</f>
        <v>66236</v>
      </c>
      <c r="C724" t="str">
        <f>"007"</f>
        <v>007</v>
      </c>
      <c r="D724">
        <v>2011</v>
      </c>
      <c r="E724" s="1">
        <v>2676800</v>
      </c>
      <c r="F724" s="1">
        <v>2673200</v>
      </c>
      <c r="G724" s="1" t="s">
        <v>11</v>
      </c>
      <c r="H724" s="1" t="s">
        <v>38</v>
      </c>
      <c r="I724" t="s">
        <v>13</v>
      </c>
      <c r="J724" t="s">
        <v>13</v>
      </c>
    </row>
    <row r="725" spans="1:11" x14ac:dyDescent="0.35">
      <c r="A725" t="s">
        <v>5</v>
      </c>
      <c r="B725" t="str">
        <f>"66236"</f>
        <v>66236</v>
      </c>
      <c r="C725" t="str">
        <f>"008"</f>
        <v>008</v>
      </c>
      <c r="D725">
        <v>2013</v>
      </c>
      <c r="E725" s="1">
        <v>12672500</v>
      </c>
      <c r="F725" s="1">
        <v>6625100</v>
      </c>
      <c r="G725" s="1" t="s">
        <v>11</v>
      </c>
      <c r="H725" s="1" t="s">
        <v>38</v>
      </c>
      <c r="I725" t="s">
        <v>13</v>
      </c>
      <c r="J725" t="s">
        <v>13</v>
      </c>
    </row>
    <row r="726" spans="1:11" x14ac:dyDescent="0.35">
      <c r="A726" t="s">
        <v>5</v>
      </c>
      <c r="B726" t="str">
        <f>"14230"</f>
        <v>14230</v>
      </c>
      <c r="C726" t="str">
        <f>"009"</f>
        <v>009</v>
      </c>
      <c r="D726">
        <v>2015</v>
      </c>
      <c r="E726" s="1">
        <v>11380400</v>
      </c>
      <c r="F726" s="1">
        <v>6951500</v>
      </c>
      <c r="G726" s="1" t="s">
        <v>11</v>
      </c>
      <c r="H726" s="1" t="s">
        <v>38</v>
      </c>
      <c r="I726" t="s">
        <v>13</v>
      </c>
      <c r="J726" t="s">
        <v>13</v>
      </c>
    </row>
    <row r="727" spans="1:11" x14ac:dyDescent="0.35">
      <c r="A727" t="s">
        <v>5</v>
      </c>
      <c r="B727" t="str">
        <f>"66236"</f>
        <v>66236</v>
      </c>
      <c r="C727" t="str">
        <f>"010"</f>
        <v>010</v>
      </c>
      <c r="D727">
        <v>2017</v>
      </c>
      <c r="E727" s="1">
        <v>22524700</v>
      </c>
      <c r="F727" s="1">
        <v>17733100</v>
      </c>
      <c r="G727" s="1" t="s">
        <v>11</v>
      </c>
      <c r="H727" s="1" t="s">
        <v>38</v>
      </c>
      <c r="I727" t="s">
        <v>13</v>
      </c>
      <c r="J727" t="s">
        <v>13</v>
      </c>
    </row>
    <row r="728" spans="1:11" x14ac:dyDescent="0.35">
      <c r="A728" t="s">
        <v>5</v>
      </c>
      <c r="B728" t="str">
        <f>"66236"</f>
        <v>66236</v>
      </c>
      <c r="C728" t="str">
        <f>"011"</f>
        <v>011</v>
      </c>
      <c r="D728">
        <v>2017</v>
      </c>
      <c r="E728" s="1">
        <v>18728300</v>
      </c>
      <c r="F728" s="1">
        <v>7139600</v>
      </c>
      <c r="G728" s="1" t="s">
        <v>11</v>
      </c>
      <c r="H728" s="1" t="s">
        <v>38</v>
      </c>
      <c r="I728" t="s">
        <v>13</v>
      </c>
      <c r="J728" t="s">
        <v>13</v>
      </c>
    </row>
    <row r="729" spans="1:11" x14ac:dyDescent="0.35">
      <c r="A729" t="s">
        <v>39</v>
      </c>
      <c r="B729" t="s">
        <v>13</v>
      </c>
      <c r="C729" t="s">
        <v>7</v>
      </c>
      <c r="D729" t="s">
        <v>8</v>
      </c>
      <c r="E729" s="1">
        <v>76536500</v>
      </c>
      <c r="F729" s="1">
        <v>48562500</v>
      </c>
      <c r="G729" s="1" t="s">
        <v>11</v>
      </c>
      <c r="H729" s="1">
        <v>1624356900</v>
      </c>
      <c r="I729" t="s">
        <v>13</v>
      </c>
      <c r="J729" t="s">
        <v>13</v>
      </c>
      <c r="K729">
        <v>2.99</v>
      </c>
    </row>
    <row r="730" spans="1:11" x14ac:dyDescent="0.35">
      <c r="E730" s="1"/>
      <c r="F730" s="1"/>
      <c r="G730" s="1"/>
      <c r="H730" s="1"/>
    </row>
    <row r="731" spans="1:11" x14ac:dyDescent="0.35">
      <c r="A731" t="s">
        <v>191</v>
      </c>
      <c r="B731" t="str">
        <f>"67136"</f>
        <v>67136</v>
      </c>
      <c r="C731" t="str">
        <f>"004"</f>
        <v>004</v>
      </c>
      <c r="D731">
        <v>2008</v>
      </c>
      <c r="E731" s="1">
        <v>2736300</v>
      </c>
      <c r="F731" s="1">
        <v>1718000</v>
      </c>
      <c r="G731" s="1" t="s">
        <v>11</v>
      </c>
      <c r="H731" s="1" t="s">
        <v>38</v>
      </c>
      <c r="I731" t="s">
        <v>13</v>
      </c>
      <c r="J731" t="s">
        <v>13</v>
      </c>
    </row>
    <row r="732" spans="1:11" x14ac:dyDescent="0.35">
      <c r="A732" t="s">
        <v>5</v>
      </c>
      <c r="B732" t="str">
        <f>"67136"</f>
        <v>67136</v>
      </c>
      <c r="C732" t="str">
        <f>"005"</f>
        <v>005</v>
      </c>
      <c r="D732">
        <v>2011</v>
      </c>
      <c r="E732" s="1">
        <v>1621600</v>
      </c>
      <c r="F732" s="1">
        <v>1267800</v>
      </c>
      <c r="G732" s="1" t="s">
        <v>11</v>
      </c>
      <c r="H732" s="1" t="s">
        <v>38</v>
      </c>
      <c r="I732" t="s">
        <v>13</v>
      </c>
      <c r="J732" t="s">
        <v>13</v>
      </c>
    </row>
    <row r="733" spans="1:11" x14ac:dyDescent="0.35">
      <c r="A733" t="s">
        <v>5</v>
      </c>
      <c r="B733" t="str">
        <f>"67136"</f>
        <v>67136</v>
      </c>
      <c r="C733" t="str">
        <f>"006"</f>
        <v>006</v>
      </c>
      <c r="D733">
        <v>2015</v>
      </c>
      <c r="E733" s="1">
        <v>14027300</v>
      </c>
      <c r="F733" s="1">
        <v>12697000</v>
      </c>
      <c r="G733" s="1" t="s">
        <v>11</v>
      </c>
      <c r="H733" s="1" t="s">
        <v>38</v>
      </c>
      <c r="I733" t="s">
        <v>13</v>
      </c>
      <c r="J733" t="s">
        <v>13</v>
      </c>
    </row>
    <row r="734" spans="1:11" x14ac:dyDescent="0.35">
      <c r="A734" t="s">
        <v>39</v>
      </c>
      <c r="B734" t="s">
        <v>13</v>
      </c>
      <c r="C734" t="s">
        <v>7</v>
      </c>
      <c r="D734" t="s">
        <v>8</v>
      </c>
      <c r="E734" s="1">
        <v>18385200</v>
      </c>
      <c r="F734" s="1">
        <v>15682800</v>
      </c>
      <c r="G734" s="1" t="s">
        <v>11</v>
      </c>
      <c r="H734" s="1">
        <v>1535906500</v>
      </c>
      <c r="I734" t="s">
        <v>13</v>
      </c>
      <c r="J734" t="s">
        <v>13</v>
      </c>
      <c r="K734">
        <v>1.02</v>
      </c>
    </row>
    <row r="735" spans="1:11" x14ac:dyDescent="0.35">
      <c r="E735" s="1"/>
      <c r="F735" s="1"/>
      <c r="G735" s="1"/>
      <c r="H735" s="1"/>
    </row>
    <row r="736" spans="1:11" x14ac:dyDescent="0.35">
      <c r="A736" t="s">
        <v>192</v>
      </c>
      <c r="B736" t="str">
        <f>"37136"</f>
        <v>37136</v>
      </c>
      <c r="C736" t="str">
        <f>"001"</f>
        <v>001</v>
      </c>
      <c r="D736">
        <v>2007</v>
      </c>
      <c r="E736" s="1">
        <v>13875400</v>
      </c>
      <c r="F736" s="1">
        <v>10634900</v>
      </c>
      <c r="G736" s="1" t="s">
        <v>11</v>
      </c>
      <c r="H736" s="1" t="s">
        <v>38</v>
      </c>
      <c r="I736" t="s">
        <v>13</v>
      </c>
      <c r="J736" t="s">
        <v>13</v>
      </c>
    </row>
    <row r="737" spans="1:11" x14ac:dyDescent="0.35">
      <c r="A737" t="s">
        <v>39</v>
      </c>
      <c r="B737" t="s">
        <v>13</v>
      </c>
      <c r="C737" t="s">
        <v>7</v>
      </c>
      <c r="D737" t="s">
        <v>8</v>
      </c>
      <c r="E737" s="1">
        <v>13875400</v>
      </c>
      <c r="F737" s="1">
        <v>10634900</v>
      </c>
      <c r="G737" s="1" t="s">
        <v>11</v>
      </c>
      <c r="H737" s="1">
        <v>44658700</v>
      </c>
      <c r="I737" t="s">
        <v>13</v>
      </c>
      <c r="J737" t="s">
        <v>13</v>
      </c>
      <c r="K737">
        <v>23.81</v>
      </c>
    </row>
    <row r="738" spans="1:11" x14ac:dyDescent="0.35">
      <c r="E738" s="1"/>
      <c r="F738" s="1"/>
      <c r="G738" s="1"/>
      <c r="H738" s="1"/>
    </row>
    <row r="739" spans="1:11" x14ac:dyDescent="0.35">
      <c r="A739" t="s">
        <v>193</v>
      </c>
      <c r="B739" t="str">
        <f>"54136"</f>
        <v>54136</v>
      </c>
      <c r="C739" t="str">
        <f>"002"</f>
        <v>002</v>
      </c>
      <c r="D739">
        <v>2005</v>
      </c>
      <c r="E739" s="1">
        <v>0</v>
      </c>
      <c r="F739" s="1">
        <v>-59400</v>
      </c>
      <c r="G739" s="1" t="s">
        <v>48</v>
      </c>
      <c r="H739" s="1" t="s">
        <v>38</v>
      </c>
      <c r="I739" t="s">
        <v>13</v>
      </c>
      <c r="J739" t="s">
        <v>13</v>
      </c>
    </row>
    <row r="740" spans="1:11" x14ac:dyDescent="0.35">
      <c r="A740" t="s">
        <v>5</v>
      </c>
      <c r="B740" t="str">
        <f>"54136"</f>
        <v>54136</v>
      </c>
      <c r="C740" t="str">
        <f>"003"</f>
        <v>003</v>
      </c>
      <c r="D740">
        <v>2010</v>
      </c>
      <c r="E740" s="1">
        <v>555100</v>
      </c>
      <c r="F740" s="1">
        <v>458500</v>
      </c>
      <c r="G740" s="1" t="s">
        <v>11</v>
      </c>
      <c r="H740" s="1" t="s">
        <v>38</v>
      </c>
      <c r="I740" t="s">
        <v>13</v>
      </c>
      <c r="J740" t="s">
        <v>13</v>
      </c>
    </row>
    <row r="741" spans="1:11" x14ac:dyDescent="0.35">
      <c r="A741" t="s">
        <v>39</v>
      </c>
      <c r="B741" t="s">
        <v>13</v>
      </c>
      <c r="C741" t="s">
        <v>7</v>
      </c>
      <c r="D741" t="s">
        <v>8</v>
      </c>
      <c r="E741" s="1">
        <v>555100</v>
      </c>
      <c r="F741" s="1">
        <v>458500</v>
      </c>
      <c r="G741" s="1" t="s">
        <v>11</v>
      </c>
      <c r="H741" s="1">
        <v>14900100</v>
      </c>
      <c r="I741" t="s">
        <v>13</v>
      </c>
      <c r="J741" t="s">
        <v>13</v>
      </c>
      <c r="K741">
        <v>3.08</v>
      </c>
    </row>
    <row r="742" spans="1:11" x14ac:dyDescent="0.35">
      <c r="E742" s="1"/>
      <c r="F742" s="1"/>
      <c r="G742" s="1"/>
      <c r="H742" s="1"/>
    </row>
    <row r="743" spans="1:11" x14ac:dyDescent="0.35">
      <c r="A743" t="s">
        <v>194</v>
      </c>
      <c r="B743" t="str">
        <f>"57236"</f>
        <v>57236</v>
      </c>
      <c r="C743" t="str">
        <f>"005"</f>
        <v>005</v>
      </c>
      <c r="D743">
        <v>2018</v>
      </c>
      <c r="E743" s="1">
        <v>1342400</v>
      </c>
      <c r="F743" s="1">
        <v>649000</v>
      </c>
      <c r="G743" s="1" t="s">
        <v>11</v>
      </c>
      <c r="H743" s="1" t="s">
        <v>38</v>
      </c>
      <c r="I743" t="s">
        <v>13</v>
      </c>
      <c r="J743" t="s">
        <v>13</v>
      </c>
    </row>
    <row r="744" spans="1:11" x14ac:dyDescent="0.35">
      <c r="A744" t="s">
        <v>5</v>
      </c>
      <c r="B744" t="str">
        <f>"57236"</f>
        <v>57236</v>
      </c>
      <c r="C744" t="str">
        <f>"006"</f>
        <v>006</v>
      </c>
      <c r="D744">
        <v>2020</v>
      </c>
      <c r="E744" s="1">
        <v>6167900</v>
      </c>
      <c r="F744" s="1">
        <v>3180600</v>
      </c>
      <c r="G744" s="1" t="s">
        <v>11</v>
      </c>
      <c r="H744" s="1" t="s">
        <v>38</v>
      </c>
      <c r="I744" t="s">
        <v>13</v>
      </c>
      <c r="J744" t="s">
        <v>13</v>
      </c>
    </row>
    <row r="745" spans="1:11" x14ac:dyDescent="0.35">
      <c r="A745" t="s">
        <v>39</v>
      </c>
      <c r="B745" t="s">
        <v>13</v>
      </c>
      <c r="C745" t="s">
        <v>7</v>
      </c>
      <c r="D745" t="s">
        <v>8</v>
      </c>
      <c r="E745" s="1">
        <v>7510300</v>
      </c>
      <c r="F745" s="1">
        <v>3829600</v>
      </c>
      <c r="G745" s="1" t="s">
        <v>11</v>
      </c>
      <c r="H745" s="1">
        <v>236426000</v>
      </c>
      <c r="I745" t="s">
        <v>13</v>
      </c>
      <c r="J745" t="s">
        <v>13</v>
      </c>
      <c r="K745">
        <v>1.62</v>
      </c>
    </row>
    <row r="746" spans="1:11" x14ac:dyDescent="0.35">
      <c r="E746" s="1"/>
      <c r="F746" s="1"/>
      <c r="G746" s="1"/>
      <c r="H746" s="1"/>
    </row>
    <row r="747" spans="1:11" x14ac:dyDescent="0.35">
      <c r="A747" t="s">
        <v>195</v>
      </c>
      <c r="B747" t="str">
        <f>"25136"</f>
        <v>25136</v>
      </c>
      <c r="C747" t="str">
        <f>"002"</f>
        <v>002</v>
      </c>
      <c r="D747">
        <v>1999</v>
      </c>
      <c r="E747" s="1">
        <v>6112100</v>
      </c>
      <c r="F747" s="1">
        <v>5138500</v>
      </c>
      <c r="G747" s="1" t="s">
        <v>11</v>
      </c>
      <c r="H747" s="1" t="s">
        <v>38</v>
      </c>
      <c r="I747" t="s">
        <v>13</v>
      </c>
      <c r="J747" t="s">
        <v>13</v>
      </c>
    </row>
    <row r="748" spans="1:11" x14ac:dyDescent="0.35">
      <c r="A748" t="s">
        <v>39</v>
      </c>
      <c r="B748" t="s">
        <v>13</v>
      </c>
      <c r="C748" t="s">
        <v>7</v>
      </c>
      <c r="D748" t="s">
        <v>8</v>
      </c>
      <c r="E748" s="1">
        <v>6112100</v>
      </c>
      <c r="F748" s="1">
        <v>5138500</v>
      </c>
      <c r="G748" s="1" t="s">
        <v>11</v>
      </c>
      <c r="H748" s="1">
        <v>50282200</v>
      </c>
      <c r="I748" t="s">
        <v>13</v>
      </c>
      <c r="J748" t="s">
        <v>13</v>
      </c>
      <c r="K748">
        <v>10.220000000000001</v>
      </c>
    </row>
    <row r="749" spans="1:11" x14ac:dyDescent="0.35">
      <c r="E749" s="1"/>
      <c r="F749" s="1"/>
      <c r="G749" s="1"/>
      <c r="H749" s="1"/>
    </row>
    <row r="750" spans="1:11" x14ac:dyDescent="0.35">
      <c r="A750" t="s">
        <v>196</v>
      </c>
      <c r="B750" t="str">
        <f>"08136"</f>
        <v>08136</v>
      </c>
      <c r="C750" t="str">
        <f>"002"</f>
        <v>002</v>
      </c>
      <c r="D750">
        <v>2007</v>
      </c>
      <c r="E750" s="1">
        <v>21267100</v>
      </c>
      <c r="F750" s="1">
        <v>18895400</v>
      </c>
      <c r="G750" s="1" t="s">
        <v>11</v>
      </c>
      <c r="H750" s="1" t="s">
        <v>38</v>
      </c>
      <c r="I750" t="s">
        <v>13</v>
      </c>
      <c r="J750" t="s">
        <v>13</v>
      </c>
    </row>
    <row r="751" spans="1:11" x14ac:dyDescent="0.35">
      <c r="A751" t="s">
        <v>39</v>
      </c>
      <c r="B751" t="s">
        <v>13</v>
      </c>
      <c r="C751" t="s">
        <v>7</v>
      </c>
      <c r="D751" t="s">
        <v>8</v>
      </c>
      <c r="E751" s="1">
        <v>21267100</v>
      </c>
      <c r="F751" s="1">
        <v>18895400</v>
      </c>
      <c r="G751" s="1" t="s">
        <v>11</v>
      </c>
      <c r="H751" s="1">
        <v>90181700</v>
      </c>
      <c r="I751" t="s">
        <v>13</v>
      </c>
      <c r="J751" t="s">
        <v>13</v>
      </c>
      <c r="K751">
        <v>20.95</v>
      </c>
    </row>
    <row r="752" spans="1:11" x14ac:dyDescent="0.35">
      <c r="E752" s="1"/>
      <c r="F752" s="1"/>
      <c r="G752" s="1"/>
      <c r="H752" s="1"/>
    </row>
    <row r="753" spans="1:11" x14ac:dyDescent="0.35">
      <c r="A753" t="s">
        <v>197</v>
      </c>
      <c r="B753" t="str">
        <f>"62236"</f>
        <v>62236</v>
      </c>
      <c r="C753" t="str">
        <f>"002"</f>
        <v>002</v>
      </c>
      <c r="D753">
        <v>1993</v>
      </c>
      <c r="E753" s="1">
        <v>16215400</v>
      </c>
      <c r="F753" s="1">
        <v>15731800</v>
      </c>
      <c r="G753" s="1" t="s">
        <v>11</v>
      </c>
      <c r="H753" s="1" t="s">
        <v>38</v>
      </c>
      <c r="I753" t="s">
        <v>13</v>
      </c>
      <c r="J753" t="s">
        <v>13</v>
      </c>
    </row>
    <row r="754" spans="1:11" x14ac:dyDescent="0.35">
      <c r="A754" t="s">
        <v>5</v>
      </c>
      <c r="B754" t="str">
        <f>"62236"</f>
        <v>62236</v>
      </c>
      <c r="C754" t="str">
        <f>"004"</f>
        <v>004</v>
      </c>
      <c r="D754">
        <v>1998</v>
      </c>
      <c r="E754" s="1">
        <v>15624200</v>
      </c>
      <c r="F754" s="1">
        <v>12908400</v>
      </c>
      <c r="G754" s="1" t="s">
        <v>11</v>
      </c>
      <c r="H754" s="1" t="s">
        <v>38</v>
      </c>
      <c r="I754" t="s">
        <v>13</v>
      </c>
      <c r="J754" t="s">
        <v>13</v>
      </c>
    </row>
    <row r="755" spans="1:11" x14ac:dyDescent="0.35">
      <c r="A755" t="s">
        <v>39</v>
      </c>
      <c r="B755" t="s">
        <v>13</v>
      </c>
      <c r="C755" t="s">
        <v>7</v>
      </c>
      <c r="D755" t="s">
        <v>8</v>
      </c>
      <c r="E755" s="1">
        <v>31839600</v>
      </c>
      <c r="F755" s="1">
        <v>28640200</v>
      </c>
      <c r="G755" s="1" t="s">
        <v>11</v>
      </c>
      <c r="H755" s="1">
        <v>83941900</v>
      </c>
      <c r="I755" t="s">
        <v>13</v>
      </c>
      <c r="J755" t="s">
        <v>13</v>
      </c>
      <c r="K755">
        <v>34.119999999999997</v>
      </c>
    </row>
    <row r="756" spans="1:11" x14ac:dyDescent="0.35">
      <c r="E756" s="1"/>
      <c r="F756" s="1"/>
      <c r="G756" s="1"/>
      <c r="H756" s="1"/>
    </row>
    <row r="757" spans="1:11" x14ac:dyDescent="0.35">
      <c r="A757" t="s">
        <v>198</v>
      </c>
      <c r="B757" t="str">
        <f>"27136"</f>
        <v>27136</v>
      </c>
      <c r="C757" t="str">
        <f>"001"</f>
        <v>001</v>
      </c>
      <c r="D757">
        <v>2007</v>
      </c>
      <c r="E757" s="1">
        <v>10867400</v>
      </c>
      <c r="F757" s="1">
        <v>9310400</v>
      </c>
      <c r="G757" s="1" t="s">
        <v>11</v>
      </c>
      <c r="H757" s="1" t="s">
        <v>38</v>
      </c>
      <c r="I757" t="s">
        <v>13</v>
      </c>
      <c r="J757" t="s">
        <v>13</v>
      </c>
    </row>
    <row r="758" spans="1:11" x14ac:dyDescent="0.35">
      <c r="A758" t="s">
        <v>39</v>
      </c>
      <c r="B758" t="s">
        <v>13</v>
      </c>
      <c r="C758" t="s">
        <v>7</v>
      </c>
      <c r="D758" t="s">
        <v>8</v>
      </c>
      <c r="E758" s="1">
        <v>10867400</v>
      </c>
      <c r="F758" s="1">
        <v>9310400</v>
      </c>
      <c r="G758" s="1" t="s">
        <v>11</v>
      </c>
      <c r="H758" s="1">
        <v>32346700</v>
      </c>
      <c r="I758" t="s">
        <v>13</v>
      </c>
      <c r="J758" t="s">
        <v>13</v>
      </c>
      <c r="K758">
        <v>28.78</v>
      </c>
    </row>
    <row r="759" spans="1:11" x14ac:dyDescent="0.35">
      <c r="E759" s="1"/>
      <c r="F759" s="1"/>
      <c r="G759" s="1"/>
      <c r="H759" s="1"/>
    </row>
    <row r="760" spans="1:11" x14ac:dyDescent="0.35">
      <c r="A760" t="s">
        <v>199</v>
      </c>
      <c r="B760" t="str">
        <f>"05126"</f>
        <v>05126</v>
      </c>
      <c r="C760" t="str">
        <f>"001"</f>
        <v>001</v>
      </c>
      <c r="D760">
        <v>2009</v>
      </c>
      <c r="E760" s="1">
        <v>231245400</v>
      </c>
      <c r="F760" s="1">
        <v>210253500</v>
      </c>
      <c r="G760" s="1" t="s">
        <v>11</v>
      </c>
      <c r="H760" s="1" t="s">
        <v>38</v>
      </c>
      <c r="I760" t="s">
        <v>13</v>
      </c>
      <c r="J760" t="s">
        <v>13</v>
      </c>
    </row>
    <row r="761" spans="1:11" x14ac:dyDescent="0.35">
      <c r="A761" t="s">
        <v>5</v>
      </c>
      <c r="B761" t="str">
        <f>"05126"</f>
        <v>05126</v>
      </c>
      <c r="C761" t="str">
        <f>"002"</f>
        <v>002</v>
      </c>
      <c r="D761">
        <v>2011</v>
      </c>
      <c r="E761" s="1">
        <v>97108400</v>
      </c>
      <c r="F761" s="1">
        <v>93822900</v>
      </c>
      <c r="G761" s="1" t="s">
        <v>11</v>
      </c>
      <c r="H761" s="1" t="s">
        <v>38</v>
      </c>
      <c r="I761" t="s">
        <v>13</v>
      </c>
      <c r="J761" t="s">
        <v>13</v>
      </c>
    </row>
    <row r="762" spans="1:11" x14ac:dyDescent="0.35">
      <c r="A762" t="s">
        <v>39</v>
      </c>
      <c r="B762" t="s">
        <v>13</v>
      </c>
      <c r="C762" t="s">
        <v>7</v>
      </c>
      <c r="D762" t="s">
        <v>8</v>
      </c>
      <c r="E762" s="1">
        <v>328353800</v>
      </c>
      <c r="F762" s="1">
        <v>304076400</v>
      </c>
      <c r="G762" s="1" t="s">
        <v>11</v>
      </c>
      <c r="H762" s="1">
        <v>1137391600</v>
      </c>
      <c r="I762" t="s">
        <v>13</v>
      </c>
      <c r="J762" t="s">
        <v>13</v>
      </c>
      <c r="K762">
        <v>26.73</v>
      </c>
    </row>
    <row r="763" spans="1:11" x14ac:dyDescent="0.35">
      <c r="E763" s="1"/>
      <c r="F763" s="1"/>
      <c r="G763" s="1"/>
      <c r="H763" s="1"/>
    </row>
    <row r="764" spans="1:11" x14ac:dyDescent="0.35">
      <c r="A764" t="s">
        <v>200</v>
      </c>
      <c r="B764" t="str">
        <f>"32136"</f>
        <v>32136</v>
      </c>
      <c r="C764" t="str">
        <f>"002"</f>
        <v>002</v>
      </c>
      <c r="D764">
        <v>2009</v>
      </c>
      <c r="E764" s="1">
        <v>57695300</v>
      </c>
      <c r="F764" s="1">
        <v>55048300</v>
      </c>
      <c r="G764" s="1" t="s">
        <v>11</v>
      </c>
      <c r="H764" s="1" t="s">
        <v>38</v>
      </c>
      <c r="I764" t="s">
        <v>13</v>
      </c>
      <c r="J764" t="s">
        <v>13</v>
      </c>
    </row>
    <row r="765" spans="1:11" x14ac:dyDescent="0.35">
      <c r="A765" t="s">
        <v>5</v>
      </c>
      <c r="B765" t="str">
        <f>"32136"</f>
        <v>32136</v>
      </c>
      <c r="C765" t="str">
        <f>"003"</f>
        <v>003</v>
      </c>
      <c r="D765">
        <v>2015</v>
      </c>
      <c r="E765" s="1">
        <v>97114400</v>
      </c>
      <c r="F765" s="1">
        <v>59752100</v>
      </c>
      <c r="G765" s="1" t="s">
        <v>11</v>
      </c>
      <c r="H765" s="1" t="s">
        <v>38</v>
      </c>
      <c r="I765" t="s">
        <v>13</v>
      </c>
      <c r="J765" t="s">
        <v>13</v>
      </c>
    </row>
    <row r="766" spans="1:11" x14ac:dyDescent="0.35">
      <c r="A766" t="s">
        <v>39</v>
      </c>
      <c r="B766" t="s">
        <v>13</v>
      </c>
      <c r="C766" t="s">
        <v>7</v>
      </c>
      <c r="D766" t="s">
        <v>8</v>
      </c>
      <c r="E766" s="1">
        <v>154809700</v>
      </c>
      <c r="F766" s="1">
        <v>114800400</v>
      </c>
      <c r="G766" s="1" t="s">
        <v>11</v>
      </c>
      <c r="H766" s="1">
        <v>959151200</v>
      </c>
      <c r="I766" t="s">
        <v>13</v>
      </c>
      <c r="J766" t="s">
        <v>13</v>
      </c>
      <c r="K766">
        <v>11.97</v>
      </c>
    </row>
    <row r="767" spans="1:11" x14ac:dyDescent="0.35">
      <c r="E767" s="1"/>
      <c r="F767" s="1"/>
      <c r="G767" s="1"/>
      <c r="H767" s="1"/>
    </row>
    <row r="768" spans="1:11" x14ac:dyDescent="0.35">
      <c r="A768" t="s">
        <v>201</v>
      </c>
      <c r="B768" t="str">
        <f>"14236"</f>
        <v>14236</v>
      </c>
      <c r="C768" t="str">
        <f>"004"</f>
        <v>004</v>
      </c>
      <c r="D768">
        <v>2007</v>
      </c>
      <c r="E768" s="1">
        <v>17161500</v>
      </c>
      <c r="F768" s="1">
        <v>12361900</v>
      </c>
      <c r="G768" s="1" t="s">
        <v>11</v>
      </c>
      <c r="H768" s="1" t="s">
        <v>38</v>
      </c>
      <c r="I768" t="s">
        <v>13</v>
      </c>
      <c r="J768" t="s">
        <v>13</v>
      </c>
    </row>
    <row r="769" spans="1:11" x14ac:dyDescent="0.35">
      <c r="A769" t="s">
        <v>5</v>
      </c>
      <c r="B769" t="str">
        <f>"14236"</f>
        <v>14236</v>
      </c>
      <c r="C769" t="str">
        <f>"005"</f>
        <v>005</v>
      </c>
      <c r="D769">
        <v>2015</v>
      </c>
      <c r="E769" s="1">
        <v>31416100</v>
      </c>
      <c r="F769" s="1">
        <v>27013500</v>
      </c>
      <c r="G769" s="1" t="s">
        <v>11</v>
      </c>
      <c r="H769" s="1" t="s">
        <v>38</v>
      </c>
      <c r="I769" t="s">
        <v>13</v>
      </c>
      <c r="J769" t="s">
        <v>13</v>
      </c>
    </row>
    <row r="770" spans="1:11" x14ac:dyDescent="0.35">
      <c r="A770" t="s">
        <v>5</v>
      </c>
      <c r="B770" t="str">
        <f>"14236"</f>
        <v>14236</v>
      </c>
      <c r="C770" t="str">
        <f>"006"</f>
        <v>006</v>
      </c>
      <c r="D770">
        <v>2017</v>
      </c>
      <c r="E770" s="1">
        <v>15427700</v>
      </c>
      <c r="F770" s="1">
        <v>1999900</v>
      </c>
      <c r="G770" s="1" t="s">
        <v>11</v>
      </c>
      <c r="H770" s="1" t="s">
        <v>38</v>
      </c>
      <c r="I770" t="s">
        <v>13</v>
      </c>
      <c r="J770" t="s">
        <v>13</v>
      </c>
    </row>
    <row r="771" spans="1:11" x14ac:dyDescent="0.35">
      <c r="A771" t="s">
        <v>39</v>
      </c>
      <c r="B771" t="s">
        <v>13</v>
      </c>
      <c r="C771" t="s">
        <v>7</v>
      </c>
      <c r="D771" t="s">
        <v>8</v>
      </c>
      <c r="E771" s="1">
        <v>64005300</v>
      </c>
      <c r="F771" s="1">
        <v>41375300</v>
      </c>
      <c r="G771" s="1" t="s">
        <v>11</v>
      </c>
      <c r="H771" s="1">
        <v>295416000</v>
      </c>
      <c r="I771" t="s">
        <v>13</v>
      </c>
      <c r="J771" t="s">
        <v>13</v>
      </c>
      <c r="K771">
        <v>14.01</v>
      </c>
    </row>
    <row r="772" spans="1:11" x14ac:dyDescent="0.35">
      <c r="E772" s="1"/>
      <c r="F772" s="1"/>
      <c r="G772" s="1"/>
      <c r="H772" s="1"/>
    </row>
    <row r="773" spans="1:11" x14ac:dyDescent="0.35">
      <c r="A773" t="s">
        <v>202</v>
      </c>
      <c r="B773" t="str">
        <f>"44136"</f>
        <v>44136</v>
      </c>
      <c r="C773" t="str">
        <f>"003"</f>
        <v>003</v>
      </c>
      <c r="D773">
        <v>2013</v>
      </c>
      <c r="E773" s="1">
        <v>6996300</v>
      </c>
      <c r="F773" s="1">
        <v>6508600</v>
      </c>
      <c r="G773" s="1" t="s">
        <v>11</v>
      </c>
      <c r="H773" s="1" t="s">
        <v>38</v>
      </c>
      <c r="I773" t="s">
        <v>13</v>
      </c>
      <c r="J773" t="s">
        <v>13</v>
      </c>
    </row>
    <row r="774" spans="1:11" x14ac:dyDescent="0.35">
      <c r="A774" t="s">
        <v>5</v>
      </c>
      <c r="B774" t="str">
        <f>"44136"</f>
        <v>44136</v>
      </c>
      <c r="C774" t="str">
        <f>"004"</f>
        <v>004</v>
      </c>
      <c r="D774">
        <v>2017</v>
      </c>
      <c r="E774" s="1">
        <v>4118100</v>
      </c>
      <c r="F774" s="1">
        <v>3607800</v>
      </c>
      <c r="G774" s="1" t="s">
        <v>11</v>
      </c>
      <c r="H774" s="1" t="s">
        <v>38</v>
      </c>
      <c r="I774" t="s">
        <v>13</v>
      </c>
      <c r="J774" t="s">
        <v>13</v>
      </c>
    </row>
    <row r="775" spans="1:11" x14ac:dyDescent="0.35">
      <c r="A775" t="s">
        <v>5</v>
      </c>
      <c r="B775" t="str">
        <f>"44136"</f>
        <v>44136</v>
      </c>
      <c r="C775" t="str">
        <f>"005"</f>
        <v>005</v>
      </c>
      <c r="D775">
        <v>2017</v>
      </c>
      <c r="E775" s="1">
        <v>550000</v>
      </c>
      <c r="F775" s="1">
        <v>27300</v>
      </c>
      <c r="G775" s="1" t="s">
        <v>11</v>
      </c>
      <c r="H775" s="1" t="s">
        <v>38</v>
      </c>
      <c r="I775" t="s">
        <v>13</v>
      </c>
      <c r="J775" t="s">
        <v>13</v>
      </c>
    </row>
    <row r="776" spans="1:11" x14ac:dyDescent="0.35">
      <c r="A776" t="s">
        <v>39</v>
      </c>
      <c r="B776" t="s">
        <v>13</v>
      </c>
      <c r="C776" t="s">
        <v>7</v>
      </c>
      <c r="D776" t="s">
        <v>8</v>
      </c>
      <c r="E776" s="1">
        <v>11664400</v>
      </c>
      <c r="F776" s="1">
        <v>10143700</v>
      </c>
      <c r="G776" s="1" t="s">
        <v>11</v>
      </c>
      <c r="H776" s="1">
        <v>245970800</v>
      </c>
      <c r="I776" t="s">
        <v>13</v>
      </c>
      <c r="J776" t="s">
        <v>13</v>
      </c>
      <c r="K776">
        <v>4.12</v>
      </c>
    </row>
    <row r="777" spans="1:11" x14ac:dyDescent="0.35">
      <c r="E777" s="1"/>
      <c r="F777" s="1"/>
      <c r="G777" s="1"/>
      <c r="H777" s="1"/>
    </row>
    <row r="778" spans="1:11" x14ac:dyDescent="0.35">
      <c r="A778" t="s">
        <v>203</v>
      </c>
      <c r="B778" t="str">
        <f t="shared" ref="B778:B784" si="12">"05136"</f>
        <v>05136</v>
      </c>
      <c r="C778" t="str">
        <f>"003"</f>
        <v>003</v>
      </c>
      <c r="D778">
        <v>2006</v>
      </c>
      <c r="E778" s="1">
        <v>49858000</v>
      </c>
      <c r="F778" s="1">
        <v>33555200</v>
      </c>
      <c r="G778" s="1" t="s">
        <v>11</v>
      </c>
      <c r="H778" s="1" t="s">
        <v>38</v>
      </c>
      <c r="I778" t="s">
        <v>13</v>
      </c>
      <c r="J778" t="s">
        <v>13</v>
      </c>
    </row>
    <row r="779" spans="1:11" x14ac:dyDescent="0.35">
      <c r="A779" t="s">
        <v>5</v>
      </c>
      <c r="B779" t="str">
        <f t="shared" si="12"/>
        <v>05136</v>
      </c>
      <c r="C779" t="str">
        <f>"004"</f>
        <v>004</v>
      </c>
      <c r="D779">
        <v>2007</v>
      </c>
      <c r="E779" s="1">
        <v>119442000</v>
      </c>
      <c r="F779" s="1">
        <v>51286300</v>
      </c>
      <c r="G779" s="1" t="s">
        <v>11</v>
      </c>
      <c r="H779" s="1" t="s">
        <v>38</v>
      </c>
      <c r="I779" t="s">
        <v>13</v>
      </c>
      <c r="J779" t="s">
        <v>13</v>
      </c>
    </row>
    <row r="780" spans="1:11" x14ac:dyDescent="0.35">
      <c r="A780" t="s">
        <v>5</v>
      </c>
      <c r="B780" t="str">
        <f t="shared" si="12"/>
        <v>05136</v>
      </c>
      <c r="C780" t="str">
        <f>"005"</f>
        <v>005</v>
      </c>
      <c r="D780">
        <v>2008</v>
      </c>
      <c r="E780" s="1">
        <v>15022600</v>
      </c>
      <c r="F780" s="1">
        <v>5150200</v>
      </c>
      <c r="G780" s="1" t="s">
        <v>11</v>
      </c>
      <c r="H780" s="1" t="s">
        <v>38</v>
      </c>
      <c r="I780" t="s">
        <v>13</v>
      </c>
      <c r="J780" t="s">
        <v>13</v>
      </c>
    </row>
    <row r="781" spans="1:11" x14ac:dyDescent="0.35">
      <c r="A781" t="s">
        <v>5</v>
      </c>
      <c r="B781" t="str">
        <f t="shared" si="12"/>
        <v>05136</v>
      </c>
      <c r="C781" t="str">
        <f>"006"</f>
        <v>006</v>
      </c>
      <c r="D781">
        <v>2008</v>
      </c>
      <c r="E781" s="1">
        <v>39996500</v>
      </c>
      <c r="F781" s="1">
        <v>32066400</v>
      </c>
      <c r="G781" s="1" t="s">
        <v>11</v>
      </c>
      <c r="H781" s="1" t="s">
        <v>38</v>
      </c>
      <c r="I781" t="s">
        <v>13</v>
      </c>
      <c r="J781" t="s">
        <v>13</v>
      </c>
    </row>
    <row r="782" spans="1:11" x14ac:dyDescent="0.35">
      <c r="A782" t="s">
        <v>5</v>
      </c>
      <c r="B782" t="str">
        <f t="shared" si="12"/>
        <v>05136</v>
      </c>
      <c r="C782" t="str">
        <f>"007"</f>
        <v>007</v>
      </c>
      <c r="D782">
        <v>2012</v>
      </c>
      <c r="E782" s="1">
        <v>23051800</v>
      </c>
      <c r="F782" s="1">
        <v>4806100</v>
      </c>
      <c r="G782" s="1" t="s">
        <v>11</v>
      </c>
      <c r="H782" s="1" t="s">
        <v>38</v>
      </c>
      <c r="I782" t="s">
        <v>13</v>
      </c>
      <c r="J782" t="s">
        <v>13</v>
      </c>
    </row>
    <row r="783" spans="1:11" x14ac:dyDescent="0.35">
      <c r="A783" t="s">
        <v>5</v>
      </c>
      <c r="B783" t="str">
        <f t="shared" si="12"/>
        <v>05136</v>
      </c>
      <c r="C783" t="str">
        <f>"008"</f>
        <v>008</v>
      </c>
      <c r="D783">
        <v>2015</v>
      </c>
      <c r="E783" s="1">
        <v>46705000</v>
      </c>
      <c r="F783" s="1">
        <v>38326900</v>
      </c>
      <c r="G783" s="1" t="s">
        <v>11</v>
      </c>
      <c r="H783" s="1" t="s">
        <v>38</v>
      </c>
      <c r="I783" t="s">
        <v>13</v>
      </c>
      <c r="J783" t="s">
        <v>13</v>
      </c>
    </row>
    <row r="784" spans="1:11" x14ac:dyDescent="0.35">
      <c r="A784" t="s">
        <v>5</v>
      </c>
      <c r="B784" t="str">
        <f t="shared" si="12"/>
        <v>05136</v>
      </c>
      <c r="C784" t="str">
        <f>"009"</f>
        <v>009</v>
      </c>
      <c r="D784">
        <v>2019</v>
      </c>
      <c r="E784" s="1">
        <v>6030900</v>
      </c>
      <c r="F784" s="1">
        <v>-606900</v>
      </c>
      <c r="G784" s="1" t="s">
        <v>48</v>
      </c>
      <c r="H784" s="1" t="s">
        <v>38</v>
      </c>
      <c r="I784" t="s">
        <v>13</v>
      </c>
      <c r="J784" t="s">
        <v>13</v>
      </c>
    </row>
    <row r="785" spans="1:11" x14ac:dyDescent="0.35">
      <c r="A785" t="s">
        <v>39</v>
      </c>
      <c r="B785" t="s">
        <v>13</v>
      </c>
      <c r="C785" t="s">
        <v>7</v>
      </c>
      <c r="D785" t="s">
        <v>8</v>
      </c>
      <c r="E785" s="1">
        <v>300106800</v>
      </c>
      <c r="F785" s="1">
        <v>165191100</v>
      </c>
      <c r="G785" s="1" t="s">
        <v>11</v>
      </c>
      <c r="H785" s="1">
        <v>2229285600</v>
      </c>
      <c r="I785" t="s">
        <v>13</v>
      </c>
      <c r="J785" t="s">
        <v>13</v>
      </c>
      <c r="K785">
        <v>7.41</v>
      </c>
    </row>
    <row r="786" spans="1:11" x14ac:dyDescent="0.35">
      <c r="E786" s="1"/>
      <c r="F786" s="1"/>
      <c r="G786" s="1"/>
      <c r="H786" s="1"/>
    </row>
    <row r="787" spans="1:11" x14ac:dyDescent="0.35">
      <c r="A787" t="s">
        <v>204</v>
      </c>
      <c r="B787" t="str">
        <f>"59135"</f>
        <v>59135</v>
      </c>
      <c r="C787" t="str">
        <f>"001"</f>
        <v>001</v>
      </c>
      <c r="D787">
        <v>2005</v>
      </c>
      <c r="E787" s="1">
        <v>2895500</v>
      </c>
      <c r="F787" s="1">
        <v>1101900</v>
      </c>
      <c r="G787" s="1" t="s">
        <v>11</v>
      </c>
      <c r="H787" s="1" t="s">
        <v>38</v>
      </c>
      <c r="I787" t="s">
        <v>13</v>
      </c>
      <c r="J787" t="s">
        <v>13</v>
      </c>
    </row>
    <row r="788" spans="1:11" x14ac:dyDescent="0.35">
      <c r="A788" t="s">
        <v>5</v>
      </c>
      <c r="B788" t="str">
        <f>"59135"</f>
        <v>59135</v>
      </c>
      <c r="C788" t="str">
        <f>"002"</f>
        <v>002</v>
      </c>
      <c r="D788">
        <v>2011</v>
      </c>
      <c r="E788" s="1">
        <v>4049000</v>
      </c>
      <c r="F788" s="1">
        <v>3976100</v>
      </c>
      <c r="G788" s="1" t="s">
        <v>11</v>
      </c>
      <c r="H788" s="1" t="s">
        <v>38</v>
      </c>
      <c r="I788" t="s">
        <v>13</v>
      </c>
      <c r="J788" t="s">
        <v>13</v>
      </c>
    </row>
    <row r="789" spans="1:11" x14ac:dyDescent="0.35">
      <c r="A789" t="s">
        <v>39</v>
      </c>
      <c r="B789" t="s">
        <v>13</v>
      </c>
      <c r="C789" t="s">
        <v>7</v>
      </c>
      <c r="D789" t="s">
        <v>8</v>
      </c>
      <c r="E789" s="1">
        <v>6944500</v>
      </c>
      <c r="F789" s="1">
        <v>5078000</v>
      </c>
      <c r="G789" s="1" t="s">
        <v>11</v>
      </c>
      <c r="H789" s="1">
        <v>302421300</v>
      </c>
      <c r="I789" t="s">
        <v>13</v>
      </c>
      <c r="J789" t="s">
        <v>13</v>
      </c>
      <c r="K789">
        <v>1.68</v>
      </c>
    </row>
    <row r="790" spans="1:11" x14ac:dyDescent="0.35">
      <c r="E790" s="1"/>
      <c r="F790" s="1"/>
      <c r="G790" s="1"/>
      <c r="H790" s="1"/>
    </row>
    <row r="791" spans="1:11" x14ac:dyDescent="0.35">
      <c r="A791" t="s">
        <v>205</v>
      </c>
      <c r="B791" t="str">
        <f>"55236"</f>
        <v>55236</v>
      </c>
      <c r="C791" t="str">
        <f>"005"</f>
        <v>005</v>
      </c>
      <c r="D791">
        <v>2017</v>
      </c>
      <c r="E791" s="1">
        <v>64510300</v>
      </c>
      <c r="F791" s="1">
        <v>58187900</v>
      </c>
      <c r="G791" s="1" t="s">
        <v>11</v>
      </c>
      <c r="H791" s="1" t="s">
        <v>38</v>
      </c>
      <c r="I791" t="s">
        <v>13</v>
      </c>
      <c r="J791" t="s">
        <v>13</v>
      </c>
    </row>
    <row r="792" spans="1:11" x14ac:dyDescent="0.35">
      <c r="A792" t="s">
        <v>5</v>
      </c>
      <c r="B792" t="str">
        <f>"55236"</f>
        <v>55236</v>
      </c>
      <c r="C792" t="str">
        <f>"006"</f>
        <v>006</v>
      </c>
      <c r="D792">
        <v>2018</v>
      </c>
      <c r="E792" s="1">
        <v>122974700</v>
      </c>
      <c r="F792" s="1">
        <v>25099500</v>
      </c>
      <c r="G792" s="1" t="s">
        <v>11</v>
      </c>
      <c r="H792" s="1" t="s">
        <v>38</v>
      </c>
      <c r="I792" t="s">
        <v>13</v>
      </c>
      <c r="J792" t="s">
        <v>13</v>
      </c>
    </row>
    <row r="793" spans="1:11" x14ac:dyDescent="0.35">
      <c r="A793" t="s">
        <v>39</v>
      </c>
      <c r="B793" t="s">
        <v>13</v>
      </c>
      <c r="C793" t="s">
        <v>7</v>
      </c>
      <c r="D793" t="s">
        <v>8</v>
      </c>
      <c r="E793" s="1">
        <v>187485000</v>
      </c>
      <c r="F793" s="1">
        <v>83287400</v>
      </c>
      <c r="G793" s="1" t="s">
        <v>11</v>
      </c>
      <c r="H793" s="1">
        <v>2390608700</v>
      </c>
      <c r="I793" t="s">
        <v>13</v>
      </c>
      <c r="J793" t="s">
        <v>13</v>
      </c>
      <c r="K793">
        <v>3.48</v>
      </c>
    </row>
    <row r="794" spans="1:11" x14ac:dyDescent="0.35">
      <c r="E794" s="1"/>
      <c r="F794" s="1"/>
      <c r="G794" s="1"/>
      <c r="H794" s="1"/>
    </row>
    <row r="795" spans="1:11" x14ac:dyDescent="0.35">
      <c r="A795" t="s">
        <v>206</v>
      </c>
      <c r="B795" t="str">
        <f>"14136"</f>
        <v>14136</v>
      </c>
      <c r="C795" t="str">
        <f>"001"</f>
        <v>001</v>
      </c>
      <c r="D795">
        <v>2017</v>
      </c>
      <c r="E795" s="1">
        <v>7305600</v>
      </c>
      <c r="F795" s="1">
        <v>1893000</v>
      </c>
      <c r="G795" s="1" t="s">
        <v>11</v>
      </c>
      <c r="H795" s="1" t="s">
        <v>38</v>
      </c>
      <c r="I795" t="s">
        <v>13</v>
      </c>
      <c r="J795" t="s">
        <v>13</v>
      </c>
    </row>
    <row r="796" spans="1:11" x14ac:dyDescent="0.35">
      <c r="A796" t="s">
        <v>39</v>
      </c>
      <c r="B796" t="s">
        <v>13</v>
      </c>
      <c r="C796" t="s">
        <v>7</v>
      </c>
      <c r="D796" t="s">
        <v>8</v>
      </c>
      <c r="E796" s="1">
        <v>7305600</v>
      </c>
      <c r="F796" s="1">
        <v>1893000</v>
      </c>
      <c r="G796" s="1" t="s">
        <v>11</v>
      </c>
      <c r="H796" s="1">
        <v>88942815</v>
      </c>
      <c r="I796" t="s">
        <v>13</v>
      </c>
      <c r="J796" t="s">
        <v>13</v>
      </c>
      <c r="K796">
        <v>2.13</v>
      </c>
    </row>
    <row r="797" spans="1:11" x14ac:dyDescent="0.35">
      <c r="E797" s="1"/>
      <c r="F797" s="1"/>
      <c r="G797" s="1"/>
      <c r="H797" s="1"/>
    </row>
    <row r="798" spans="1:11" x14ac:dyDescent="0.35">
      <c r="A798" t="s">
        <v>207</v>
      </c>
      <c r="B798" t="str">
        <f>"61241"</f>
        <v>61241</v>
      </c>
      <c r="C798" t="str">
        <f>"002"</f>
        <v>002</v>
      </c>
      <c r="D798">
        <v>2006</v>
      </c>
      <c r="E798" s="1">
        <v>13038800</v>
      </c>
      <c r="F798" s="1">
        <v>11031600</v>
      </c>
      <c r="G798" s="1" t="s">
        <v>11</v>
      </c>
      <c r="H798" s="1" t="s">
        <v>38</v>
      </c>
      <c r="I798" t="s">
        <v>13</v>
      </c>
      <c r="J798" t="s">
        <v>13</v>
      </c>
    </row>
    <row r="799" spans="1:11" x14ac:dyDescent="0.35">
      <c r="A799" t="s">
        <v>5</v>
      </c>
      <c r="B799" t="str">
        <f>"61241"</f>
        <v>61241</v>
      </c>
      <c r="C799" t="str">
        <f>"003"</f>
        <v>003</v>
      </c>
      <c r="D799">
        <v>2020</v>
      </c>
      <c r="E799" s="1">
        <v>6574100</v>
      </c>
      <c r="F799" s="1">
        <v>2790800</v>
      </c>
      <c r="G799" s="1" t="s">
        <v>11</v>
      </c>
      <c r="H799" s="1" t="s">
        <v>38</v>
      </c>
      <c r="I799" t="s">
        <v>13</v>
      </c>
      <c r="J799" t="s">
        <v>13</v>
      </c>
    </row>
    <row r="800" spans="1:11" x14ac:dyDescent="0.35">
      <c r="A800" t="s">
        <v>39</v>
      </c>
      <c r="B800" t="s">
        <v>13</v>
      </c>
      <c r="C800" t="s">
        <v>7</v>
      </c>
      <c r="D800" t="s">
        <v>8</v>
      </c>
      <c r="E800" s="1">
        <v>19612900</v>
      </c>
      <c r="F800" s="1">
        <v>13822400</v>
      </c>
      <c r="G800" s="1" t="s">
        <v>11</v>
      </c>
      <c r="H800" s="1">
        <v>99994100</v>
      </c>
      <c r="I800" t="s">
        <v>13</v>
      </c>
      <c r="J800" t="s">
        <v>13</v>
      </c>
      <c r="K800">
        <v>13.82</v>
      </c>
    </row>
    <row r="801" spans="1:11" x14ac:dyDescent="0.35">
      <c r="E801" s="1"/>
      <c r="F801" s="1"/>
      <c r="G801" s="1"/>
      <c r="H801" s="1"/>
    </row>
    <row r="802" spans="1:11" x14ac:dyDescent="0.35">
      <c r="A802" t="s">
        <v>208</v>
      </c>
      <c r="B802" t="str">
        <f>"66141"</f>
        <v>66141</v>
      </c>
      <c r="C802" t="str">
        <f>"004"</f>
        <v>004</v>
      </c>
      <c r="D802">
        <v>1995</v>
      </c>
      <c r="E802" s="1">
        <v>50199500</v>
      </c>
      <c r="F802" s="1">
        <v>49553800</v>
      </c>
      <c r="G802" s="1" t="s">
        <v>11</v>
      </c>
      <c r="H802" s="1" t="s">
        <v>38</v>
      </c>
      <c r="I802" t="s">
        <v>13</v>
      </c>
      <c r="J802" t="s">
        <v>13</v>
      </c>
    </row>
    <row r="803" spans="1:11" x14ac:dyDescent="0.35">
      <c r="A803" t="s">
        <v>5</v>
      </c>
      <c r="B803" t="str">
        <f>"66141"</f>
        <v>66141</v>
      </c>
      <c r="C803" t="str">
        <f>"005"</f>
        <v>005</v>
      </c>
      <c r="D803">
        <v>2014</v>
      </c>
      <c r="E803" s="1">
        <v>7288700</v>
      </c>
      <c r="F803" s="1">
        <v>6355600</v>
      </c>
      <c r="G803" s="1" t="s">
        <v>11</v>
      </c>
      <c r="H803" s="1" t="s">
        <v>38</v>
      </c>
      <c r="I803" t="s">
        <v>13</v>
      </c>
      <c r="J803" t="s">
        <v>13</v>
      </c>
    </row>
    <row r="804" spans="1:11" x14ac:dyDescent="0.35">
      <c r="A804" t="s">
        <v>5</v>
      </c>
      <c r="B804" t="str">
        <f>"66141"</f>
        <v>66141</v>
      </c>
      <c r="C804" t="str">
        <f>"006"</f>
        <v>006</v>
      </c>
      <c r="D804">
        <v>2018</v>
      </c>
      <c r="E804" s="1">
        <v>9102400</v>
      </c>
      <c r="F804" s="1">
        <v>8627500</v>
      </c>
      <c r="G804" s="1" t="s">
        <v>11</v>
      </c>
      <c r="H804" s="1" t="s">
        <v>38</v>
      </c>
      <c r="I804" t="s">
        <v>13</v>
      </c>
      <c r="J804" t="s">
        <v>13</v>
      </c>
    </row>
    <row r="805" spans="1:11" x14ac:dyDescent="0.35">
      <c r="A805" t="s">
        <v>5</v>
      </c>
      <c r="B805" t="str">
        <f>"66141"</f>
        <v>66141</v>
      </c>
      <c r="C805" t="str">
        <f>"007"</f>
        <v>007</v>
      </c>
      <c r="D805">
        <v>2019</v>
      </c>
      <c r="E805" s="1">
        <v>5694000</v>
      </c>
      <c r="F805" s="1">
        <v>-766400</v>
      </c>
      <c r="G805" s="1" t="s">
        <v>48</v>
      </c>
      <c r="H805" s="1" t="s">
        <v>38</v>
      </c>
      <c r="I805" t="s">
        <v>13</v>
      </c>
      <c r="J805" t="s">
        <v>13</v>
      </c>
    </row>
    <row r="806" spans="1:11" x14ac:dyDescent="0.35">
      <c r="A806" t="s">
        <v>39</v>
      </c>
      <c r="B806" t="s">
        <v>13</v>
      </c>
      <c r="C806" t="s">
        <v>7</v>
      </c>
      <c r="D806" t="s">
        <v>8</v>
      </c>
      <c r="E806" s="1">
        <v>72284600</v>
      </c>
      <c r="F806" s="1">
        <v>64536900</v>
      </c>
      <c r="G806" s="1" t="s">
        <v>11</v>
      </c>
      <c r="H806" s="1">
        <v>916555900</v>
      </c>
      <c r="I806" t="s">
        <v>13</v>
      </c>
      <c r="J806" t="s">
        <v>13</v>
      </c>
      <c r="K806">
        <v>7.04</v>
      </c>
    </row>
    <row r="807" spans="1:11" x14ac:dyDescent="0.35">
      <c r="E807" s="1"/>
      <c r="F807" s="1"/>
      <c r="G807" s="1"/>
      <c r="H807" s="1"/>
    </row>
    <row r="808" spans="1:11" x14ac:dyDescent="0.35">
      <c r="A808" t="s">
        <v>209</v>
      </c>
      <c r="B808" t="str">
        <f t="shared" ref="B808:B821" si="13">"53241"</f>
        <v>53241</v>
      </c>
      <c r="C808" t="str">
        <f>"017"</f>
        <v>017</v>
      </c>
      <c r="D808">
        <v>1997</v>
      </c>
      <c r="E808" s="1">
        <v>3043700</v>
      </c>
      <c r="F808" s="1">
        <v>1636200</v>
      </c>
      <c r="G808" s="1" t="s">
        <v>11</v>
      </c>
      <c r="H808" s="1" t="s">
        <v>38</v>
      </c>
      <c r="I808" t="s">
        <v>13</v>
      </c>
      <c r="J808" t="s">
        <v>13</v>
      </c>
    </row>
    <row r="809" spans="1:11" x14ac:dyDescent="0.35">
      <c r="A809" t="s">
        <v>5</v>
      </c>
      <c r="B809" t="str">
        <f t="shared" si="13"/>
        <v>53241</v>
      </c>
      <c r="C809" t="str">
        <f>"022"</f>
        <v>022</v>
      </c>
      <c r="D809">
        <v>1999</v>
      </c>
      <c r="E809" s="1">
        <v>65232900</v>
      </c>
      <c r="F809" s="1">
        <v>59724400</v>
      </c>
      <c r="G809" s="1" t="s">
        <v>11</v>
      </c>
      <c r="H809" s="1" t="s">
        <v>38</v>
      </c>
      <c r="I809" t="s">
        <v>13</v>
      </c>
      <c r="J809" t="s">
        <v>13</v>
      </c>
    </row>
    <row r="810" spans="1:11" x14ac:dyDescent="0.35">
      <c r="A810" t="s">
        <v>5</v>
      </c>
      <c r="B810" t="str">
        <f t="shared" si="13"/>
        <v>53241</v>
      </c>
      <c r="C810" t="str">
        <f>"023"</f>
        <v>023</v>
      </c>
      <c r="D810">
        <v>2002</v>
      </c>
      <c r="E810" s="1">
        <v>7650700</v>
      </c>
      <c r="F810" s="1">
        <v>2677000</v>
      </c>
      <c r="G810" s="1" t="s">
        <v>11</v>
      </c>
      <c r="H810" s="1" t="s">
        <v>38</v>
      </c>
      <c r="I810" t="s">
        <v>13</v>
      </c>
      <c r="J810" t="s">
        <v>13</v>
      </c>
    </row>
    <row r="811" spans="1:11" x14ac:dyDescent="0.35">
      <c r="A811" t="s">
        <v>5</v>
      </c>
      <c r="B811" t="str">
        <f t="shared" si="13"/>
        <v>53241</v>
      </c>
      <c r="C811" t="str">
        <f>"025"</f>
        <v>025</v>
      </c>
      <c r="D811">
        <v>2003</v>
      </c>
      <c r="E811" s="1">
        <v>14484200</v>
      </c>
      <c r="F811" s="1">
        <v>14471300</v>
      </c>
      <c r="G811" s="1" t="s">
        <v>11</v>
      </c>
      <c r="H811" s="1" t="s">
        <v>38</v>
      </c>
      <c r="I811" t="s">
        <v>13</v>
      </c>
      <c r="J811" t="s">
        <v>13</v>
      </c>
    </row>
    <row r="812" spans="1:11" x14ac:dyDescent="0.35">
      <c r="A812" t="s">
        <v>5</v>
      </c>
      <c r="B812" t="str">
        <f t="shared" si="13"/>
        <v>53241</v>
      </c>
      <c r="C812" t="str">
        <f>"026"</f>
        <v>026</v>
      </c>
      <c r="D812">
        <v>2004</v>
      </c>
      <c r="E812" s="1">
        <v>53894600</v>
      </c>
      <c r="F812" s="1">
        <v>20251500</v>
      </c>
      <c r="G812" s="1" t="s">
        <v>11</v>
      </c>
      <c r="H812" s="1" t="s">
        <v>38</v>
      </c>
      <c r="I812" t="s">
        <v>13</v>
      </c>
      <c r="J812" t="s">
        <v>13</v>
      </c>
    </row>
    <row r="813" spans="1:11" x14ac:dyDescent="0.35">
      <c r="A813" t="s">
        <v>5</v>
      </c>
      <c r="B813" t="str">
        <f t="shared" si="13"/>
        <v>53241</v>
      </c>
      <c r="C813" t="str">
        <f>"027"</f>
        <v>027</v>
      </c>
      <c r="D813">
        <v>2003</v>
      </c>
      <c r="E813" s="1">
        <v>4379300</v>
      </c>
      <c r="F813" s="1">
        <v>314500</v>
      </c>
      <c r="G813" s="1" t="s">
        <v>11</v>
      </c>
      <c r="H813" s="1" t="s">
        <v>38</v>
      </c>
      <c r="I813" t="s">
        <v>13</v>
      </c>
      <c r="J813" t="s">
        <v>13</v>
      </c>
    </row>
    <row r="814" spans="1:11" x14ac:dyDescent="0.35">
      <c r="A814" t="s">
        <v>5</v>
      </c>
      <c r="B814" t="str">
        <f t="shared" si="13"/>
        <v>53241</v>
      </c>
      <c r="C814" t="str">
        <f>"028"</f>
        <v>028</v>
      </c>
      <c r="D814">
        <v>2006</v>
      </c>
      <c r="E814" s="1">
        <v>2878000</v>
      </c>
      <c r="F814" s="1">
        <v>406600</v>
      </c>
      <c r="G814" s="1" t="s">
        <v>11</v>
      </c>
      <c r="H814" s="1" t="s">
        <v>38</v>
      </c>
      <c r="I814" t="s">
        <v>13</v>
      </c>
      <c r="J814" t="s">
        <v>13</v>
      </c>
    </row>
    <row r="815" spans="1:11" x14ac:dyDescent="0.35">
      <c r="A815" t="s">
        <v>5</v>
      </c>
      <c r="B815" t="str">
        <f t="shared" si="13"/>
        <v>53241</v>
      </c>
      <c r="C815" t="str">
        <f>"029"</f>
        <v>029</v>
      </c>
      <c r="D815">
        <v>2007</v>
      </c>
      <c r="E815" s="1">
        <v>10683300</v>
      </c>
      <c r="F815" s="1">
        <v>4073200</v>
      </c>
      <c r="G815" s="1" t="s">
        <v>11</v>
      </c>
      <c r="H815" s="1" t="s">
        <v>38</v>
      </c>
      <c r="I815" t="s">
        <v>13</v>
      </c>
      <c r="J815" t="s">
        <v>13</v>
      </c>
    </row>
    <row r="816" spans="1:11" x14ac:dyDescent="0.35">
      <c r="A816" t="s">
        <v>5</v>
      </c>
      <c r="B816" t="str">
        <f t="shared" si="13"/>
        <v>53241</v>
      </c>
      <c r="C816" t="str">
        <f>"032"</f>
        <v>032</v>
      </c>
      <c r="D816">
        <v>2008</v>
      </c>
      <c r="E816" s="1">
        <v>186818800</v>
      </c>
      <c r="F816" s="1">
        <v>105546700</v>
      </c>
      <c r="G816" s="1" t="s">
        <v>11</v>
      </c>
      <c r="H816" s="1" t="s">
        <v>38</v>
      </c>
      <c r="I816" t="s">
        <v>13</v>
      </c>
      <c r="J816" t="s">
        <v>13</v>
      </c>
    </row>
    <row r="817" spans="1:11" x14ac:dyDescent="0.35">
      <c r="A817" t="s">
        <v>5</v>
      </c>
      <c r="B817" t="str">
        <f t="shared" si="13"/>
        <v>53241</v>
      </c>
      <c r="C817" t="str">
        <f>"033"</f>
        <v>033</v>
      </c>
      <c r="D817">
        <v>2008</v>
      </c>
      <c r="E817" s="1">
        <v>23230000</v>
      </c>
      <c r="F817" s="1">
        <v>16181500</v>
      </c>
      <c r="G817" s="1" t="s">
        <v>11</v>
      </c>
      <c r="H817" s="1" t="s">
        <v>38</v>
      </c>
      <c r="I817" t="s">
        <v>13</v>
      </c>
      <c r="J817" t="s">
        <v>13</v>
      </c>
    </row>
    <row r="818" spans="1:11" x14ac:dyDescent="0.35">
      <c r="A818" t="s">
        <v>5</v>
      </c>
      <c r="B818" t="str">
        <f t="shared" si="13"/>
        <v>53241</v>
      </c>
      <c r="C818" t="str">
        <f>"035"</f>
        <v>035</v>
      </c>
      <c r="D818">
        <v>2011</v>
      </c>
      <c r="E818" s="1">
        <v>115750800</v>
      </c>
      <c r="F818" s="1">
        <v>87373000</v>
      </c>
      <c r="G818" s="1" t="s">
        <v>11</v>
      </c>
      <c r="H818" s="1" t="s">
        <v>38</v>
      </c>
      <c r="I818" t="s">
        <v>13</v>
      </c>
      <c r="J818" t="s">
        <v>13</v>
      </c>
    </row>
    <row r="819" spans="1:11" x14ac:dyDescent="0.35">
      <c r="A819" t="s">
        <v>5</v>
      </c>
      <c r="B819" t="str">
        <f t="shared" si="13"/>
        <v>53241</v>
      </c>
      <c r="C819" t="str">
        <f>"036"</f>
        <v>036</v>
      </c>
      <c r="D819">
        <v>2016</v>
      </c>
      <c r="E819" s="1">
        <v>114032600</v>
      </c>
      <c r="F819" s="1">
        <v>25023000</v>
      </c>
      <c r="G819" s="1" t="s">
        <v>11</v>
      </c>
      <c r="H819" s="1" t="s">
        <v>38</v>
      </c>
      <c r="I819" t="s">
        <v>13</v>
      </c>
      <c r="J819" t="s">
        <v>13</v>
      </c>
    </row>
    <row r="820" spans="1:11" x14ac:dyDescent="0.35">
      <c r="A820" t="s">
        <v>5</v>
      </c>
      <c r="B820" t="str">
        <f t="shared" si="13"/>
        <v>53241</v>
      </c>
      <c r="C820" t="str">
        <f>"037"</f>
        <v>037</v>
      </c>
      <c r="D820">
        <v>2017</v>
      </c>
      <c r="E820" s="1">
        <v>26422800</v>
      </c>
      <c r="F820" s="1">
        <v>19162400</v>
      </c>
      <c r="G820" s="1" t="s">
        <v>11</v>
      </c>
      <c r="H820" s="1" t="s">
        <v>38</v>
      </c>
      <c r="I820" t="s">
        <v>13</v>
      </c>
      <c r="J820" t="s">
        <v>13</v>
      </c>
    </row>
    <row r="821" spans="1:11" x14ac:dyDescent="0.35">
      <c r="A821" t="s">
        <v>5</v>
      </c>
      <c r="B821" t="str">
        <f t="shared" si="13"/>
        <v>53241</v>
      </c>
      <c r="C821" t="str">
        <f>"038"</f>
        <v>038</v>
      </c>
      <c r="D821">
        <v>2020</v>
      </c>
      <c r="E821" s="1">
        <v>32917300</v>
      </c>
      <c r="F821" s="1">
        <v>14491500</v>
      </c>
      <c r="G821" s="1" t="s">
        <v>11</v>
      </c>
      <c r="H821" s="1" t="s">
        <v>38</v>
      </c>
      <c r="I821" t="s">
        <v>13</v>
      </c>
      <c r="J821" t="s">
        <v>13</v>
      </c>
    </row>
    <row r="822" spans="1:11" x14ac:dyDescent="0.35">
      <c r="A822" t="s">
        <v>39</v>
      </c>
      <c r="B822" t="s">
        <v>13</v>
      </c>
      <c r="C822" t="s">
        <v>7</v>
      </c>
      <c r="D822" t="s">
        <v>8</v>
      </c>
      <c r="E822" s="1">
        <v>661419000</v>
      </c>
      <c r="F822" s="1">
        <v>371332800</v>
      </c>
      <c r="G822" s="1" t="s">
        <v>11</v>
      </c>
      <c r="H822" s="1">
        <v>6069240100</v>
      </c>
      <c r="I822" t="s">
        <v>13</v>
      </c>
      <c r="J822" t="s">
        <v>13</v>
      </c>
      <c r="K822">
        <v>6.12</v>
      </c>
    </row>
    <row r="823" spans="1:11" x14ac:dyDescent="0.35">
      <c r="E823" s="1"/>
      <c r="F823" s="1"/>
      <c r="G823" s="1"/>
      <c r="H823" s="1"/>
    </row>
    <row r="824" spans="1:11" x14ac:dyDescent="0.35">
      <c r="A824" t="s">
        <v>210</v>
      </c>
      <c r="B824" t="str">
        <f>"28241"</f>
        <v>28241</v>
      </c>
      <c r="C824" t="str">
        <f>"005"</f>
        <v>005</v>
      </c>
      <c r="D824">
        <v>2001</v>
      </c>
      <c r="E824" s="1">
        <v>35026600</v>
      </c>
      <c r="F824" s="1">
        <v>13589300</v>
      </c>
      <c r="G824" s="1" t="s">
        <v>11</v>
      </c>
      <c r="H824" s="1" t="s">
        <v>38</v>
      </c>
      <c r="I824" t="s">
        <v>13</v>
      </c>
      <c r="J824" t="s">
        <v>13</v>
      </c>
    </row>
    <row r="825" spans="1:11" x14ac:dyDescent="0.35">
      <c r="A825" t="s">
        <v>5</v>
      </c>
      <c r="B825" t="str">
        <f>"28241"</f>
        <v>28241</v>
      </c>
      <c r="C825" t="str">
        <f>"006"</f>
        <v>006</v>
      </c>
      <c r="D825">
        <v>2009</v>
      </c>
      <c r="E825" s="1">
        <v>8104300</v>
      </c>
      <c r="F825" s="1">
        <v>8104300</v>
      </c>
      <c r="G825" s="1" t="s">
        <v>11</v>
      </c>
      <c r="H825" s="1" t="s">
        <v>38</v>
      </c>
      <c r="I825" t="s">
        <v>13</v>
      </c>
      <c r="J825" t="s">
        <v>13</v>
      </c>
    </row>
    <row r="826" spans="1:11" x14ac:dyDescent="0.35">
      <c r="A826" t="s">
        <v>5</v>
      </c>
      <c r="B826" t="str">
        <f>"28241"</f>
        <v>28241</v>
      </c>
      <c r="C826" t="str">
        <f>"007"</f>
        <v>007</v>
      </c>
      <c r="D826">
        <v>2012</v>
      </c>
      <c r="E826" s="1">
        <v>10700700</v>
      </c>
      <c r="F826" s="1">
        <v>10682500</v>
      </c>
      <c r="G826" s="1" t="s">
        <v>11</v>
      </c>
      <c r="H826" s="1" t="s">
        <v>38</v>
      </c>
      <c r="I826" t="s">
        <v>13</v>
      </c>
      <c r="J826" t="s">
        <v>13</v>
      </c>
    </row>
    <row r="827" spans="1:11" x14ac:dyDescent="0.35">
      <c r="A827" t="s">
        <v>5</v>
      </c>
      <c r="B827" t="str">
        <f>"28241"</f>
        <v>28241</v>
      </c>
      <c r="C827" t="str">
        <f>"008"</f>
        <v>008</v>
      </c>
      <c r="D827">
        <v>2015</v>
      </c>
      <c r="E827" s="1">
        <v>1303600</v>
      </c>
      <c r="F827" s="1">
        <v>430400</v>
      </c>
      <c r="G827" s="1" t="s">
        <v>11</v>
      </c>
      <c r="H827" s="1" t="s">
        <v>38</v>
      </c>
      <c r="I827" t="s">
        <v>13</v>
      </c>
      <c r="J827" t="s">
        <v>13</v>
      </c>
    </row>
    <row r="828" spans="1:11" x14ac:dyDescent="0.35">
      <c r="A828" t="s">
        <v>5</v>
      </c>
      <c r="B828" t="str">
        <f>"28241"</f>
        <v>28241</v>
      </c>
      <c r="C828" t="str">
        <f>"009"</f>
        <v>009</v>
      </c>
      <c r="D828">
        <v>2019</v>
      </c>
      <c r="E828" s="1">
        <v>3846600</v>
      </c>
      <c r="F828" s="1">
        <v>3831500</v>
      </c>
      <c r="G828" s="1" t="s">
        <v>11</v>
      </c>
      <c r="H828" s="1" t="s">
        <v>38</v>
      </c>
      <c r="I828" t="s">
        <v>13</v>
      </c>
      <c r="J828" t="s">
        <v>13</v>
      </c>
    </row>
    <row r="829" spans="1:11" x14ac:dyDescent="0.35">
      <c r="A829" t="s">
        <v>39</v>
      </c>
      <c r="B829" t="s">
        <v>13</v>
      </c>
      <c r="C829" t="s">
        <v>7</v>
      </c>
      <c r="D829" t="s">
        <v>8</v>
      </c>
      <c r="E829" s="1">
        <v>58981800</v>
      </c>
      <c r="F829" s="1">
        <v>36638000</v>
      </c>
      <c r="G829" s="1" t="s">
        <v>11</v>
      </c>
      <c r="H829" s="1">
        <v>660914000</v>
      </c>
      <c r="I829" t="s">
        <v>13</v>
      </c>
      <c r="J829" t="s">
        <v>13</v>
      </c>
      <c r="K829">
        <v>5.54</v>
      </c>
    </row>
    <row r="830" spans="1:11" x14ac:dyDescent="0.35">
      <c r="E830" s="1"/>
      <c r="F830" s="1"/>
      <c r="G830" s="1"/>
      <c r="H830" s="1"/>
    </row>
    <row r="831" spans="1:11" x14ac:dyDescent="0.35">
      <c r="A831" t="s">
        <v>211</v>
      </c>
      <c r="B831" t="str">
        <f>"28141"</f>
        <v>28141</v>
      </c>
      <c r="C831" t="str">
        <f>"002"</f>
        <v>002</v>
      </c>
      <c r="D831">
        <v>1994</v>
      </c>
      <c r="E831" s="1">
        <v>100370200</v>
      </c>
      <c r="F831" s="1">
        <v>88991400</v>
      </c>
      <c r="G831" s="1" t="s">
        <v>11</v>
      </c>
      <c r="H831" s="1" t="s">
        <v>38</v>
      </c>
      <c r="I831" t="s">
        <v>13</v>
      </c>
      <c r="J831" t="s">
        <v>13</v>
      </c>
    </row>
    <row r="832" spans="1:11" x14ac:dyDescent="0.35">
      <c r="A832" t="s">
        <v>5</v>
      </c>
      <c r="B832" t="str">
        <f>"28141"</f>
        <v>28141</v>
      </c>
      <c r="C832" t="str">
        <f>"003"</f>
        <v>003</v>
      </c>
      <c r="D832">
        <v>1995</v>
      </c>
      <c r="E832" s="1">
        <v>59342100</v>
      </c>
      <c r="F832" s="1">
        <v>58640700</v>
      </c>
      <c r="G832" s="1" t="s">
        <v>11</v>
      </c>
      <c r="H832" s="1" t="s">
        <v>38</v>
      </c>
      <c r="I832" t="s">
        <v>13</v>
      </c>
      <c r="J832" t="s">
        <v>13</v>
      </c>
    </row>
    <row r="833" spans="1:11" x14ac:dyDescent="0.35">
      <c r="A833" t="s">
        <v>39</v>
      </c>
      <c r="B833" t="s">
        <v>13</v>
      </c>
      <c r="C833" t="s">
        <v>7</v>
      </c>
      <c r="D833" t="s">
        <v>8</v>
      </c>
      <c r="E833" s="1">
        <v>159712300</v>
      </c>
      <c r="F833" s="1">
        <v>147632100</v>
      </c>
      <c r="G833" s="1" t="s">
        <v>11</v>
      </c>
      <c r="H833" s="1">
        <v>441201100</v>
      </c>
      <c r="I833" t="s">
        <v>13</v>
      </c>
      <c r="J833" t="s">
        <v>13</v>
      </c>
      <c r="K833">
        <v>33.46</v>
      </c>
    </row>
    <row r="834" spans="1:11" x14ac:dyDescent="0.35">
      <c r="E834" s="1"/>
      <c r="F834" s="1"/>
      <c r="G834" s="1"/>
      <c r="H834" s="1"/>
    </row>
    <row r="835" spans="1:11" x14ac:dyDescent="0.35">
      <c r="A835" t="s">
        <v>212</v>
      </c>
      <c r="B835" t="str">
        <f>"49141"</f>
        <v>49141</v>
      </c>
      <c r="C835" t="str">
        <f>"001"</f>
        <v>001</v>
      </c>
      <c r="D835">
        <v>2008</v>
      </c>
      <c r="E835" s="1">
        <v>2608300</v>
      </c>
      <c r="F835" s="1">
        <v>1340600</v>
      </c>
      <c r="G835" s="1" t="s">
        <v>11</v>
      </c>
      <c r="H835" s="1" t="s">
        <v>38</v>
      </c>
      <c r="I835" t="s">
        <v>13</v>
      </c>
      <c r="J835" t="s">
        <v>13</v>
      </c>
    </row>
    <row r="836" spans="1:11" x14ac:dyDescent="0.35">
      <c r="A836" t="s">
        <v>5</v>
      </c>
      <c r="B836" t="str">
        <f>"49141"</f>
        <v>49141</v>
      </c>
      <c r="C836" t="str">
        <f>"002"</f>
        <v>002</v>
      </c>
      <c r="D836">
        <v>2019</v>
      </c>
      <c r="E836" s="1">
        <v>2340300</v>
      </c>
      <c r="F836" s="1">
        <v>457100</v>
      </c>
      <c r="G836" s="1" t="s">
        <v>11</v>
      </c>
      <c r="H836" s="1" t="s">
        <v>38</v>
      </c>
      <c r="I836" t="s">
        <v>13</v>
      </c>
      <c r="J836" t="s">
        <v>13</v>
      </c>
    </row>
    <row r="837" spans="1:11" x14ac:dyDescent="0.35">
      <c r="A837" t="s">
        <v>39</v>
      </c>
      <c r="B837" t="s">
        <v>13</v>
      </c>
      <c r="C837" t="s">
        <v>7</v>
      </c>
      <c r="D837" t="s">
        <v>8</v>
      </c>
      <c r="E837" s="1">
        <v>4948600</v>
      </c>
      <c r="F837" s="1">
        <v>1797700</v>
      </c>
      <c r="G837" s="1" t="s">
        <v>11</v>
      </c>
      <c r="H837" s="1">
        <v>21892400</v>
      </c>
      <c r="I837" t="s">
        <v>13</v>
      </c>
      <c r="J837" t="s">
        <v>13</v>
      </c>
      <c r="K837">
        <v>8.2100000000000009</v>
      </c>
    </row>
    <row r="838" spans="1:11" x14ac:dyDescent="0.35">
      <c r="E838" s="1"/>
      <c r="F838" s="1"/>
      <c r="G838" s="1"/>
      <c r="H838" s="1"/>
    </row>
    <row r="839" spans="1:11" x14ac:dyDescent="0.35">
      <c r="A839" t="s">
        <v>213</v>
      </c>
      <c r="B839" t="str">
        <f>"14241"</f>
        <v>14241</v>
      </c>
      <c r="C839" t="str">
        <f>"004"</f>
        <v>004</v>
      </c>
      <c r="D839">
        <v>2018</v>
      </c>
      <c r="E839" s="1">
        <v>10713600</v>
      </c>
      <c r="F839" s="1">
        <v>3236500</v>
      </c>
      <c r="G839" s="1" t="s">
        <v>11</v>
      </c>
      <c r="H839" s="1" t="s">
        <v>38</v>
      </c>
      <c r="I839" t="s">
        <v>13</v>
      </c>
      <c r="J839" t="s">
        <v>13</v>
      </c>
    </row>
    <row r="840" spans="1:11" x14ac:dyDescent="0.35">
      <c r="A840" t="s">
        <v>39</v>
      </c>
      <c r="B840" t="s">
        <v>13</v>
      </c>
      <c r="C840" t="s">
        <v>7</v>
      </c>
      <c r="D840" t="s">
        <v>8</v>
      </c>
      <c r="E840" s="1">
        <v>10713600</v>
      </c>
      <c r="F840" s="1">
        <v>3236500</v>
      </c>
      <c r="G840" s="1" t="s">
        <v>11</v>
      </c>
      <c r="H840" s="1">
        <v>132871300</v>
      </c>
      <c r="I840" t="s">
        <v>13</v>
      </c>
      <c r="J840" t="s">
        <v>13</v>
      </c>
      <c r="K840">
        <v>2.44</v>
      </c>
    </row>
    <row r="841" spans="1:11" x14ac:dyDescent="0.35">
      <c r="E841" s="1"/>
      <c r="F841" s="1"/>
      <c r="G841" s="1"/>
      <c r="H841" s="1"/>
    </row>
    <row r="842" spans="1:11" x14ac:dyDescent="0.35">
      <c r="A842" t="s">
        <v>214</v>
      </c>
      <c r="B842" t="str">
        <f t="shared" ref="B842:B847" si="14">"44241"</f>
        <v>44241</v>
      </c>
      <c r="C842" t="str">
        <f>"004"</f>
        <v>004</v>
      </c>
      <c r="D842">
        <v>2000</v>
      </c>
      <c r="E842" s="1">
        <v>22326400</v>
      </c>
      <c r="F842" s="1">
        <v>6277100</v>
      </c>
      <c r="G842" s="1" t="s">
        <v>11</v>
      </c>
      <c r="H842" s="1" t="s">
        <v>38</v>
      </c>
      <c r="I842" t="s">
        <v>13</v>
      </c>
      <c r="J842" t="s">
        <v>13</v>
      </c>
    </row>
    <row r="843" spans="1:11" x14ac:dyDescent="0.35">
      <c r="A843" t="s">
        <v>5</v>
      </c>
      <c r="B843" t="str">
        <f t="shared" si="14"/>
        <v>44241</v>
      </c>
      <c r="C843" t="str">
        <f>"005"</f>
        <v>005</v>
      </c>
      <c r="D843">
        <v>2003</v>
      </c>
      <c r="E843" s="1">
        <v>24121400</v>
      </c>
      <c r="F843" s="1">
        <v>23043500</v>
      </c>
      <c r="G843" s="1" t="s">
        <v>11</v>
      </c>
      <c r="H843" s="1" t="s">
        <v>38</v>
      </c>
      <c r="I843" t="s">
        <v>13</v>
      </c>
      <c r="J843" t="s">
        <v>13</v>
      </c>
    </row>
    <row r="844" spans="1:11" x14ac:dyDescent="0.35">
      <c r="A844" t="s">
        <v>5</v>
      </c>
      <c r="B844" t="str">
        <f t="shared" si="14"/>
        <v>44241</v>
      </c>
      <c r="C844" t="str">
        <f>"006"</f>
        <v>006</v>
      </c>
      <c r="D844">
        <v>2006</v>
      </c>
      <c r="E844" s="1">
        <v>50134400</v>
      </c>
      <c r="F844" s="1">
        <v>46982700</v>
      </c>
      <c r="G844" s="1" t="s">
        <v>11</v>
      </c>
      <c r="H844" s="1" t="s">
        <v>38</v>
      </c>
      <c r="I844" t="s">
        <v>13</v>
      </c>
      <c r="J844" t="s">
        <v>13</v>
      </c>
    </row>
    <row r="845" spans="1:11" x14ac:dyDescent="0.35">
      <c r="A845" t="s">
        <v>5</v>
      </c>
      <c r="B845" t="str">
        <f t="shared" si="14"/>
        <v>44241</v>
      </c>
      <c r="C845" t="str">
        <f>"008"</f>
        <v>008</v>
      </c>
      <c r="D845">
        <v>2013</v>
      </c>
      <c r="E845" s="1">
        <v>8454300</v>
      </c>
      <c r="F845" s="1">
        <v>5883100</v>
      </c>
      <c r="G845" s="1" t="s">
        <v>11</v>
      </c>
      <c r="H845" s="1" t="s">
        <v>38</v>
      </c>
      <c r="I845" t="s">
        <v>13</v>
      </c>
      <c r="J845" t="s">
        <v>13</v>
      </c>
    </row>
    <row r="846" spans="1:11" x14ac:dyDescent="0.35">
      <c r="A846" t="s">
        <v>5</v>
      </c>
      <c r="B846" t="str">
        <f t="shared" si="14"/>
        <v>44241</v>
      </c>
      <c r="C846" t="str">
        <f>"009"</f>
        <v>009</v>
      </c>
      <c r="D846">
        <v>2016</v>
      </c>
      <c r="E846" s="1">
        <v>2810700</v>
      </c>
      <c r="F846" s="1">
        <v>1504100</v>
      </c>
      <c r="G846" s="1" t="s">
        <v>11</v>
      </c>
      <c r="H846" s="1" t="s">
        <v>38</v>
      </c>
      <c r="I846" t="s">
        <v>13</v>
      </c>
      <c r="J846" t="s">
        <v>13</v>
      </c>
    </row>
    <row r="847" spans="1:11" x14ac:dyDescent="0.35">
      <c r="A847" t="s">
        <v>5</v>
      </c>
      <c r="B847" t="str">
        <f t="shared" si="14"/>
        <v>44241</v>
      </c>
      <c r="C847" t="str">
        <f>"010"</f>
        <v>010</v>
      </c>
      <c r="D847">
        <v>2019</v>
      </c>
      <c r="E847" s="1">
        <v>11829400</v>
      </c>
      <c r="F847" s="1">
        <v>4976600</v>
      </c>
      <c r="G847" s="1" t="s">
        <v>11</v>
      </c>
      <c r="H847" s="1" t="s">
        <v>38</v>
      </c>
      <c r="I847" t="s">
        <v>13</v>
      </c>
      <c r="J847" t="s">
        <v>13</v>
      </c>
    </row>
    <row r="848" spans="1:11" x14ac:dyDescent="0.35">
      <c r="A848" t="s">
        <v>39</v>
      </c>
      <c r="B848" t="s">
        <v>13</v>
      </c>
      <c r="C848" t="s">
        <v>7</v>
      </c>
      <c r="D848" t="s">
        <v>8</v>
      </c>
      <c r="E848" s="1">
        <v>119676600</v>
      </c>
      <c r="F848" s="1">
        <v>88667100</v>
      </c>
      <c r="G848" s="1" t="s">
        <v>11</v>
      </c>
      <c r="H848" s="1">
        <v>1314411300</v>
      </c>
      <c r="I848" t="s">
        <v>13</v>
      </c>
      <c r="J848" t="s">
        <v>13</v>
      </c>
      <c r="K848">
        <v>6.75</v>
      </c>
    </row>
    <row r="849" spans="1:11" x14ac:dyDescent="0.35">
      <c r="E849" s="1"/>
      <c r="F849" s="1"/>
      <c r="G849" s="1"/>
      <c r="H849" s="1"/>
    </row>
    <row r="850" spans="1:11" x14ac:dyDescent="0.35">
      <c r="A850" t="s">
        <v>215</v>
      </c>
      <c r="B850" t="str">
        <f>"36132"</f>
        <v>36132</v>
      </c>
      <c r="C850" t="str">
        <f>"001"</f>
        <v>001</v>
      </c>
      <c r="D850">
        <v>2003</v>
      </c>
      <c r="E850" s="1">
        <v>1329700</v>
      </c>
      <c r="F850" s="1">
        <v>546100</v>
      </c>
      <c r="G850" s="1" t="s">
        <v>11</v>
      </c>
      <c r="H850" s="1" t="s">
        <v>38</v>
      </c>
      <c r="I850" t="s">
        <v>13</v>
      </c>
      <c r="J850" t="s">
        <v>13</v>
      </c>
    </row>
    <row r="851" spans="1:11" x14ac:dyDescent="0.35">
      <c r="A851" t="s">
        <v>39</v>
      </c>
      <c r="B851" t="s">
        <v>13</v>
      </c>
      <c r="C851" t="s">
        <v>7</v>
      </c>
      <c r="D851" t="s">
        <v>8</v>
      </c>
      <c r="E851" s="1">
        <v>1329700</v>
      </c>
      <c r="F851" s="1">
        <v>546100</v>
      </c>
      <c r="G851" s="1" t="s">
        <v>11</v>
      </c>
      <c r="H851" s="1">
        <v>15624100</v>
      </c>
      <c r="I851" t="s">
        <v>13</v>
      </c>
      <c r="J851" t="s">
        <v>13</v>
      </c>
      <c r="K851">
        <v>3.5</v>
      </c>
    </row>
    <row r="852" spans="1:11" x14ac:dyDescent="0.35">
      <c r="E852" s="1"/>
      <c r="F852" s="1"/>
      <c r="G852" s="1"/>
      <c r="H852" s="1"/>
    </row>
    <row r="853" spans="1:11" x14ac:dyDescent="0.35">
      <c r="A853" t="s">
        <v>216</v>
      </c>
      <c r="B853" t="str">
        <f t="shared" ref="B853:B877" si="15">"30241"</f>
        <v>30241</v>
      </c>
      <c r="C853" t="str">
        <f>"004"</f>
        <v>004</v>
      </c>
      <c r="D853">
        <v>1989</v>
      </c>
      <c r="E853" s="1">
        <v>128716700</v>
      </c>
      <c r="F853" s="1">
        <v>112543400</v>
      </c>
      <c r="G853" s="1" t="s">
        <v>11</v>
      </c>
      <c r="H853" s="1" t="s">
        <v>38</v>
      </c>
      <c r="I853" t="s">
        <v>13</v>
      </c>
      <c r="J853" t="s">
        <v>13</v>
      </c>
    </row>
    <row r="854" spans="1:11" x14ac:dyDescent="0.35">
      <c r="A854" t="s">
        <v>5</v>
      </c>
      <c r="B854" t="str">
        <f t="shared" si="15"/>
        <v>30241</v>
      </c>
      <c r="C854" t="str">
        <f>"005"</f>
        <v>005</v>
      </c>
      <c r="D854">
        <v>1994</v>
      </c>
      <c r="E854" s="1">
        <v>114909800</v>
      </c>
      <c r="F854" s="1">
        <v>114590100</v>
      </c>
      <c r="G854" s="1" t="s">
        <v>11</v>
      </c>
      <c r="H854" s="1" t="s">
        <v>38</v>
      </c>
      <c r="I854" t="s">
        <v>13</v>
      </c>
      <c r="J854" t="s">
        <v>13</v>
      </c>
    </row>
    <row r="855" spans="1:11" x14ac:dyDescent="0.35">
      <c r="A855" t="s">
        <v>5</v>
      </c>
      <c r="B855" t="str">
        <f t="shared" si="15"/>
        <v>30241</v>
      </c>
      <c r="C855" t="str">
        <f>"006"</f>
        <v>006</v>
      </c>
      <c r="D855">
        <v>1997</v>
      </c>
      <c r="E855" s="1">
        <v>18899500</v>
      </c>
      <c r="F855" s="1">
        <v>15183300</v>
      </c>
      <c r="G855" s="1" t="s">
        <v>11</v>
      </c>
      <c r="H855" s="1" t="s">
        <v>38</v>
      </c>
      <c r="I855" t="s">
        <v>13</v>
      </c>
      <c r="J855" t="s">
        <v>13</v>
      </c>
    </row>
    <row r="856" spans="1:11" x14ac:dyDescent="0.35">
      <c r="A856" t="s">
        <v>5</v>
      </c>
      <c r="B856" t="str">
        <f t="shared" si="15"/>
        <v>30241</v>
      </c>
      <c r="C856" t="str">
        <f>"007"</f>
        <v>007</v>
      </c>
      <c r="D856">
        <v>2002</v>
      </c>
      <c r="E856" s="1">
        <v>12669500</v>
      </c>
      <c r="F856" s="1">
        <v>11490900</v>
      </c>
      <c r="G856" s="1" t="s">
        <v>11</v>
      </c>
      <c r="H856" s="1" t="s">
        <v>38</v>
      </c>
      <c r="I856" t="s">
        <v>13</v>
      </c>
      <c r="J856" t="s">
        <v>13</v>
      </c>
    </row>
    <row r="857" spans="1:11" x14ac:dyDescent="0.35">
      <c r="A857" t="s">
        <v>5</v>
      </c>
      <c r="B857" t="str">
        <f t="shared" si="15"/>
        <v>30241</v>
      </c>
      <c r="C857" t="str">
        <f>"008"</f>
        <v>008</v>
      </c>
      <c r="D857">
        <v>2002</v>
      </c>
      <c r="E857" s="1">
        <v>71148100</v>
      </c>
      <c r="F857" s="1">
        <v>70902200</v>
      </c>
      <c r="G857" s="1" t="s">
        <v>11</v>
      </c>
      <c r="H857" s="1" t="s">
        <v>38</v>
      </c>
      <c r="I857" t="s">
        <v>13</v>
      </c>
      <c r="J857" t="s">
        <v>13</v>
      </c>
    </row>
    <row r="858" spans="1:11" x14ac:dyDescent="0.35">
      <c r="A858" t="s">
        <v>5</v>
      </c>
      <c r="B858" t="str">
        <f t="shared" si="15"/>
        <v>30241</v>
      </c>
      <c r="C858" t="str">
        <f>"009"</f>
        <v>009</v>
      </c>
      <c r="D858">
        <v>2003</v>
      </c>
      <c r="E858" s="1">
        <v>44950300</v>
      </c>
      <c r="F858" s="1">
        <v>20411600</v>
      </c>
      <c r="G858" s="1" t="s">
        <v>11</v>
      </c>
      <c r="H858" s="1" t="s">
        <v>38</v>
      </c>
      <c r="I858" t="s">
        <v>13</v>
      </c>
      <c r="J858" t="s">
        <v>13</v>
      </c>
    </row>
    <row r="859" spans="1:11" x14ac:dyDescent="0.35">
      <c r="A859" t="s">
        <v>5</v>
      </c>
      <c r="B859" t="str">
        <f t="shared" si="15"/>
        <v>30241</v>
      </c>
      <c r="C859" t="str">
        <f>"010"</f>
        <v>010</v>
      </c>
      <c r="D859">
        <v>2005</v>
      </c>
      <c r="E859" s="1">
        <v>18031000</v>
      </c>
      <c r="F859" s="1">
        <v>5733300</v>
      </c>
      <c r="G859" s="1" t="s">
        <v>11</v>
      </c>
      <c r="H859" s="1" t="s">
        <v>38</v>
      </c>
      <c r="I859" t="s">
        <v>13</v>
      </c>
      <c r="J859" t="s">
        <v>13</v>
      </c>
    </row>
    <row r="860" spans="1:11" x14ac:dyDescent="0.35">
      <c r="A860" t="s">
        <v>5</v>
      </c>
      <c r="B860" t="str">
        <f t="shared" si="15"/>
        <v>30241</v>
      </c>
      <c r="C860" t="str">
        <f>"011"</f>
        <v>011</v>
      </c>
      <c r="D860">
        <v>2006</v>
      </c>
      <c r="E860" s="1">
        <v>122375900</v>
      </c>
      <c r="F860" s="1">
        <v>119502600</v>
      </c>
      <c r="G860" s="1" t="s">
        <v>11</v>
      </c>
      <c r="H860" s="1" t="s">
        <v>38</v>
      </c>
      <c r="I860" t="s">
        <v>13</v>
      </c>
      <c r="J860" t="s">
        <v>13</v>
      </c>
    </row>
    <row r="861" spans="1:11" x14ac:dyDescent="0.35">
      <c r="A861" t="s">
        <v>5</v>
      </c>
      <c r="B861" t="str">
        <f t="shared" si="15"/>
        <v>30241</v>
      </c>
      <c r="C861" t="str">
        <f>"013"</f>
        <v>013</v>
      </c>
      <c r="D861">
        <v>2008</v>
      </c>
      <c r="E861" s="1">
        <v>60658700</v>
      </c>
      <c r="F861" s="1">
        <v>60033600</v>
      </c>
      <c r="G861" s="1" t="s">
        <v>11</v>
      </c>
      <c r="H861" s="1" t="s">
        <v>38</v>
      </c>
      <c r="I861" t="s">
        <v>13</v>
      </c>
      <c r="J861" t="s">
        <v>13</v>
      </c>
    </row>
    <row r="862" spans="1:11" x14ac:dyDescent="0.35">
      <c r="A862" t="s">
        <v>5</v>
      </c>
      <c r="B862" t="str">
        <f t="shared" si="15"/>
        <v>30241</v>
      </c>
      <c r="C862" t="str">
        <f>"015"</f>
        <v>015</v>
      </c>
      <c r="D862">
        <v>2013</v>
      </c>
      <c r="E862" s="1">
        <v>1503600</v>
      </c>
      <c r="F862" s="1">
        <v>1212100</v>
      </c>
      <c r="G862" s="1" t="s">
        <v>11</v>
      </c>
      <c r="H862" s="1" t="s">
        <v>38</v>
      </c>
      <c r="I862" t="s">
        <v>13</v>
      </c>
      <c r="J862" t="s">
        <v>13</v>
      </c>
    </row>
    <row r="863" spans="1:11" x14ac:dyDescent="0.35">
      <c r="A863" t="s">
        <v>5</v>
      </c>
      <c r="B863" t="str">
        <f t="shared" si="15"/>
        <v>30241</v>
      </c>
      <c r="C863" t="str">
        <f>"016"</f>
        <v>016</v>
      </c>
      <c r="D863">
        <v>2013</v>
      </c>
      <c r="E863" s="1">
        <v>176188000</v>
      </c>
      <c r="F863" s="1">
        <v>174616100</v>
      </c>
      <c r="G863" s="1" t="s">
        <v>11</v>
      </c>
      <c r="H863" s="1" t="s">
        <v>38</v>
      </c>
      <c r="I863" t="s">
        <v>13</v>
      </c>
      <c r="J863" t="s">
        <v>13</v>
      </c>
    </row>
    <row r="864" spans="1:11" x14ac:dyDescent="0.35">
      <c r="A864" t="s">
        <v>5</v>
      </c>
      <c r="B864" t="str">
        <f t="shared" si="15"/>
        <v>30241</v>
      </c>
      <c r="C864" t="str">
        <f>"017"</f>
        <v>017</v>
      </c>
      <c r="D864">
        <v>2014</v>
      </c>
      <c r="E864" s="1">
        <v>9943500</v>
      </c>
      <c r="F864" s="1">
        <v>9892600</v>
      </c>
      <c r="G864" s="1" t="s">
        <v>11</v>
      </c>
      <c r="H864" s="1" t="s">
        <v>38</v>
      </c>
      <c r="I864" t="s">
        <v>13</v>
      </c>
      <c r="J864" t="s">
        <v>13</v>
      </c>
    </row>
    <row r="865" spans="1:11" x14ac:dyDescent="0.35">
      <c r="A865" t="s">
        <v>5</v>
      </c>
      <c r="B865" t="str">
        <f t="shared" si="15"/>
        <v>30241</v>
      </c>
      <c r="C865" t="str">
        <f>"018"</f>
        <v>018</v>
      </c>
      <c r="D865">
        <v>2015</v>
      </c>
      <c r="E865" s="1">
        <v>14756200</v>
      </c>
      <c r="F865" s="1">
        <v>14573900</v>
      </c>
      <c r="G865" s="1" t="s">
        <v>11</v>
      </c>
      <c r="H865" s="1" t="s">
        <v>38</v>
      </c>
      <c r="I865" t="s">
        <v>13</v>
      </c>
      <c r="J865" t="s">
        <v>13</v>
      </c>
    </row>
    <row r="866" spans="1:11" x14ac:dyDescent="0.35">
      <c r="A866" t="s">
        <v>5</v>
      </c>
      <c r="B866" t="str">
        <f t="shared" si="15"/>
        <v>30241</v>
      </c>
      <c r="C866" t="str">
        <f>"019"</f>
        <v>019</v>
      </c>
      <c r="D866">
        <v>2017</v>
      </c>
      <c r="E866" s="1">
        <v>387200</v>
      </c>
      <c r="F866" s="1">
        <v>-13700</v>
      </c>
      <c r="G866" s="1" t="s">
        <v>48</v>
      </c>
      <c r="H866" s="1" t="s">
        <v>38</v>
      </c>
      <c r="I866" t="s">
        <v>13</v>
      </c>
      <c r="J866" t="s">
        <v>13</v>
      </c>
    </row>
    <row r="867" spans="1:11" x14ac:dyDescent="0.35">
      <c r="A867" t="s">
        <v>5</v>
      </c>
      <c r="B867" t="str">
        <f t="shared" si="15"/>
        <v>30241</v>
      </c>
      <c r="C867" t="str">
        <f>"020"</f>
        <v>020</v>
      </c>
      <c r="D867">
        <v>2017</v>
      </c>
      <c r="E867" s="1">
        <v>18915700</v>
      </c>
      <c r="F867" s="1">
        <v>18911700</v>
      </c>
      <c r="G867" s="1" t="s">
        <v>11</v>
      </c>
      <c r="H867" s="1" t="s">
        <v>38</v>
      </c>
      <c r="I867" t="s">
        <v>13</v>
      </c>
      <c r="J867" t="s">
        <v>13</v>
      </c>
    </row>
    <row r="868" spans="1:11" x14ac:dyDescent="0.35">
      <c r="A868" t="s">
        <v>5</v>
      </c>
      <c r="B868" t="str">
        <f t="shared" si="15"/>
        <v>30241</v>
      </c>
      <c r="C868" t="str">
        <f>"021"</f>
        <v>021</v>
      </c>
      <c r="D868">
        <v>2017</v>
      </c>
      <c r="E868" s="1">
        <v>53358400</v>
      </c>
      <c r="F868" s="1">
        <v>53339000</v>
      </c>
      <c r="G868" s="1" t="s">
        <v>11</v>
      </c>
      <c r="H868" s="1" t="s">
        <v>38</v>
      </c>
      <c r="I868" t="s">
        <v>13</v>
      </c>
      <c r="J868" t="s">
        <v>13</v>
      </c>
    </row>
    <row r="869" spans="1:11" x14ac:dyDescent="0.35">
      <c r="A869" t="s">
        <v>5</v>
      </c>
      <c r="B869" t="str">
        <f t="shared" si="15"/>
        <v>30241</v>
      </c>
      <c r="C869" t="str">
        <f>"023"</f>
        <v>023</v>
      </c>
      <c r="D869">
        <v>2018</v>
      </c>
      <c r="E869" s="1">
        <v>0</v>
      </c>
      <c r="F869" s="1">
        <v>0</v>
      </c>
      <c r="G869" s="1" t="s">
        <v>11</v>
      </c>
      <c r="H869" s="1" t="s">
        <v>38</v>
      </c>
      <c r="I869" t="s">
        <v>13</v>
      </c>
      <c r="J869" t="s">
        <v>13</v>
      </c>
    </row>
    <row r="870" spans="1:11" x14ac:dyDescent="0.35">
      <c r="A870" t="s">
        <v>5</v>
      </c>
      <c r="B870" t="str">
        <f t="shared" si="15"/>
        <v>30241</v>
      </c>
      <c r="C870" t="str">
        <f>"024"</f>
        <v>024</v>
      </c>
      <c r="D870">
        <v>2018</v>
      </c>
      <c r="E870" s="1">
        <v>0</v>
      </c>
      <c r="F870" s="1">
        <v>0</v>
      </c>
      <c r="G870" s="1" t="s">
        <v>11</v>
      </c>
      <c r="H870" s="1" t="s">
        <v>38</v>
      </c>
      <c r="I870" t="s">
        <v>13</v>
      </c>
      <c r="J870" t="s">
        <v>13</v>
      </c>
    </row>
    <row r="871" spans="1:11" x14ac:dyDescent="0.35">
      <c r="A871" t="s">
        <v>5</v>
      </c>
      <c r="B871" t="str">
        <f t="shared" si="15"/>
        <v>30241</v>
      </c>
      <c r="C871" t="str">
        <f>"025"</f>
        <v>025</v>
      </c>
      <c r="D871">
        <v>2018</v>
      </c>
      <c r="E871" s="1">
        <v>144700</v>
      </c>
      <c r="F871" s="1">
        <v>22900</v>
      </c>
      <c r="G871" s="1" t="s">
        <v>11</v>
      </c>
      <c r="H871" s="1" t="s">
        <v>38</v>
      </c>
      <c r="I871" t="s">
        <v>13</v>
      </c>
      <c r="J871" t="s">
        <v>13</v>
      </c>
    </row>
    <row r="872" spans="1:11" x14ac:dyDescent="0.35">
      <c r="A872" t="s">
        <v>5</v>
      </c>
      <c r="B872" t="str">
        <f t="shared" si="15"/>
        <v>30241</v>
      </c>
      <c r="C872" t="str">
        <f>"026"</f>
        <v>026</v>
      </c>
      <c r="D872">
        <v>2018</v>
      </c>
      <c r="E872" s="1">
        <v>28051000</v>
      </c>
      <c r="F872" s="1">
        <v>23415800</v>
      </c>
      <c r="G872" s="1" t="s">
        <v>11</v>
      </c>
      <c r="H872" s="1" t="s">
        <v>38</v>
      </c>
      <c r="I872" t="s">
        <v>13</v>
      </c>
      <c r="J872" t="s">
        <v>13</v>
      </c>
    </row>
    <row r="873" spans="1:11" x14ac:dyDescent="0.35">
      <c r="A873" t="s">
        <v>5</v>
      </c>
      <c r="B873" t="str">
        <f t="shared" si="15"/>
        <v>30241</v>
      </c>
      <c r="C873" t="str">
        <f>"027"</f>
        <v>027</v>
      </c>
      <c r="D873">
        <v>2019</v>
      </c>
      <c r="E873" s="1">
        <v>2942900</v>
      </c>
      <c r="F873" s="1">
        <v>150700</v>
      </c>
      <c r="G873" s="1" t="s">
        <v>11</v>
      </c>
      <c r="H873" s="1" t="s">
        <v>38</v>
      </c>
      <c r="I873" t="s">
        <v>13</v>
      </c>
      <c r="J873" t="s">
        <v>13</v>
      </c>
    </row>
    <row r="874" spans="1:11" x14ac:dyDescent="0.35">
      <c r="A874" t="s">
        <v>5</v>
      </c>
      <c r="B874" t="str">
        <f t="shared" si="15"/>
        <v>30241</v>
      </c>
      <c r="C874" t="str">
        <f>"028"</f>
        <v>028</v>
      </c>
      <c r="D874">
        <v>2020</v>
      </c>
      <c r="E874" s="1">
        <v>232954000</v>
      </c>
      <c r="F874" s="1">
        <v>107789100</v>
      </c>
      <c r="G874" s="1" t="s">
        <v>11</v>
      </c>
      <c r="H874" s="1" t="s">
        <v>38</v>
      </c>
      <c r="I874" t="s">
        <v>13</v>
      </c>
      <c r="J874" t="s">
        <v>13</v>
      </c>
    </row>
    <row r="875" spans="1:11" x14ac:dyDescent="0.35">
      <c r="A875" t="s">
        <v>5</v>
      </c>
      <c r="B875" t="str">
        <f t="shared" si="15"/>
        <v>30241</v>
      </c>
      <c r="C875" t="str">
        <f>"029"</f>
        <v>029</v>
      </c>
      <c r="D875">
        <v>2020</v>
      </c>
      <c r="E875" s="1">
        <v>19234400</v>
      </c>
      <c r="F875" s="1">
        <v>1460000</v>
      </c>
      <c r="G875" s="1" t="s">
        <v>11</v>
      </c>
      <c r="H875" s="1" t="s">
        <v>38</v>
      </c>
      <c r="I875" t="s">
        <v>13</v>
      </c>
      <c r="J875" t="s">
        <v>13</v>
      </c>
    </row>
    <row r="876" spans="1:11" x14ac:dyDescent="0.35">
      <c r="A876" t="s">
        <v>5</v>
      </c>
      <c r="B876" t="str">
        <f t="shared" si="15"/>
        <v>30241</v>
      </c>
      <c r="C876" t="str">
        <f>"030"</f>
        <v>030</v>
      </c>
      <c r="D876">
        <v>2020</v>
      </c>
      <c r="E876" s="1">
        <v>320200</v>
      </c>
      <c r="F876" s="1">
        <v>19700</v>
      </c>
      <c r="G876" s="1" t="s">
        <v>11</v>
      </c>
      <c r="H876" s="1" t="s">
        <v>38</v>
      </c>
      <c r="I876" t="s">
        <v>13</v>
      </c>
      <c r="J876" t="s">
        <v>13</v>
      </c>
    </row>
    <row r="877" spans="1:11" x14ac:dyDescent="0.35">
      <c r="A877" t="s">
        <v>5</v>
      </c>
      <c r="B877" t="str">
        <f t="shared" si="15"/>
        <v>30241</v>
      </c>
      <c r="C877" t="str">
        <f>"031"</f>
        <v>031</v>
      </c>
      <c r="D877">
        <v>2020</v>
      </c>
      <c r="E877" s="1">
        <v>221400</v>
      </c>
      <c r="F877" s="1">
        <v>6500</v>
      </c>
      <c r="G877" s="1" t="s">
        <v>11</v>
      </c>
      <c r="H877" s="1" t="s">
        <v>38</v>
      </c>
      <c r="I877" t="s">
        <v>13</v>
      </c>
      <c r="J877" t="s">
        <v>13</v>
      </c>
    </row>
    <row r="878" spans="1:11" x14ac:dyDescent="0.35">
      <c r="A878" t="s">
        <v>39</v>
      </c>
      <c r="B878" t="s">
        <v>13</v>
      </c>
      <c r="C878" t="s">
        <v>7</v>
      </c>
      <c r="D878" t="s">
        <v>8</v>
      </c>
      <c r="E878" s="1">
        <v>1151280700</v>
      </c>
      <c r="F878" s="1">
        <v>935801100</v>
      </c>
      <c r="G878" s="1" t="s">
        <v>11</v>
      </c>
      <c r="H878" s="1">
        <v>8308462100</v>
      </c>
      <c r="I878" t="s">
        <v>13</v>
      </c>
      <c r="J878" t="s">
        <v>13</v>
      </c>
      <c r="K878">
        <v>11.26</v>
      </c>
    </row>
    <row r="879" spans="1:11" x14ac:dyDescent="0.35">
      <c r="E879" s="1"/>
      <c r="F879" s="1"/>
      <c r="G879" s="1"/>
      <c r="H879" s="1"/>
    </row>
    <row r="880" spans="1:11" x14ac:dyDescent="0.35">
      <c r="A880" t="s">
        <v>217</v>
      </c>
      <c r="B880" t="str">
        <f>"66142"</f>
        <v>66142</v>
      </c>
      <c r="C880" t="str">
        <f>"002"</f>
        <v>002</v>
      </c>
      <c r="D880">
        <v>2005</v>
      </c>
      <c r="E880" s="1">
        <v>32664600</v>
      </c>
      <c r="F880" s="1">
        <v>29795900</v>
      </c>
      <c r="G880" s="1" t="s">
        <v>11</v>
      </c>
      <c r="H880" s="1" t="s">
        <v>38</v>
      </c>
      <c r="I880" t="s">
        <v>13</v>
      </c>
      <c r="J880" t="s">
        <v>13</v>
      </c>
    </row>
    <row r="881" spans="1:11" x14ac:dyDescent="0.35">
      <c r="A881" t="s">
        <v>39</v>
      </c>
      <c r="B881" t="s">
        <v>13</v>
      </c>
      <c r="C881" t="s">
        <v>7</v>
      </c>
      <c r="D881" t="s">
        <v>8</v>
      </c>
      <c r="E881" s="1">
        <v>32664600</v>
      </c>
      <c r="F881" s="1">
        <v>29795900</v>
      </c>
      <c r="G881" s="1" t="s">
        <v>11</v>
      </c>
      <c r="H881" s="1">
        <v>392538400</v>
      </c>
      <c r="I881" t="s">
        <v>13</v>
      </c>
      <c r="J881" t="s">
        <v>13</v>
      </c>
      <c r="K881">
        <v>7.59</v>
      </c>
    </row>
    <row r="882" spans="1:11" x14ac:dyDescent="0.35">
      <c r="E882" s="1"/>
      <c r="F882" s="1"/>
      <c r="G882" s="1"/>
      <c r="H882" s="1"/>
    </row>
    <row r="883" spans="1:11" x14ac:dyDescent="0.35">
      <c r="A883" t="s">
        <v>218</v>
      </c>
      <c r="B883" t="str">
        <f>"31241"</f>
        <v>31241</v>
      </c>
      <c r="C883" t="str">
        <f>"002"</f>
        <v>002</v>
      </c>
      <c r="D883">
        <v>1994</v>
      </c>
      <c r="E883" s="1">
        <v>7514600</v>
      </c>
      <c r="F883" s="1">
        <v>7115600</v>
      </c>
      <c r="G883" s="1" t="s">
        <v>11</v>
      </c>
      <c r="H883" s="1" t="s">
        <v>38</v>
      </c>
      <c r="I883" t="s">
        <v>13</v>
      </c>
      <c r="J883" t="s">
        <v>13</v>
      </c>
    </row>
    <row r="884" spans="1:11" x14ac:dyDescent="0.35">
      <c r="A884" t="s">
        <v>5</v>
      </c>
      <c r="B884" t="str">
        <f>"31241"</f>
        <v>31241</v>
      </c>
      <c r="C884" t="str">
        <f>"003"</f>
        <v>003</v>
      </c>
      <c r="D884">
        <v>2020</v>
      </c>
      <c r="E884" s="1">
        <v>5406600</v>
      </c>
      <c r="F884" s="1">
        <v>-285500</v>
      </c>
      <c r="G884" s="1" t="s">
        <v>48</v>
      </c>
      <c r="H884" s="1" t="s">
        <v>38</v>
      </c>
      <c r="I884" t="s">
        <v>13</v>
      </c>
      <c r="J884" t="s">
        <v>13</v>
      </c>
    </row>
    <row r="885" spans="1:11" x14ac:dyDescent="0.35">
      <c r="A885" t="s">
        <v>39</v>
      </c>
      <c r="B885" t="s">
        <v>13</v>
      </c>
      <c r="C885" t="s">
        <v>7</v>
      </c>
      <c r="D885" t="s">
        <v>8</v>
      </c>
      <c r="E885" s="1">
        <v>12921200</v>
      </c>
      <c r="F885" s="1">
        <v>7115600</v>
      </c>
      <c r="G885" s="1" t="s">
        <v>11</v>
      </c>
      <c r="H885" s="1">
        <v>183750200</v>
      </c>
      <c r="I885" t="s">
        <v>13</v>
      </c>
      <c r="J885" t="s">
        <v>13</v>
      </c>
      <c r="K885">
        <v>3.87</v>
      </c>
    </row>
    <row r="886" spans="1:11" x14ac:dyDescent="0.35">
      <c r="E886" s="1"/>
      <c r="F886" s="1"/>
      <c r="G886" s="1"/>
      <c r="H886" s="1"/>
    </row>
    <row r="887" spans="1:11" x14ac:dyDescent="0.35">
      <c r="A887" t="s">
        <v>219</v>
      </c>
      <c r="B887" t="str">
        <f>"36241"</f>
        <v>36241</v>
      </c>
      <c r="C887" t="str">
        <f>"004"</f>
        <v>004</v>
      </c>
      <c r="D887">
        <v>2011</v>
      </c>
      <c r="E887" s="1">
        <v>30071700</v>
      </c>
      <c r="F887" s="1">
        <v>26374600</v>
      </c>
      <c r="G887" s="1" t="s">
        <v>11</v>
      </c>
      <c r="H887" s="1" t="s">
        <v>38</v>
      </c>
      <c r="I887" t="s">
        <v>13</v>
      </c>
      <c r="J887" t="s">
        <v>13</v>
      </c>
    </row>
    <row r="888" spans="1:11" x14ac:dyDescent="0.35">
      <c r="A888" t="s">
        <v>5</v>
      </c>
      <c r="B888" t="str">
        <f>"08241"</f>
        <v>08241</v>
      </c>
      <c r="C888" t="str">
        <f>"005"</f>
        <v>005</v>
      </c>
      <c r="D888">
        <v>2014</v>
      </c>
      <c r="E888" s="1">
        <v>31547700</v>
      </c>
      <c r="F888" s="1">
        <v>20612700</v>
      </c>
      <c r="G888" s="1" t="s">
        <v>11</v>
      </c>
      <c r="H888" s="1" t="s">
        <v>38</v>
      </c>
      <c r="I888" t="s">
        <v>13</v>
      </c>
      <c r="J888" t="s">
        <v>13</v>
      </c>
    </row>
    <row r="889" spans="1:11" x14ac:dyDescent="0.35">
      <c r="A889" t="s">
        <v>39</v>
      </c>
      <c r="B889" t="s">
        <v>13</v>
      </c>
      <c r="C889" t="s">
        <v>7</v>
      </c>
      <c r="D889" t="s">
        <v>8</v>
      </c>
      <c r="E889" s="1">
        <v>61619400</v>
      </c>
      <c r="F889" s="1">
        <v>46987300</v>
      </c>
      <c r="G889" s="1" t="s">
        <v>11</v>
      </c>
      <c r="H889" s="1">
        <v>366745600</v>
      </c>
      <c r="I889" t="s">
        <v>13</v>
      </c>
      <c r="J889" t="s">
        <v>13</v>
      </c>
      <c r="K889">
        <v>12.81</v>
      </c>
    </row>
    <row r="890" spans="1:11" x14ac:dyDescent="0.35">
      <c r="E890" s="1"/>
      <c r="F890" s="1"/>
      <c r="G890" s="1"/>
      <c r="H890" s="1"/>
    </row>
    <row r="891" spans="1:11" x14ac:dyDescent="0.35">
      <c r="A891" t="s">
        <v>220</v>
      </c>
      <c r="B891" t="str">
        <f>"44141"</f>
        <v>44141</v>
      </c>
      <c r="C891" t="str">
        <f>"004"</f>
        <v>004</v>
      </c>
      <c r="D891">
        <v>2005</v>
      </c>
      <c r="E891" s="1">
        <v>11709700</v>
      </c>
      <c r="F891" s="1">
        <v>10931500</v>
      </c>
      <c r="G891" s="1" t="s">
        <v>11</v>
      </c>
      <c r="H891" s="1" t="s">
        <v>38</v>
      </c>
      <c r="I891" t="s">
        <v>13</v>
      </c>
      <c r="J891" t="s">
        <v>13</v>
      </c>
    </row>
    <row r="892" spans="1:11" x14ac:dyDescent="0.35">
      <c r="A892" t="s">
        <v>5</v>
      </c>
      <c r="B892" t="str">
        <f>"44141"</f>
        <v>44141</v>
      </c>
      <c r="C892" t="str">
        <f>"005"</f>
        <v>005</v>
      </c>
      <c r="D892">
        <v>2008</v>
      </c>
      <c r="E892" s="1">
        <v>50486400</v>
      </c>
      <c r="F892" s="1">
        <v>39141300</v>
      </c>
      <c r="G892" s="1" t="s">
        <v>11</v>
      </c>
      <c r="H892" s="1" t="s">
        <v>38</v>
      </c>
      <c r="I892" t="s">
        <v>13</v>
      </c>
      <c r="J892" t="s">
        <v>13</v>
      </c>
    </row>
    <row r="893" spans="1:11" x14ac:dyDescent="0.35">
      <c r="A893" t="s">
        <v>5</v>
      </c>
      <c r="B893" t="str">
        <f>"44141"</f>
        <v>44141</v>
      </c>
      <c r="C893" t="str">
        <f>"006"</f>
        <v>006</v>
      </c>
      <c r="D893">
        <v>2016</v>
      </c>
      <c r="E893" s="1">
        <v>90411200</v>
      </c>
      <c r="F893" s="1">
        <v>71892100</v>
      </c>
      <c r="G893" s="1" t="s">
        <v>11</v>
      </c>
      <c r="H893" s="1" t="s">
        <v>38</v>
      </c>
      <c r="I893" t="s">
        <v>13</v>
      </c>
      <c r="J893" t="s">
        <v>13</v>
      </c>
    </row>
    <row r="894" spans="1:11" x14ac:dyDescent="0.35">
      <c r="A894" t="s">
        <v>39</v>
      </c>
      <c r="B894" t="s">
        <v>13</v>
      </c>
      <c r="C894" t="s">
        <v>7</v>
      </c>
      <c r="D894" t="s">
        <v>8</v>
      </c>
      <c r="E894" s="1">
        <v>152607300</v>
      </c>
      <c r="F894" s="1">
        <v>121964900</v>
      </c>
      <c r="G894" s="1" t="s">
        <v>11</v>
      </c>
      <c r="H894" s="1">
        <v>679562800</v>
      </c>
      <c r="I894" t="s">
        <v>13</v>
      </c>
      <c r="J894" t="s">
        <v>13</v>
      </c>
      <c r="K894">
        <v>17.95</v>
      </c>
    </row>
    <row r="895" spans="1:11" x14ac:dyDescent="0.35">
      <c r="E895" s="1"/>
      <c r="F895" s="1"/>
      <c r="G895" s="1"/>
      <c r="H895" s="1"/>
    </row>
    <row r="896" spans="1:11" x14ac:dyDescent="0.35">
      <c r="A896" t="s">
        <v>221</v>
      </c>
      <c r="B896" t="str">
        <f>"17141"</f>
        <v>17141</v>
      </c>
      <c r="C896" t="str">
        <f>"003"</f>
        <v>003</v>
      </c>
      <c r="D896">
        <v>2005</v>
      </c>
      <c r="E896" s="1">
        <v>2952900</v>
      </c>
      <c r="F896" s="1">
        <v>2751700</v>
      </c>
      <c r="G896" s="1" t="s">
        <v>11</v>
      </c>
      <c r="H896" s="1" t="s">
        <v>38</v>
      </c>
      <c r="I896" t="s">
        <v>13</v>
      </c>
      <c r="J896" t="s">
        <v>13</v>
      </c>
    </row>
    <row r="897" spans="1:11" x14ac:dyDescent="0.35">
      <c r="A897" t="s">
        <v>39</v>
      </c>
      <c r="B897" t="s">
        <v>13</v>
      </c>
      <c r="C897" t="s">
        <v>7</v>
      </c>
      <c r="D897" t="s">
        <v>8</v>
      </c>
      <c r="E897" s="1">
        <v>2952900</v>
      </c>
      <c r="F897" s="1">
        <v>2751700</v>
      </c>
      <c r="G897" s="1" t="s">
        <v>11</v>
      </c>
      <c r="H897" s="1">
        <v>23294100</v>
      </c>
      <c r="I897" t="s">
        <v>13</v>
      </c>
      <c r="J897" t="s">
        <v>13</v>
      </c>
      <c r="K897">
        <v>11.81</v>
      </c>
    </row>
    <row r="898" spans="1:11" x14ac:dyDescent="0.35">
      <c r="E898" s="1"/>
      <c r="F898" s="1"/>
      <c r="G898" s="1"/>
      <c r="H898" s="1"/>
    </row>
    <row r="899" spans="1:11" x14ac:dyDescent="0.35">
      <c r="A899" t="s">
        <v>222</v>
      </c>
      <c r="B899" t="str">
        <f>"37145"</f>
        <v>37145</v>
      </c>
      <c r="C899" t="str">
        <f>"001"</f>
        <v>001</v>
      </c>
      <c r="D899">
        <v>2005</v>
      </c>
      <c r="E899" s="1">
        <v>17978800</v>
      </c>
      <c r="F899" s="1">
        <v>15716500</v>
      </c>
      <c r="G899" s="1" t="s">
        <v>11</v>
      </c>
      <c r="H899" s="1" t="s">
        <v>38</v>
      </c>
      <c r="I899" t="s">
        <v>13</v>
      </c>
      <c r="J899" t="s">
        <v>13</v>
      </c>
    </row>
    <row r="900" spans="1:11" x14ac:dyDescent="0.35">
      <c r="A900" t="s">
        <v>5</v>
      </c>
      <c r="B900" t="str">
        <f>"37145"</f>
        <v>37145</v>
      </c>
      <c r="C900" t="str">
        <f>"002"</f>
        <v>002</v>
      </c>
      <c r="D900">
        <v>2005</v>
      </c>
      <c r="E900" s="1">
        <v>47482400</v>
      </c>
      <c r="F900" s="1">
        <v>42083800</v>
      </c>
      <c r="G900" s="1" t="s">
        <v>11</v>
      </c>
      <c r="H900" s="1" t="s">
        <v>38</v>
      </c>
      <c r="I900" t="s">
        <v>13</v>
      </c>
      <c r="J900" t="s">
        <v>13</v>
      </c>
    </row>
    <row r="901" spans="1:11" x14ac:dyDescent="0.35">
      <c r="A901" t="s">
        <v>5</v>
      </c>
      <c r="B901" t="str">
        <f>"37145"</f>
        <v>37145</v>
      </c>
      <c r="C901" t="str">
        <f>"003"</f>
        <v>003</v>
      </c>
      <c r="D901">
        <v>2005</v>
      </c>
      <c r="E901" s="1">
        <v>1056600</v>
      </c>
      <c r="F901" s="1">
        <v>651500</v>
      </c>
      <c r="G901" s="1" t="s">
        <v>11</v>
      </c>
      <c r="H901" s="1" t="s">
        <v>38</v>
      </c>
      <c r="I901" t="s">
        <v>13</v>
      </c>
      <c r="J901" t="s">
        <v>13</v>
      </c>
    </row>
    <row r="902" spans="1:11" x14ac:dyDescent="0.35">
      <c r="A902" t="s">
        <v>5</v>
      </c>
      <c r="B902" t="str">
        <f>"37145"</f>
        <v>37145</v>
      </c>
      <c r="C902" t="str">
        <f>"004"</f>
        <v>004</v>
      </c>
      <c r="D902">
        <v>2005</v>
      </c>
      <c r="E902" s="1">
        <v>5921500</v>
      </c>
      <c r="F902" s="1">
        <v>5814900</v>
      </c>
      <c r="G902" s="1" t="s">
        <v>11</v>
      </c>
      <c r="H902" s="1" t="s">
        <v>38</v>
      </c>
      <c r="I902" t="s">
        <v>13</v>
      </c>
      <c r="J902" t="s">
        <v>13</v>
      </c>
    </row>
    <row r="903" spans="1:11" x14ac:dyDescent="0.35">
      <c r="A903" t="s">
        <v>39</v>
      </c>
      <c r="B903" t="s">
        <v>13</v>
      </c>
      <c r="C903" t="s">
        <v>7</v>
      </c>
      <c r="D903" t="s">
        <v>8</v>
      </c>
      <c r="E903" s="1">
        <v>72439300</v>
      </c>
      <c r="F903" s="1">
        <v>64266700</v>
      </c>
      <c r="G903" s="1" t="s">
        <v>11</v>
      </c>
      <c r="H903" s="1">
        <v>741690200</v>
      </c>
      <c r="I903" t="s">
        <v>13</v>
      </c>
      <c r="J903" t="s">
        <v>13</v>
      </c>
      <c r="K903">
        <v>8.66</v>
      </c>
    </row>
    <row r="904" spans="1:11" x14ac:dyDescent="0.35">
      <c r="E904" s="1"/>
      <c r="F904" s="1"/>
      <c r="G904" s="1"/>
      <c r="H904" s="1"/>
    </row>
    <row r="905" spans="1:11" x14ac:dyDescent="0.35">
      <c r="A905" t="s">
        <v>223</v>
      </c>
      <c r="B905" t="str">
        <f t="shared" ref="B905:B915" si="16">"32246"</f>
        <v>32246</v>
      </c>
      <c r="C905" t="str">
        <f>"010"</f>
        <v>010</v>
      </c>
      <c r="D905">
        <v>2003</v>
      </c>
      <c r="E905" s="1">
        <v>15429800</v>
      </c>
      <c r="F905" s="1">
        <v>12889700</v>
      </c>
      <c r="G905" s="1" t="s">
        <v>11</v>
      </c>
      <c r="H905" s="1" t="s">
        <v>38</v>
      </c>
      <c r="I905" t="s">
        <v>13</v>
      </c>
      <c r="J905" t="s">
        <v>13</v>
      </c>
    </row>
    <row r="906" spans="1:11" x14ac:dyDescent="0.35">
      <c r="A906" t="s">
        <v>5</v>
      </c>
      <c r="B906" t="str">
        <f t="shared" si="16"/>
        <v>32246</v>
      </c>
      <c r="C906" t="str">
        <f>"011"</f>
        <v>011</v>
      </c>
      <c r="D906">
        <v>2005</v>
      </c>
      <c r="E906" s="1">
        <v>334785000</v>
      </c>
      <c r="F906" s="1">
        <v>201829200</v>
      </c>
      <c r="G906" s="1" t="s">
        <v>11</v>
      </c>
      <c r="H906" s="1" t="s">
        <v>38</v>
      </c>
      <c r="I906" t="s">
        <v>13</v>
      </c>
      <c r="J906" t="s">
        <v>13</v>
      </c>
    </row>
    <row r="907" spans="1:11" x14ac:dyDescent="0.35">
      <c r="A907" t="s">
        <v>5</v>
      </c>
      <c r="B907" t="str">
        <f t="shared" si="16"/>
        <v>32246</v>
      </c>
      <c r="C907" t="str">
        <f>"012"</f>
        <v>012</v>
      </c>
      <c r="D907">
        <v>2005</v>
      </c>
      <c r="E907" s="1">
        <v>45154800</v>
      </c>
      <c r="F907" s="1">
        <v>25791000</v>
      </c>
      <c r="G907" s="1" t="s">
        <v>11</v>
      </c>
      <c r="H907" s="1" t="s">
        <v>38</v>
      </c>
      <c r="I907" t="s">
        <v>13</v>
      </c>
      <c r="J907" t="s">
        <v>13</v>
      </c>
    </row>
    <row r="908" spans="1:11" x14ac:dyDescent="0.35">
      <c r="A908" t="s">
        <v>5</v>
      </c>
      <c r="B908" t="str">
        <f t="shared" si="16"/>
        <v>32246</v>
      </c>
      <c r="C908" t="str">
        <f>"013"</f>
        <v>013</v>
      </c>
      <c r="D908">
        <v>2006</v>
      </c>
      <c r="E908" s="1">
        <v>212712100</v>
      </c>
      <c r="F908" s="1">
        <v>158986300</v>
      </c>
      <c r="G908" s="1" t="s">
        <v>11</v>
      </c>
      <c r="H908" s="1" t="s">
        <v>38</v>
      </c>
      <c r="I908" t="s">
        <v>13</v>
      </c>
      <c r="J908" t="s">
        <v>13</v>
      </c>
    </row>
    <row r="909" spans="1:11" x14ac:dyDescent="0.35">
      <c r="A909" t="s">
        <v>5</v>
      </c>
      <c r="B909" t="str">
        <f t="shared" si="16"/>
        <v>32246</v>
      </c>
      <c r="C909" t="str">
        <f>"014"</f>
        <v>014</v>
      </c>
      <c r="D909">
        <v>2006</v>
      </c>
      <c r="E909" s="1">
        <v>133070500</v>
      </c>
      <c r="F909" s="1">
        <v>72323200</v>
      </c>
      <c r="G909" s="1" t="s">
        <v>11</v>
      </c>
      <c r="H909" s="1" t="s">
        <v>38</v>
      </c>
      <c r="I909" t="s">
        <v>13</v>
      </c>
      <c r="J909" t="s">
        <v>13</v>
      </c>
    </row>
    <row r="910" spans="1:11" x14ac:dyDescent="0.35">
      <c r="A910" t="s">
        <v>5</v>
      </c>
      <c r="B910" t="str">
        <f t="shared" si="16"/>
        <v>32246</v>
      </c>
      <c r="C910" t="str">
        <f>"015"</f>
        <v>015</v>
      </c>
      <c r="D910">
        <v>2013</v>
      </c>
      <c r="E910" s="1">
        <v>102177200</v>
      </c>
      <c r="F910" s="1">
        <v>39375200</v>
      </c>
      <c r="G910" s="1" t="s">
        <v>11</v>
      </c>
      <c r="H910" s="1" t="s">
        <v>38</v>
      </c>
      <c r="I910" t="s">
        <v>13</v>
      </c>
      <c r="J910" t="s">
        <v>13</v>
      </c>
    </row>
    <row r="911" spans="1:11" x14ac:dyDescent="0.35">
      <c r="A911" t="s">
        <v>5</v>
      </c>
      <c r="B911" t="str">
        <f t="shared" si="16"/>
        <v>32246</v>
      </c>
      <c r="C911" t="str">
        <f>"016"</f>
        <v>016</v>
      </c>
      <c r="D911">
        <v>2014</v>
      </c>
      <c r="E911" s="1">
        <v>32644000</v>
      </c>
      <c r="F911" s="1">
        <v>14556700</v>
      </c>
      <c r="G911" s="1" t="s">
        <v>11</v>
      </c>
      <c r="H911" s="1" t="s">
        <v>38</v>
      </c>
      <c r="I911" t="s">
        <v>13</v>
      </c>
      <c r="J911" t="s">
        <v>13</v>
      </c>
    </row>
    <row r="912" spans="1:11" x14ac:dyDescent="0.35">
      <c r="A912" t="s">
        <v>5</v>
      </c>
      <c r="B912" t="str">
        <f t="shared" si="16"/>
        <v>32246</v>
      </c>
      <c r="C912" t="str">
        <f>"017"</f>
        <v>017</v>
      </c>
      <c r="D912">
        <v>2015</v>
      </c>
      <c r="E912" s="1">
        <v>102065200</v>
      </c>
      <c r="F912" s="1">
        <v>90320600</v>
      </c>
      <c r="G912" s="1" t="s">
        <v>11</v>
      </c>
      <c r="H912" s="1" t="s">
        <v>38</v>
      </c>
      <c r="I912" t="s">
        <v>13</v>
      </c>
      <c r="J912" t="s">
        <v>13</v>
      </c>
    </row>
    <row r="913" spans="1:11" x14ac:dyDescent="0.35">
      <c r="A913" t="s">
        <v>5</v>
      </c>
      <c r="B913" t="str">
        <f t="shared" si="16"/>
        <v>32246</v>
      </c>
      <c r="C913" t="str">
        <f>"018"</f>
        <v>018</v>
      </c>
      <c r="D913">
        <v>2020</v>
      </c>
      <c r="E913" s="1">
        <v>7463000</v>
      </c>
      <c r="F913" s="1">
        <v>616600</v>
      </c>
      <c r="G913" s="1" t="s">
        <v>11</v>
      </c>
      <c r="H913" s="1" t="s">
        <v>38</v>
      </c>
      <c r="I913" t="s">
        <v>13</v>
      </c>
      <c r="J913" t="s">
        <v>13</v>
      </c>
    </row>
    <row r="914" spans="1:11" x14ac:dyDescent="0.35">
      <c r="A914" t="s">
        <v>5</v>
      </c>
      <c r="B914" t="str">
        <f t="shared" si="16"/>
        <v>32246</v>
      </c>
      <c r="C914" t="str">
        <f>"019"</f>
        <v>019</v>
      </c>
      <c r="D914">
        <v>2020</v>
      </c>
      <c r="E914" s="1">
        <v>4528700</v>
      </c>
      <c r="F914" s="1">
        <v>-532400</v>
      </c>
      <c r="G914" s="1" t="s">
        <v>48</v>
      </c>
      <c r="H914" s="1" t="s">
        <v>38</v>
      </c>
      <c r="I914" t="s">
        <v>13</v>
      </c>
      <c r="J914" t="s">
        <v>13</v>
      </c>
    </row>
    <row r="915" spans="1:11" x14ac:dyDescent="0.35">
      <c r="A915" t="s">
        <v>5</v>
      </c>
      <c r="B915" t="str">
        <f t="shared" si="16"/>
        <v>32246</v>
      </c>
      <c r="C915" t="str">
        <f>"020"</f>
        <v>020</v>
      </c>
      <c r="D915">
        <v>2020</v>
      </c>
      <c r="E915" s="1">
        <v>16153500</v>
      </c>
      <c r="F915" s="1">
        <v>965900</v>
      </c>
      <c r="G915" s="1" t="s">
        <v>11</v>
      </c>
      <c r="H915" s="1" t="s">
        <v>38</v>
      </c>
      <c r="I915" t="s">
        <v>13</v>
      </c>
      <c r="J915" t="s">
        <v>13</v>
      </c>
    </row>
    <row r="916" spans="1:11" x14ac:dyDescent="0.35">
      <c r="A916" t="s">
        <v>39</v>
      </c>
      <c r="B916" t="s">
        <v>13</v>
      </c>
      <c r="C916" t="s">
        <v>7</v>
      </c>
      <c r="D916" t="s">
        <v>8</v>
      </c>
      <c r="E916" s="1">
        <v>1006183800</v>
      </c>
      <c r="F916" s="1">
        <v>617654400</v>
      </c>
      <c r="G916" s="1" t="s">
        <v>11</v>
      </c>
      <c r="H916" s="1">
        <v>4672574900</v>
      </c>
      <c r="I916" t="s">
        <v>13</v>
      </c>
      <c r="J916" t="s">
        <v>13</v>
      </c>
      <c r="K916">
        <v>13.22</v>
      </c>
    </row>
    <row r="917" spans="1:11" x14ac:dyDescent="0.35">
      <c r="E917" s="1"/>
      <c r="F917" s="1"/>
      <c r="G917" s="1"/>
      <c r="H917" s="1"/>
    </row>
    <row r="918" spans="1:11" x14ac:dyDescent="0.35">
      <c r="A918" t="s">
        <v>224</v>
      </c>
      <c r="B918" t="str">
        <f>"62146"</f>
        <v>62146</v>
      </c>
      <c r="C918" t="str">
        <f>"001"</f>
        <v>001</v>
      </c>
      <c r="D918">
        <v>2003</v>
      </c>
      <c r="E918" s="1">
        <v>11370600</v>
      </c>
      <c r="F918" s="1">
        <v>11252300</v>
      </c>
      <c r="G918" s="1" t="s">
        <v>11</v>
      </c>
      <c r="H918" s="1" t="s">
        <v>38</v>
      </c>
      <c r="I918" t="s">
        <v>13</v>
      </c>
      <c r="J918" t="s">
        <v>13</v>
      </c>
    </row>
    <row r="919" spans="1:11" x14ac:dyDescent="0.35">
      <c r="A919" t="s">
        <v>39</v>
      </c>
      <c r="B919" t="s">
        <v>13</v>
      </c>
      <c r="C919" t="s">
        <v>7</v>
      </c>
      <c r="D919" t="s">
        <v>8</v>
      </c>
      <c r="E919" s="1">
        <v>11370600</v>
      </c>
      <c r="F919" s="1">
        <v>11252300</v>
      </c>
      <c r="G919" s="1" t="s">
        <v>11</v>
      </c>
      <c r="H919" s="1">
        <v>41757500</v>
      </c>
      <c r="I919" t="s">
        <v>13</v>
      </c>
      <c r="J919" t="s">
        <v>13</v>
      </c>
      <c r="K919">
        <v>26.95</v>
      </c>
    </row>
    <row r="920" spans="1:11" x14ac:dyDescent="0.35">
      <c r="E920" s="1"/>
      <c r="F920" s="1"/>
      <c r="G920" s="1"/>
      <c r="H920" s="1"/>
    </row>
    <row r="921" spans="1:11" x14ac:dyDescent="0.35">
      <c r="A921" t="s">
        <v>225</v>
      </c>
      <c r="B921" t="str">
        <f>"54246"</f>
        <v>54246</v>
      </c>
      <c r="C921" t="str">
        <f>"008"</f>
        <v>008</v>
      </c>
      <c r="D921">
        <v>2003</v>
      </c>
      <c r="E921" s="1">
        <v>5189100</v>
      </c>
      <c r="F921" s="1">
        <v>4329100</v>
      </c>
      <c r="G921" s="1" t="s">
        <v>11</v>
      </c>
      <c r="H921" s="1" t="s">
        <v>38</v>
      </c>
      <c r="I921" t="s">
        <v>13</v>
      </c>
      <c r="J921" t="s">
        <v>13</v>
      </c>
    </row>
    <row r="922" spans="1:11" x14ac:dyDescent="0.35">
      <c r="A922" t="s">
        <v>5</v>
      </c>
      <c r="B922" t="str">
        <f>"54246"</f>
        <v>54246</v>
      </c>
      <c r="C922" t="str">
        <f>"009"</f>
        <v>009</v>
      </c>
      <c r="D922">
        <v>2006</v>
      </c>
      <c r="E922" s="1">
        <v>7136200</v>
      </c>
      <c r="F922" s="1">
        <v>6653900</v>
      </c>
      <c r="G922" s="1" t="s">
        <v>11</v>
      </c>
      <c r="H922" s="1" t="s">
        <v>38</v>
      </c>
      <c r="I922" t="s">
        <v>13</v>
      </c>
      <c r="J922" t="s">
        <v>13</v>
      </c>
    </row>
    <row r="923" spans="1:11" x14ac:dyDescent="0.35">
      <c r="A923" t="s">
        <v>5</v>
      </c>
      <c r="B923" t="str">
        <f>"54246"</f>
        <v>54246</v>
      </c>
      <c r="C923" t="str">
        <f>"010"</f>
        <v>010</v>
      </c>
      <c r="D923">
        <v>2007</v>
      </c>
      <c r="E923" s="1">
        <v>2010300</v>
      </c>
      <c r="F923" s="1">
        <v>1606800</v>
      </c>
      <c r="G923" s="1" t="s">
        <v>11</v>
      </c>
      <c r="H923" s="1" t="s">
        <v>38</v>
      </c>
      <c r="I923" t="s">
        <v>13</v>
      </c>
      <c r="J923" t="s">
        <v>13</v>
      </c>
    </row>
    <row r="924" spans="1:11" x14ac:dyDescent="0.35">
      <c r="A924" t="s">
        <v>5</v>
      </c>
      <c r="B924" t="str">
        <f>"54246"</f>
        <v>54246</v>
      </c>
      <c r="C924" t="str">
        <f>"011"</f>
        <v>011</v>
      </c>
      <c r="D924">
        <v>2011</v>
      </c>
      <c r="E924" s="1">
        <v>7028000</v>
      </c>
      <c r="F924" s="1">
        <v>6997800</v>
      </c>
      <c r="G924" s="1" t="s">
        <v>11</v>
      </c>
      <c r="H924" s="1" t="s">
        <v>38</v>
      </c>
      <c r="I924" t="s">
        <v>13</v>
      </c>
      <c r="J924" t="s">
        <v>13</v>
      </c>
    </row>
    <row r="925" spans="1:11" x14ac:dyDescent="0.35">
      <c r="A925" t="s">
        <v>5</v>
      </c>
      <c r="B925" t="str">
        <f>"54246"</f>
        <v>54246</v>
      </c>
      <c r="C925" t="str">
        <f>"012"</f>
        <v>012</v>
      </c>
      <c r="D925">
        <v>2020</v>
      </c>
      <c r="E925" s="1">
        <v>0</v>
      </c>
      <c r="F925" s="1">
        <v>0</v>
      </c>
      <c r="G925" s="1" t="s">
        <v>11</v>
      </c>
      <c r="H925" s="1" t="s">
        <v>38</v>
      </c>
      <c r="I925" t="s">
        <v>13</v>
      </c>
      <c r="J925" t="s">
        <v>13</v>
      </c>
    </row>
    <row r="926" spans="1:11" x14ac:dyDescent="0.35">
      <c r="A926" t="s">
        <v>39</v>
      </c>
      <c r="B926" t="s">
        <v>13</v>
      </c>
      <c r="C926" t="s">
        <v>7</v>
      </c>
      <c r="D926" t="s">
        <v>8</v>
      </c>
      <c r="E926" s="1">
        <v>21363600</v>
      </c>
      <c r="F926" s="1">
        <v>19587600</v>
      </c>
      <c r="G926" s="1" t="s">
        <v>11</v>
      </c>
      <c r="H926" s="1">
        <v>169684600</v>
      </c>
      <c r="I926" t="s">
        <v>13</v>
      </c>
      <c r="J926" t="s">
        <v>13</v>
      </c>
      <c r="K926">
        <v>11.54</v>
      </c>
    </row>
    <row r="927" spans="1:11" x14ac:dyDescent="0.35">
      <c r="E927" s="1"/>
      <c r="F927" s="1"/>
      <c r="G927" s="1"/>
      <c r="H927" s="1"/>
    </row>
    <row r="928" spans="1:11" x14ac:dyDescent="0.35">
      <c r="A928" t="s">
        <v>226</v>
      </c>
      <c r="B928" t="str">
        <f>"56146"</f>
        <v>56146</v>
      </c>
      <c r="C928" t="str">
        <f>"002"</f>
        <v>002</v>
      </c>
      <c r="D928">
        <v>2000</v>
      </c>
      <c r="E928" s="1">
        <v>102849600</v>
      </c>
      <c r="F928" s="1">
        <v>66481000</v>
      </c>
      <c r="G928" s="1" t="s">
        <v>11</v>
      </c>
      <c r="H928" s="1" t="s">
        <v>38</v>
      </c>
      <c r="I928" t="s">
        <v>13</v>
      </c>
      <c r="J928" t="s">
        <v>13</v>
      </c>
    </row>
    <row r="929" spans="1:11" x14ac:dyDescent="0.35">
      <c r="A929" t="s">
        <v>5</v>
      </c>
      <c r="B929" t="str">
        <f>"56146"</f>
        <v>56146</v>
      </c>
      <c r="C929" t="str">
        <f>"003"</f>
        <v>003</v>
      </c>
      <c r="D929">
        <v>2005</v>
      </c>
      <c r="E929" s="1">
        <v>388867100</v>
      </c>
      <c r="F929" s="1">
        <v>344903400</v>
      </c>
      <c r="G929" s="1" t="s">
        <v>11</v>
      </c>
      <c r="H929" s="1" t="s">
        <v>38</v>
      </c>
      <c r="I929" t="s">
        <v>13</v>
      </c>
      <c r="J929" t="s">
        <v>13</v>
      </c>
    </row>
    <row r="930" spans="1:11" x14ac:dyDescent="0.35">
      <c r="A930" t="s">
        <v>5</v>
      </c>
      <c r="B930" t="str">
        <f>"56146"</f>
        <v>56146</v>
      </c>
      <c r="C930" t="str">
        <f>"004"</f>
        <v>004</v>
      </c>
      <c r="D930">
        <v>2007</v>
      </c>
      <c r="E930" s="1">
        <v>46866900</v>
      </c>
      <c r="F930" s="1">
        <v>15125900</v>
      </c>
      <c r="G930" s="1" t="s">
        <v>11</v>
      </c>
      <c r="H930" s="1" t="s">
        <v>38</v>
      </c>
      <c r="I930" t="s">
        <v>13</v>
      </c>
      <c r="J930" t="s">
        <v>13</v>
      </c>
    </row>
    <row r="931" spans="1:11" x14ac:dyDescent="0.35">
      <c r="A931" t="s">
        <v>39</v>
      </c>
      <c r="B931" t="s">
        <v>13</v>
      </c>
      <c r="C931" t="s">
        <v>7</v>
      </c>
      <c r="D931" t="s">
        <v>8</v>
      </c>
      <c r="E931" s="1">
        <v>538583600</v>
      </c>
      <c r="F931" s="1">
        <v>426510300</v>
      </c>
      <c r="G931" s="1" t="s">
        <v>11</v>
      </c>
      <c r="H931" s="1">
        <v>1697807400</v>
      </c>
      <c r="I931" t="s">
        <v>13</v>
      </c>
      <c r="J931" t="s">
        <v>13</v>
      </c>
      <c r="K931">
        <v>25.12</v>
      </c>
    </row>
    <row r="932" spans="1:11" x14ac:dyDescent="0.35">
      <c r="E932" s="1"/>
      <c r="F932" s="1"/>
      <c r="G932" s="1"/>
      <c r="H932" s="1"/>
    </row>
    <row r="933" spans="1:11" x14ac:dyDescent="0.35">
      <c r="A933" t="s">
        <v>227</v>
      </c>
      <c r="B933" t="str">
        <f>"09128"</f>
        <v>09128</v>
      </c>
      <c r="C933" t="str">
        <f>"001"</f>
        <v>001</v>
      </c>
      <c r="D933">
        <v>2003</v>
      </c>
      <c r="E933" s="1">
        <v>108896300</v>
      </c>
      <c r="F933" s="1">
        <v>96757400</v>
      </c>
      <c r="G933" s="1" t="s">
        <v>11</v>
      </c>
      <c r="H933" s="1" t="s">
        <v>38</v>
      </c>
      <c r="I933" t="s">
        <v>13</v>
      </c>
      <c r="J933" t="s">
        <v>13</v>
      </c>
    </row>
    <row r="934" spans="1:11" x14ac:dyDescent="0.35">
      <c r="A934" t="s">
        <v>5</v>
      </c>
      <c r="B934" t="str">
        <f>"09128"</f>
        <v>09128</v>
      </c>
      <c r="C934" t="str">
        <f>"002"</f>
        <v>002</v>
      </c>
      <c r="D934">
        <v>2003</v>
      </c>
      <c r="E934" s="1">
        <v>23193800</v>
      </c>
      <c r="F934" s="1">
        <v>23061900</v>
      </c>
      <c r="G934" s="1" t="s">
        <v>11</v>
      </c>
      <c r="H934" s="1" t="s">
        <v>38</v>
      </c>
      <c r="I934" t="s">
        <v>13</v>
      </c>
      <c r="J934" t="s">
        <v>13</v>
      </c>
    </row>
    <row r="935" spans="1:11" x14ac:dyDescent="0.35">
      <c r="A935" t="s">
        <v>39</v>
      </c>
      <c r="B935" t="s">
        <v>13</v>
      </c>
      <c r="C935" t="s">
        <v>7</v>
      </c>
      <c r="D935" t="s">
        <v>8</v>
      </c>
      <c r="E935" s="1">
        <v>132090100</v>
      </c>
      <c r="F935" s="1">
        <v>119819300</v>
      </c>
      <c r="G935" s="1" t="s">
        <v>11</v>
      </c>
      <c r="H935" s="1">
        <v>828987600</v>
      </c>
      <c r="I935" t="s">
        <v>13</v>
      </c>
      <c r="J935" t="s">
        <v>13</v>
      </c>
      <c r="K935">
        <v>14.45</v>
      </c>
    </row>
    <row r="936" spans="1:11" x14ac:dyDescent="0.35">
      <c r="E936" s="1"/>
      <c r="F936" s="1"/>
      <c r="G936" s="1"/>
      <c r="H936" s="1"/>
    </row>
    <row r="937" spans="1:11" x14ac:dyDescent="0.35">
      <c r="A937" t="s">
        <v>228</v>
      </c>
      <c r="B937" t="str">
        <f>"28246"</f>
        <v>28246</v>
      </c>
      <c r="C937" t="str">
        <f>"003"</f>
        <v>003</v>
      </c>
      <c r="D937">
        <v>2006</v>
      </c>
      <c r="E937" s="1">
        <v>12227600</v>
      </c>
      <c r="F937" s="1">
        <v>5233800</v>
      </c>
      <c r="G937" s="1" t="s">
        <v>11</v>
      </c>
      <c r="H937" s="1" t="s">
        <v>38</v>
      </c>
      <c r="I937" t="s">
        <v>13</v>
      </c>
      <c r="J937" t="s">
        <v>13</v>
      </c>
    </row>
    <row r="938" spans="1:11" x14ac:dyDescent="0.35">
      <c r="A938" t="s">
        <v>5</v>
      </c>
      <c r="B938" t="str">
        <f>"28246"</f>
        <v>28246</v>
      </c>
      <c r="C938" t="str">
        <f>"004"</f>
        <v>004</v>
      </c>
      <c r="D938">
        <v>2006</v>
      </c>
      <c r="E938" s="1">
        <v>27430500</v>
      </c>
      <c r="F938" s="1">
        <v>18865100</v>
      </c>
      <c r="G938" s="1" t="s">
        <v>11</v>
      </c>
      <c r="H938" s="1" t="s">
        <v>38</v>
      </c>
      <c r="I938" t="s">
        <v>13</v>
      </c>
      <c r="J938" t="s">
        <v>13</v>
      </c>
    </row>
    <row r="939" spans="1:11" x14ac:dyDescent="0.35">
      <c r="A939" t="s">
        <v>5</v>
      </c>
      <c r="B939" t="str">
        <f>"28246"</f>
        <v>28246</v>
      </c>
      <c r="C939" t="str">
        <f>"005"</f>
        <v>005</v>
      </c>
      <c r="D939">
        <v>2014</v>
      </c>
      <c r="E939" s="1">
        <v>6451400</v>
      </c>
      <c r="F939" s="1">
        <v>2062700</v>
      </c>
      <c r="G939" s="1" t="s">
        <v>11</v>
      </c>
      <c r="H939" s="1" t="s">
        <v>38</v>
      </c>
      <c r="I939" t="s">
        <v>13</v>
      </c>
      <c r="J939" t="s">
        <v>13</v>
      </c>
    </row>
    <row r="940" spans="1:11" x14ac:dyDescent="0.35">
      <c r="A940" t="s">
        <v>5</v>
      </c>
      <c r="B940" t="str">
        <f>"28246"</f>
        <v>28246</v>
      </c>
      <c r="C940" t="str">
        <f>"006"</f>
        <v>006</v>
      </c>
      <c r="D940">
        <v>2014</v>
      </c>
      <c r="E940" s="1">
        <v>5849700</v>
      </c>
      <c r="F940" s="1">
        <v>2537500</v>
      </c>
      <c r="G940" s="1" t="s">
        <v>11</v>
      </c>
      <c r="H940" s="1" t="s">
        <v>38</v>
      </c>
      <c r="I940" t="s">
        <v>13</v>
      </c>
      <c r="J940" t="s">
        <v>13</v>
      </c>
    </row>
    <row r="941" spans="1:11" x14ac:dyDescent="0.35">
      <c r="A941" t="s">
        <v>5</v>
      </c>
      <c r="B941" t="str">
        <f>"28246"</f>
        <v>28246</v>
      </c>
      <c r="C941" t="str">
        <f>"007"</f>
        <v>007</v>
      </c>
      <c r="D941">
        <v>2019</v>
      </c>
      <c r="E941" s="1">
        <v>11962900</v>
      </c>
      <c r="F941" s="1">
        <v>2305700</v>
      </c>
      <c r="G941" s="1" t="s">
        <v>11</v>
      </c>
      <c r="H941" s="1" t="s">
        <v>38</v>
      </c>
      <c r="I941" t="s">
        <v>13</v>
      </c>
      <c r="J941" t="s">
        <v>13</v>
      </c>
    </row>
    <row r="942" spans="1:11" x14ac:dyDescent="0.35">
      <c r="A942" t="s">
        <v>39</v>
      </c>
      <c r="B942" t="s">
        <v>13</v>
      </c>
      <c r="C942" t="s">
        <v>7</v>
      </c>
      <c r="D942" t="s">
        <v>8</v>
      </c>
      <c r="E942" s="1">
        <v>63922100</v>
      </c>
      <c r="F942" s="1">
        <v>31004800</v>
      </c>
      <c r="G942" s="1" t="s">
        <v>11</v>
      </c>
      <c r="H942" s="1">
        <v>691208300</v>
      </c>
      <c r="I942" t="s">
        <v>13</v>
      </c>
      <c r="J942" t="s">
        <v>13</v>
      </c>
      <c r="K942">
        <v>4.49</v>
      </c>
    </row>
    <row r="943" spans="1:11" x14ac:dyDescent="0.35">
      <c r="E943" s="1"/>
      <c r="F943" s="1"/>
      <c r="G943" s="1"/>
      <c r="H943" s="1"/>
    </row>
    <row r="944" spans="1:11" x14ac:dyDescent="0.35">
      <c r="A944" t="s">
        <v>229</v>
      </c>
      <c r="B944" t="str">
        <f>"22246"</f>
        <v>22246</v>
      </c>
      <c r="C944" t="str">
        <f>"003"</f>
        <v>003</v>
      </c>
      <c r="D944">
        <v>2006</v>
      </c>
      <c r="E944" s="1">
        <v>9812700</v>
      </c>
      <c r="F944" s="1">
        <v>9388200</v>
      </c>
      <c r="G944" s="1" t="s">
        <v>11</v>
      </c>
      <c r="H944" s="1" t="s">
        <v>38</v>
      </c>
      <c r="I944" t="s">
        <v>13</v>
      </c>
      <c r="J944" t="s">
        <v>13</v>
      </c>
    </row>
    <row r="945" spans="1:11" x14ac:dyDescent="0.35">
      <c r="A945" t="s">
        <v>5</v>
      </c>
      <c r="B945" t="str">
        <f>"22246"</f>
        <v>22246</v>
      </c>
      <c r="C945" t="str">
        <f>"004"</f>
        <v>004</v>
      </c>
      <c r="D945">
        <v>2006</v>
      </c>
      <c r="E945" s="1">
        <v>6327900</v>
      </c>
      <c r="F945" s="1">
        <v>3913500</v>
      </c>
      <c r="G945" s="1" t="s">
        <v>11</v>
      </c>
      <c r="H945" s="1" t="s">
        <v>38</v>
      </c>
      <c r="I945" t="s">
        <v>13</v>
      </c>
      <c r="J945" t="s">
        <v>13</v>
      </c>
    </row>
    <row r="946" spans="1:11" x14ac:dyDescent="0.35">
      <c r="A946" t="s">
        <v>5</v>
      </c>
      <c r="B946" t="str">
        <f>"22246"</f>
        <v>22246</v>
      </c>
      <c r="C946" t="str">
        <f>"005"</f>
        <v>005</v>
      </c>
      <c r="D946">
        <v>2018</v>
      </c>
      <c r="E946" s="1">
        <v>2297700</v>
      </c>
      <c r="F946" s="1">
        <v>2297700</v>
      </c>
      <c r="G946" s="1" t="s">
        <v>11</v>
      </c>
      <c r="H946" s="1" t="s">
        <v>38</v>
      </c>
      <c r="I946" t="s">
        <v>13</v>
      </c>
      <c r="J946" t="s">
        <v>13</v>
      </c>
    </row>
    <row r="947" spans="1:11" x14ac:dyDescent="0.35">
      <c r="A947" t="s">
        <v>5</v>
      </c>
      <c r="B947" t="str">
        <f>"22246"</f>
        <v>22246</v>
      </c>
      <c r="C947" t="str">
        <f>"006"</f>
        <v>006</v>
      </c>
      <c r="D947">
        <v>2020</v>
      </c>
      <c r="E947" s="1">
        <v>2623400</v>
      </c>
      <c r="F947" s="1">
        <v>2623400</v>
      </c>
      <c r="G947" s="1" t="s">
        <v>11</v>
      </c>
      <c r="H947" s="1" t="s">
        <v>38</v>
      </c>
      <c r="I947" t="s">
        <v>13</v>
      </c>
      <c r="J947" t="s">
        <v>13</v>
      </c>
    </row>
    <row r="948" spans="1:11" x14ac:dyDescent="0.35">
      <c r="A948" t="s">
        <v>39</v>
      </c>
      <c r="B948" t="s">
        <v>13</v>
      </c>
      <c r="C948" t="s">
        <v>7</v>
      </c>
      <c r="D948" t="s">
        <v>8</v>
      </c>
      <c r="E948" s="1">
        <v>21061700</v>
      </c>
      <c r="F948" s="1">
        <v>18222800</v>
      </c>
      <c r="G948" s="1" t="s">
        <v>11</v>
      </c>
      <c r="H948" s="1">
        <v>288182300</v>
      </c>
      <c r="I948" t="s">
        <v>13</v>
      </c>
      <c r="J948" t="s">
        <v>13</v>
      </c>
      <c r="K948">
        <v>6.32</v>
      </c>
    </row>
    <row r="949" spans="1:11" x14ac:dyDescent="0.35">
      <c r="E949" s="1"/>
      <c r="F949" s="1"/>
      <c r="G949" s="1"/>
      <c r="H949" s="1"/>
    </row>
    <row r="950" spans="1:11" x14ac:dyDescent="0.35">
      <c r="A950" t="s">
        <v>230</v>
      </c>
      <c r="B950" t="str">
        <f>"67147"</f>
        <v>67147</v>
      </c>
      <c r="C950" t="str">
        <f>"001"</f>
        <v>001</v>
      </c>
      <c r="D950">
        <v>2018</v>
      </c>
      <c r="E950" s="1">
        <v>21981600</v>
      </c>
      <c r="F950" s="1">
        <v>14328400</v>
      </c>
      <c r="G950" s="1" t="s">
        <v>11</v>
      </c>
      <c r="H950" s="1" t="s">
        <v>38</v>
      </c>
      <c r="I950" t="s">
        <v>13</v>
      </c>
      <c r="J950" t="s">
        <v>13</v>
      </c>
    </row>
    <row r="951" spans="1:11" x14ac:dyDescent="0.35">
      <c r="A951" t="s">
        <v>5</v>
      </c>
      <c r="B951" t="str">
        <f>"67147"</f>
        <v>67147</v>
      </c>
      <c r="C951" t="str">
        <f>"002"</f>
        <v>002</v>
      </c>
      <c r="D951">
        <v>2018</v>
      </c>
      <c r="E951" s="1">
        <v>13658900</v>
      </c>
      <c r="F951" s="1">
        <v>3902300</v>
      </c>
      <c r="G951" s="1" t="s">
        <v>11</v>
      </c>
      <c r="H951" s="1" t="s">
        <v>38</v>
      </c>
      <c r="I951" t="s">
        <v>13</v>
      </c>
      <c r="J951" t="s">
        <v>13</v>
      </c>
    </row>
    <row r="952" spans="1:11" x14ac:dyDescent="0.35">
      <c r="A952" t="s">
        <v>39</v>
      </c>
      <c r="B952" t="s">
        <v>13</v>
      </c>
      <c r="C952" t="s">
        <v>7</v>
      </c>
      <c r="D952" t="s">
        <v>8</v>
      </c>
      <c r="E952" s="1">
        <v>35640500</v>
      </c>
      <c r="F952" s="1">
        <v>18230700</v>
      </c>
      <c r="G952" s="1" t="s">
        <v>11</v>
      </c>
      <c r="H952" s="1">
        <v>180513900</v>
      </c>
      <c r="I952" t="s">
        <v>13</v>
      </c>
      <c r="J952" t="s">
        <v>13</v>
      </c>
      <c r="K952">
        <v>10.1</v>
      </c>
    </row>
    <row r="953" spans="1:11" x14ac:dyDescent="0.35">
      <c r="E953" s="1"/>
      <c r="F953" s="1"/>
      <c r="G953" s="1"/>
      <c r="H953" s="1"/>
    </row>
    <row r="954" spans="1:11" x14ac:dyDescent="0.35">
      <c r="A954" t="s">
        <v>231</v>
      </c>
      <c r="B954" t="str">
        <f>"05024"</f>
        <v>05024</v>
      </c>
      <c r="C954" t="str">
        <f>"001A"</f>
        <v>001A</v>
      </c>
      <c r="D954">
        <v>2018</v>
      </c>
      <c r="E954" s="1">
        <v>13676400</v>
      </c>
      <c r="F954" s="1">
        <v>13463500</v>
      </c>
      <c r="G954" s="1" t="s">
        <v>11</v>
      </c>
      <c r="H954" s="1" t="s">
        <v>38</v>
      </c>
      <c r="I954" t="s">
        <v>13</v>
      </c>
      <c r="J954" t="s">
        <v>13</v>
      </c>
    </row>
    <row r="955" spans="1:11" x14ac:dyDescent="0.35">
      <c r="A955" t="s">
        <v>5</v>
      </c>
      <c r="B955" t="str">
        <f>"05024"</f>
        <v>05024</v>
      </c>
      <c r="C955" t="str">
        <f>"002A"</f>
        <v>002A</v>
      </c>
      <c r="D955">
        <v>2018</v>
      </c>
      <c r="E955" s="1">
        <v>18730400</v>
      </c>
      <c r="F955" s="1">
        <v>17511500</v>
      </c>
      <c r="G955" s="1" t="s">
        <v>11</v>
      </c>
      <c r="H955" s="1" t="s">
        <v>38</v>
      </c>
      <c r="I955" t="s">
        <v>13</v>
      </c>
      <c r="J955" t="s">
        <v>13</v>
      </c>
    </row>
    <row r="956" spans="1:11" x14ac:dyDescent="0.35">
      <c r="A956" t="s">
        <v>39</v>
      </c>
      <c r="B956" t="s">
        <v>13</v>
      </c>
      <c r="C956" t="s">
        <v>7</v>
      </c>
      <c r="D956" t="s">
        <v>8</v>
      </c>
      <c r="E956" s="1">
        <v>32406800</v>
      </c>
      <c r="F956" s="1">
        <v>30975000</v>
      </c>
      <c r="G956" s="1" t="s">
        <v>11</v>
      </c>
      <c r="H956" s="1">
        <v>848199900</v>
      </c>
      <c r="I956" t="s">
        <v>13</v>
      </c>
      <c r="J956" t="s">
        <v>13</v>
      </c>
      <c r="K956">
        <v>3.65</v>
      </c>
    </row>
    <row r="957" spans="1:11" x14ac:dyDescent="0.35">
      <c r="E957" s="1"/>
      <c r="F957" s="1"/>
      <c r="G957" s="1"/>
      <c r="H957" s="1"/>
    </row>
    <row r="958" spans="1:11" x14ac:dyDescent="0.35">
      <c r="A958" t="s">
        <v>232</v>
      </c>
      <c r="B958" t="str">
        <f>"05025"</f>
        <v>05025</v>
      </c>
      <c r="C958" t="str">
        <f>"001A"</f>
        <v>001A</v>
      </c>
      <c r="D958">
        <v>2015</v>
      </c>
      <c r="E958" s="1">
        <v>66313500</v>
      </c>
      <c r="F958" s="1">
        <v>38895000</v>
      </c>
      <c r="G958" s="1" t="s">
        <v>11</v>
      </c>
      <c r="H958" s="1" t="s">
        <v>38</v>
      </c>
      <c r="I958" t="s">
        <v>13</v>
      </c>
      <c r="J958" t="s">
        <v>13</v>
      </c>
    </row>
    <row r="959" spans="1:11" x14ac:dyDescent="0.35">
      <c r="A959" t="s">
        <v>39</v>
      </c>
      <c r="B959" t="s">
        <v>13</v>
      </c>
      <c r="C959" t="s">
        <v>7</v>
      </c>
      <c r="D959" t="s">
        <v>8</v>
      </c>
      <c r="E959" s="1">
        <v>66313500</v>
      </c>
      <c r="F959" s="1">
        <v>38895000</v>
      </c>
      <c r="G959" s="1" t="s">
        <v>11</v>
      </c>
      <c r="H959" s="1">
        <v>1227519300</v>
      </c>
      <c r="I959" t="s">
        <v>13</v>
      </c>
      <c r="J959" t="s">
        <v>13</v>
      </c>
      <c r="K959">
        <v>3.17</v>
      </c>
    </row>
    <row r="960" spans="1:11" x14ac:dyDescent="0.35">
      <c r="A960" t="s">
        <v>232</v>
      </c>
      <c r="B960" t="str">
        <f>"05025"</f>
        <v>05025</v>
      </c>
      <c r="C960" t="str">
        <f>"002T"</f>
        <v>002T</v>
      </c>
      <c r="D960">
        <v>2019</v>
      </c>
      <c r="E960" s="1">
        <v>6255100</v>
      </c>
      <c r="F960" s="1">
        <v>5815100</v>
      </c>
      <c r="G960" s="1" t="s">
        <v>11</v>
      </c>
      <c r="H960" s="1" t="s">
        <v>38</v>
      </c>
      <c r="I960" t="s">
        <v>13</v>
      </c>
      <c r="J960" t="s">
        <v>13</v>
      </c>
    </row>
    <row r="961" spans="1:11" x14ac:dyDescent="0.35">
      <c r="A961" t="s">
        <v>39</v>
      </c>
      <c r="B961" t="s">
        <v>13</v>
      </c>
      <c r="C961" t="s">
        <v>7</v>
      </c>
      <c r="D961" t="s">
        <v>8</v>
      </c>
      <c r="E961" s="1">
        <v>6255100</v>
      </c>
      <c r="F961" s="1">
        <v>5815100</v>
      </c>
      <c r="G961" s="1" t="s">
        <v>11</v>
      </c>
      <c r="H961" s="1">
        <v>1227519300</v>
      </c>
      <c r="I961">
        <v>0.47</v>
      </c>
      <c r="J961">
        <v>0.51</v>
      </c>
    </row>
    <row r="962" spans="1:11" x14ac:dyDescent="0.35">
      <c r="E962" s="1"/>
      <c r="F962" s="1"/>
      <c r="G962" s="1"/>
      <c r="H962" s="1"/>
    </row>
    <row r="963" spans="1:11" x14ac:dyDescent="0.35">
      <c r="A963" t="s">
        <v>233</v>
      </c>
      <c r="B963" t="str">
        <f>"42146"</f>
        <v>42146</v>
      </c>
      <c r="C963" t="str">
        <f>"001"</f>
        <v>001</v>
      </c>
      <c r="D963">
        <v>2020</v>
      </c>
      <c r="E963" s="1">
        <v>780100</v>
      </c>
      <c r="F963" s="1">
        <v>595400</v>
      </c>
      <c r="G963" s="1" t="s">
        <v>11</v>
      </c>
      <c r="H963" s="1" t="s">
        <v>38</v>
      </c>
      <c r="I963" t="s">
        <v>13</v>
      </c>
      <c r="J963" t="s">
        <v>13</v>
      </c>
    </row>
    <row r="964" spans="1:11" x14ac:dyDescent="0.35">
      <c r="A964" t="s">
        <v>39</v>
      </c>
      <c r="B964" t="s">
        <v>13</v>
      </c>
      <c r="C964" t="s">
        <v>7</v>
      </c>
      <c r="D964" t="s">
        <v>8</v>
      </c>
      <c r="E964" s="1">
        <v>780100</v>
      </c>
      <c r="F964" s="1">
        <v>595400</v>
      </c>
      <c r="G964" s="1" t="s">
        <v>11</v>
      </c>
      <c r="H964" s="1">
        <v>33702400</v>
      </c>
      <c r="I964" t="s">
        <v>13</v>
      </c>
      <c r="J964" t="s">
        <v>13</v>
      </c>
      <c r="K964">
        <v>1.77</v>
      </c>
    </row>
    <row r="965" spans="1:11" x14ac:dyDescent="0.35">
      <c r="E965" s="1"/>
      <c r="F965" s="1"/>
      <c r="G965" s="1"/>
      <c r="H965" s="1"/>
    </row>
    <row r="966" spans="1:11" x14ac:dyDescent="0.35">
      <c r="A966" t="s">
        <v>234</v>
      </c>
      <c r="B966" t="str">
        <f>"67010"</f>
        <v>67010</v>
      </c>
      <c r="C966" t="str">
        <f>"001A"</f>
        <v>001A</v>
      </c>
      <c r="D966">
        <v>2019</v>
      </c>
      <c r="E966" s="1">
        <v>2276500</v>
      </c>
      <c r="F966" s="1">
        <v>1377400</v>
      </c>
      <c r="G966" s="1" t="s">
        <v>11</v>
      </c>
      <c r="H966" s="1" t="s">
        <v>38</v>
      </c>
      <c r="I966" t="s">
        <v>13</v>
      </c>
      <c r="J966" t="s">
        <v>13</v>
      </c>
    </row>
    <row r="967" spans="1:11" x14ac:dyDescent="0.35">
      <c r="A967" t="s">
        <v>39</v>
      </c>
      <c r="B967" t="s">
        <v>13</v>
      </c>
      <c r="C967" t="s">
        <v>7</v>
      </c>
      <c r="D967" t="s">
        <v>8</v>
      </c>
      <c r="E967" s="1">
        <v>2276500</v>
      </c>
      <c r="F967" s="1">
        <v>1377400</v>
      </c>
      <c r="G967" s="1" t="s">
        <v>11</v>
      </c>
      <c r="H967" s="1">
        <v>1551041800</v>
      </c>
      <c r="I967" t="s">
        <v>13</v>
      </c>
      <c r="J967" t="s">
        <v>13</v>
      </c>
      <c r="K967">
        <v>0.09</v>
      </c>
    </row>
    <row r="968" spans="1:11" x14ac:dyDescent="0.35">
      <c r="E968" s="1"/>
      <c r="F968" s="1"/>
      <c r="G968" s="1"/>
      <c r="H968" s="1"/>
    </row>
    <row r="969" spans="1:11" x14ac:dyDescent="0.35">
      <c r="A969" t="s">
        <v>235</v>
      </c>
      <c r="B969" t="str">
        <f>"44146"</f>
        <v>44146</v>
      </c>
      <c r="C969" t="str">
        <f>"004"</f>
        <v>004</v>
      </c>
      <c r="D969">
        <v>2007</v>
      </c>
      <c r="E969" s="1">
        <v>75916900</v>
      </c>
      <c r="F969" s="1">
        <v>72503500</v>
      </c>
      <c r="G969" s="1" t="s">
        <v>11</v>
      </c>
      <c r="H969" s="1" t="s">
        <v>38</v>
      </c>
      <c r="I969" t="s">
        <v>13</v>
      </c>
      <c r="J969" t="s">
        <v>13</v>
      </c>
    </row>
    <row r="970" spans="1:11" x14ac:dyDescent="0.35">
      <c r="A970" t="s">
        <v>5</v>
      </c>
      <c r="B970" t="str">
        <f>"44146"</f>
        <v>44146</v>
      </c>
      <c r="C970" t="str">
        <f>"005"</f>
        <v>005</v>
      </c>
      <c r="D970">
        <v>2013</v>
      </c>
      <c r="E970" s="1">
        <v>33207400</v>
      </c>
      <c r="F970" s="1">
        <v>21471700</v>
      </c>
      <c r="G970" s="1" t="s">
        <v>11</v>
      </c>
      <c r="H970" s="1" t="s">
        <v>38</v>
      </c>
      <c r="I970" t="s">
        <v>13</v>
      </c>
      <c r="J970" t="s">
        <v>13</v>
      </c>
    </row>
    <row r="971" spans="1:11" x14ac:dyDescent="0.35">
      <c r="A971" t="s">
        <v>5</v>
      </c>
      <c r="B971" t="str">
        <f>"44146"</f>
        <v>44146</v>
      </c>
      <c r="C971" t="str">
        <f>"006"</f>
        <v>006</v>
      </c>
      <c r="D971">
        <v>2016</v>
      </c>
      <c r="E971" s="1">
        <v>59838100</v>
      </c>
      <c r="F971" s="1">
        <v>57762400</v>
      </c>
      <c r="G971" s="1" t="s">
        <v>11</v>
      </c>
      <c r="H971" s="1" t="s">
        <v>38</v>
      </c>
      <c r="I971" t="s">
        <v>13</v>
      </c>
      <c r="J971" t="s">
        <v>13</v>
      </c>
    </row>
    <row r="972" spans="1:11" x14ac:dyDescent="0.35">
      <c r="A972" t="s">
        <v>5</v>
      </c>
      <c r="B972" t="str">
        <f>"44146"</f>
        <v>44146</v>
      </c>
      <c r="C972" t="str">
        <f>"007"</f>
        <v>007</v>
      </c>
      <c r="D972">
        <v>2018</v>
      </c>
      <c r="E972" s="1">
        <v>41340600</v>
      </c>
      <c r="F972" s="1">
        <v>37904400</v>
      </c>
      <c r="G972" s="1" t="s">
        <v>11</v>
      </c>
      <c r="H972" s="1" t="s">
        <v>38</v>
      </c>
      <c r="I972" t="s">
        <v>13</v>
      </c>
      <c r="J972" t="s">
        <v>13</v>
      </c>
    </row>
    <row r="973" spans="1:11" x14ac:dyDescent="0.35">
      <c r="A973" t="s">
        <v>5</v>
      </c>
      <c r="B973" t="str">
        <f>"44146"</f>
        <v>44146</v>
      </c>
      <c r="C973" t="str">
        <f>"008"</f>
        <v>008</v>
      </c>
      <c r="D973">
        <v>2018</v>
      </c>
      <c r="E973" s="1">
        <v>2278600</v>
      </c>
      <c r="F973" s="1">
        <v>-345900</v>
      </c>
      <c r="G973" s="1" t="s">
        <v>48</v>
      </c>
      <c r="H973" s="1" t="s">
        <v>38</v>
      </c>
      <c r="I973" t="s">
        <v>13</v>
      </c>
      <c r="J973" t="s">
        <v>13</v>
      </c>
    </row>
    <row r="974" spans="1:11" x14ac:dyDescent="0.35">
      <c r="A974" t="s">
        <v>39</v>
      </c>
      <c r="B974" t="s">
        <v>13</v>
      </c>
      <c r="C974" t="s">
        <v>7</v>
      </c>
      <c r="D974" t="s">
        <v>8</v>
      </c>
      <c r="E974" s="1">
        <v>212581600</v>
      </c>
      <c r="F974" s="1">
        <v>189642000</v>
      </c>
      <c r="G974" s="1" t="s">
        <v>11</v>
      </c>
      <c r="H974" s="1">
        <v>1091901000</v>
      </c>
      <c r="I974" t="s">
        <v>13</v>
      </c>
      <c r="J974" t="s">
        <v>13</v>
      </c>
      <c r="K974">
        <v>17.37</v>
      </c>
    </row>
    <row r="975" spans="1:11" x14ac:dyDescent="0.35">
      <c r="E975" s="1"/>
      <c r="F975" s="1"/>
      <c r="G975" s="1"/>
      <c r="H975" s="1"/>
    </row>
    <row r="976" spans="1:11" x14ac:dyDescent="0.35">
      <c r="A976" t="s">
        <v>236</v>
      </c>
      <c r="B976" t="str">
        <f>"11246"</f>
        <v>11246</v>
      </c>
      <c r="C976" t="str">
        <f>"003"</f>
        <v>003</v>
      </c>
      <c r="D976">
        <v>2005</v>
      </c>
      <c r="E976" s="1">
        <v>1212400</v>
      </c>
      <c r="F976" s="1">
        <v>1051400</v>
      </c>
      <c r="G976" s="1" t="s">
        <v>11</v>
      </c>
      <c r="H976" s="1" t="s">
        <v>38</v>
      </c>
      <c r="I976" t="s">
        <v>13</v>
      </c>
      <c r="J976" t="s">
        <v>13</v>
      </c>
    </row>
    <row r="977" spans="1:11" x14ac:dyDescent="0.35">
      <c r="A977" t="s">
        <v>5</v>
      </c>
      <c r="B977" t="str">
        <f>"11246"</f>
        <v>11246</v>
      </c>
      <c r="C977" t="str">
        <f>"004"</f>
        <v>004</v>
      </c>
      <c r="D977">
        <v>2015</v>
      </c>
      <c r="E977" s="1">
        <v>20432300</v>
      </c>
      <c r="F977" s="1">
        <v>4399500</v>
      </c>
      <c r="G977" s="1" t="s">
        <v>11</v>
      </c>
      <c r="H977" s="1" t="s">
        <v>38</v>
      </c>
      <c r="I977" t="s">
        <v>13</v>
      </c>
      <c r="J977" t="s">
        <v>13</v>
      </c>
    </row>
    <row r="978" spans="1:11" x14ac:dyDescent="0.35">
      <c r="A978" t="s">
        <v>5</v>
      </c>
      <c r="B978" t="str">
        <f>"11246"</f>
        <v>11246</v>
      </c>
      <c r="C978" t="str">
        <f>"005"</f>
        <v>005</v>
      </c>
      <c r="D978">
        <v>2015</v>
      </c>
      <c r="E978" s="1">
        <v>14880000</v>
      </c>
      <c r="F978" s="1">
        <v>2257200</v>
      </c>
      <c r="G978" s="1" t="s">
        <v>11</v>
      </c>
      <c r="H978" s="1" t="s">
        <v>38</v>
      </c>
      <c r="I978" t="s">
        <v>13</v>
      </c>
      <c r="J978" t="s">
        <v>13</v>
      </c>
    </row>
    <row r="979" spans="1:11" x14ac:dyDescent="0.35">
      <c r="A979" t="s">
        <v>39</v>
      </c>
      <c r="B979" t="s">
        <v>13</v>
      </c>
      <c r="C979" t="s">
        <v>7</v>
      </c>
      <c r="D979" t="s">
        <v>8</v>
      </c>
      <c r="E979" s="1">
        <v>36524700</v>
      </c>
      <c r="F979" s="1">
        <v>7708100</v>
      </c>
      <c r="G979" s="1" t="s">
        <v>11</v>
      </c>
      <c r="H979" s="1">
        <v>310173900</v>
      </c>
      <c r="I979" t="s">
        <v>13</v>
      </c>
      <c r="J979" t="s">
        <v>13</v>
      </c>
      <c r="K979">
        <v>2.4900000000000002</v>
      </c>
    </row>
    <row r="980" spans="1:11" x14ac:dyDescent="0.35">
      <c r="E980" s="1"/>
      <c r="F980" s="1"/>
      <c r="G980" s="1"/>
      <c r="H980" s="1"/>
    </row>
    <row r="981" spans="1:11" x14ac:dyDescent="0.35">
      <c r="A981" t="s">
        <v>237</v>
      </c>
      <c r="B981" t="str">
        <f>"56149"</f>
        <v>56149</v>
      </c>
      <c r="C981" t="str">
        <f>"002"</f>
        <v>002</v>
      </c>
      <c r="D981">
        <v>2018</v>
      </c>
      <c r="E981" s="1">
        <v>2179500</v>
      </c>
      <c r="F981" s="1">
        <v>440400</v>
      </c>
      <c r="G981" s="1" t="s">
        <v>11</v>
      </c>
      <c r="H981" s="1" t="s">
        <v>38</v>
      </c>
      <c r="I981" t="s">
        <v>13</v>
      </c>
      <c r="J981" t="s">
        <v>13</v>
      </c>
    </row>
    <row r="982" spans="1:11" x14ac:dyDescent="0.35">
      <c r="A982" t="s">
        <v>39</v>
      </c>
      <c r="B982" t="s">
        <v>13</v>
      </c>
      <c r="C982" t="s">
        <v>7</v>
      </c>
      <c r="D982" t="s">
        <v>8</v>
      </c>
      <c r="E982" s="1">
        <v>2179500</v>
      </c>
      <c r="F982" s="1">
        <v>440400</v>
      </c>
      <c r="G982" s="1" t="s">
        <v>11</v>
      </c>
      <c r="H982" s="1">
        <v>17583700</v>
      </c>
      <c r="I982" t="s">
        <v>13</v>
      </c>
      <c r="J982" t="s">
        <v>13</v>
      </c>
      <c r="K982">
        <v>2.5</v>
      </c>
    </row>
    <row r="983" spans="1:11" x14ac:dyDescent="0.35">
      <c r="E983" s="1"/>
      <c r="F983" s="1"/>
      <c r="G983" s="1"/>
      <c r="H983" s="1"/>
    </row>
    <row r="984" spans="1:11" x14ac:dyDescent="0.35">
      <c r="A984" t="s">
        <v>238</v>
      </c>
      <c r="B984" t="str">
        <f>"14146"</f>
        <v>14146</v>
      </c>
      <c r="C984" t="str">
        <f>"004"</f>
        <v>004</v>
      </c>
      <c r="D984">
        <v>2006</v>
      </c>
      <c r="E984" s="1">
        <v>12504600</v>
      </c>
      <c r="F984" s="1">
        <v>11610600</v>
      </c>
      <c r="G984" s="1" t="s">
        <v>11</v>
      </c>
      <c r="H984" s="1" t="s">
        <v>38</v>
      </c>
      <c r="I984" t="s">
        <v>13</v>
      </c>
      <c r="J984" t="s">
        <v>13</v>
      </c>
    </row>
    <row r="985" spans="1:11" x14ac:dyDescent="0.35">
      <c r="A985" t="s">
        <v>5</v>
      </c>
      <c r="B985" t="str">
        <f>"14146"</f>
        <v>14146</v>
      </c>
      <c r="C985" t="str">
        <f>"005"</f>
        <v>005</v>
      </c>
      <c r="D985">
        <v>2015</v>
      </c>
      <c r="E985" s="1">
        <v>14327400</v>
      </c>
      <c r="F985" s="1">
        <v>14029800</v>
      </c>
      <c r="G985" s="1" t="s">
        <v>11</v>
      </c>
      <c r="H985" s="1" t="s">
        <v>38</v>
      </c>
      <c r="I985" t="s">
        <v>13</v>
      </c>
      <c r="J985" t="s">
        <v>13</v>
      </c>
    </row>
    <row r="986" spans="1:11" x14ac:dyDescent="0.35">
      <c r="A986" t="s">
        <v>39</v>
      </c>
      <c r="B986" t="s">
        <v>13</v>
      </c>
      <c r="C986" t="s">
        <v>7</v>
      </c>
      <c r="D986" t="s">
        <v>8</v>
      </c>
      <c r="E986" s="1">
        <v>26832000</v>
      </c>
      <c r="F986" s="1">
        <v>25640400</v>
      </c>
      <c r="G986" s="1" t="s">
        <v>11</v>
      </c>
      <c r="H986" s="1">
        <v>192751100</v>
      </c>
      <c r="I986" t="s">
        <v>13</v>
      </c>
      <c r="J986" t="s">
        <v>13</v>
      </c>
      <c r="K986">
        <v>13.3</v>
      </c>
    </row>
    <row r="987" spans="1:11" x14ac:dyDescent="0.35">
      <c r="E987" s="1"/>
      <c r="F987" s="1"/>
      <c r="G987" s="1"/>
      <c r="H987" s="1"/>
    </row>
    <row r="988" spans="1:11" x14ac:dyDescent="0.35">
      <c r="A988" t="s">
        <v>239</v>
      </c>
      <c r="B988" t="str">
        <f>"10246"</f>
        <v>10246</v>
      </c>
      <c r="C988" t="str">
        <f>"002"</f>
        <v>002</v>
      </c>
      <c r="D988">
        <v>2006</v>
      </c>
      <c r="E988" s="1">
        <v>10381200</v>
      </c>
      <c r="F988" s="1">
        <v>5813800</v>
      </c>
      <c r="G988" s="1" t="s">
        <v>11</v>
      </c>
      <c r="H988" s="1" t="s">
        <v>38</v>
      </c>
      <c r="I988" t="s">
        <v>13</v>
      </c>
      <c r="J988" t="s">
        <v>13</v>
      </c>
    </row>
    <row r="989" spans="1:11" x14ac:dyDescent="0.35">
      <c r="A989" t="s">
        <v>39</v>
      </c>
      <c r="B989" t="s">
        <v>13</v>
      </c>
      <c r="C989" t="s">
        <v>7</v>
      </c>
      <c r="D989" t="s">
        <v>8</v>
      </c>
      <c r="E989" s="1">
        <v>10381200</v>
      </c>
      <c r="F989" s="1">
        <v>5813800</v>
      </c>
      <c r="G989" s="1" t="s">
        <v>11</v>
      </c>
      <c r="H989" s="1">
        <v>61084500</v>
      </c>
      <c r="I989" t="s">
        <v>13</v>
      </c>
      <c r="J989" t="s">
        <v>13</v>
      </c>
      <c r="K989">
        <v>9.52</v>
      </c>
    </row>
    <row r="990" spans="1:11" x14ac:dyDescent="0.35">
      <c r="E990" s="1"/>
      <c r="F990" s="1"/>
      <c r="G990" s="1"/>
      <c r="H990" s="1"/>
    </row>
    <row r="991" spans="1:11" x14ac:dyDescent="0.35">
      <c r="A991" t="s">
        <v>240</v>
      </c>
      <c r="B991" t="str">
        <f>"48146"</f>
        <v>48146</v>
      </c>
      <c r="C991" t="str">
        <f>"002"</f>
        <v>002</v>
      </c>
      <c r="D991">
        <v>2002</v>
      </c>
      <c r="E991" s="1">
        <v>8741300</v>
      </c>
      <c r="F991" s="1">
        <v>3231700</v>
      </c>
      <c r="G991" s="1" t="s">
        <v>11</v>
      </c>
      <c r="H991" s="1" t="s">
        <v>38</v>
      </c>
      <c r="I991" t="s">
        <v>13</v>
      </c>
      <c r="J991" t="s">
        <v>13</v>
      </c>
    </row>
    <row r="992" spans="1:11" x14ac:dyDescent="0.35">
      <c r="A992" t="s">
        <v>5</v>
      </c>
      <c r="B992" t="str">
        <f>"48146"</f>
        <v>48146</v>
      </c>
      <c r="C992" t="str">
        <f>"003"</f>
        <v>003</v>
      </c>
      <c r="D992">
        <v>2005</v>
      </c>
      <c r="E992" s="1">
        <v>4781100</v>
      </c>
      <c r="F992" s="1">
        <v>1258700</v>
      </c>
      <c r="G992" s="1" t="s">
        <v>11</v>
      </c>
      <c r="H992" s="1" t="s">
        <v>38</v>
      </c>
      <c r="I992" t="s">
        <v>13</v>
      </c>
      <c r="J992" t="s">
        <v>13</v>
      </c>
    </row>
    <row r="993" spans="1:11" x14ac:dyDescent="0.35">
      <c r="A993" t="s">
        <v>5</v>
      </c>
      <c r="B993" t="str">
        <f>"48146"</f>
        <v>48146</v>
      </c>
      <c r="C993" t="str">
        <f>"004"</f>
        <v>004</v>
      </c>
      <c r="D993">
        <v>2018</v>
      </c>
      <c r="E993" s="1">
        <v>9872700</v>
      </c>
      <c r="F993" s="1">
        <v>2179500</v>
      </c>
      <c r="G993" s="1" t="s">
        <v>11</v>
      </c>
      <c r="H993" s="1" t="s">
        <v>38</v>
      </c>
      <c r="I993" t="s">
        <v>13</v>
      </c>
      <c r="J993" t="s">
        <v>13</v>
      </c>
    </row>
    <row r="994" spans="1:11" x14ac:dyDescent="0.35">
      <c r="A994" t="s">
        <v>39</v>
      </c>
      <c r="B994" t="s">
        <v>13</v>
      </c>
      <c r="C994" t="s">
        <v>7</v>
      </c>
      <c r="D994" t="s">
        <v>8</v>
      </c>
      <c r="E994" s="1">
        <v>23395100</v>
      </c>
      <c r="F994" s="1">
        <v>6669900</v>
      </c>
      <c r="G994" s="1" t="s">
        <v>11</v>
      </c>
      <c r="H994" s="1">
        <v>87133700</v>
      </c>
      <c r="I994" t="s">
        <v>13</v>
      </c>
      <c r="J994" t="s">
        <v>13</v>
      </c>
      <c r="K994">
        <v>7.65</v>
      </c>
    </row>
    <row r="995" spans="1:11" x14ac:dyDescent="0.35">
      <c r="E995" s="1"/>
      <c r="F995" s="1"/>
      <c r="G995" s="1"/>
      <c r="H995" s="1"/>
    </row>
    <row r="996" spans="1:11" x14ac:dyDescent="0.35">
      <c r="A996" t="s">
        <v>241</v>
      </c>
      <c r="B996" t="str">
        <f>"31146"</f>
        <v>31146</v>
      </c>
      <c r="C996" t="str">
        <f>"001"</f>
        <v>001</v>
      </c>
      <c r="D996">
        <v>1995</v>
      </c>
      <c r="E996" s="1">
        <v>47149200</v>
      </c>
      <c r="F996" s="1">
        <v>42429000</v>
      </c>
      <c r="G996" s="1" t="s">
        <v>11</v>
      </c>
      <c r="H996" s="1" t="s">
        <v>38</v>
      </c>
      <c r="I996" t="s">
        <v>13</v>
      </c>
      <c r="J996" t="s">
        <v>13</v>
      </c>
    </row>
    <row r="997" spans="1:11" x14ac:dyDescent="0.35">
      <c r="A997" t="s">
        <v>39</v>
      </c>
      <c r="B997" t="s">
        <v>13</v>
      </c>
      <c r="C997" t="s">
        <v>7</v>
      </c>
      <c r="D997" t="s">
        <v>8</v>
      </c>
      <c r="E997" s="1">
        <v>47149200</v>
      </c>
      <c r="F997" s="1">
        <v>42429000</v>
      </c>
      <c r="G997" s="1" t="s">
        <v>11</v>
      </c>
      <c r="H997" s="1">
        <v>235880200</v>
      </c>
      <c r="I997" t="s">
        <v>13</v>
      </c>
      <c r="J997" t="s">
        <v>13</v>
      </c>
      <c r="K997">
        <v>17.989999999999998</v>
      </c>
    </row>
    <row r="998" spans="1:11" x14ac:dyDescent="0.35">
      <c r="E998" s="1"/>
      <c r="F998" s="1"/>
      <c r="G998" s="1"/>
      <c r="H998" s="1"/>
    </row>
    <row r="999" spans="1:11" x14ac:dyDescent="0.35">
      <c r="A999" t="s">
        <v>242</v>
      </c>
      <c r="B999" t="str">
        <f>"13032"</f>
        <v>13032</v>
      </c>
      <c r="C999" t="str">
        <f>"002O"</f>
        <v>002O</v>
      </c>
      <c r="D999">
        <v>2006</v>
      </c>
      <c r="E999" s="1">
        <v>71750300</v>
      </c>
      <c r="F999" s="1">
        <v>46903500</v>
      </c>
      <c r="G999" s="1" t="s">
        <v>11</v>
      </c>
      <c r="H999" s="1" t="s">
        <v>38</v>
      </c>
      <c r="I999" t="s">
        <v>13</v>
      </c>
      <c r="J999" t="s">
        <v>13</v>
      </c>
    </row>
    <row r="1000" spans="1:11" x14ac:dyDescent="0.35">
      <c r="A1000" t="s">
        <v>39</v>
      </c>
      <c r="B1000" t="s">
        <v>13</v>
      </c>
      <c r="C1000" t="s">
        <v>7</v>
      </c>
      <c r="D1000" t="s">
        <v>8</v>
      </c>
      <c r="E1000" s="1">
        <v>71750300</v>
      </c>
      <c r="F1000" s="1">
        <v>46903500</v>
      </c>
      <c r="G1000" s="1" t="s">
        <v>11</v>
      </c>
      <c r="H1000" s="1">
        <v>535302400</v>
      </c>
      <c r="I1000" t="s">
        <v>13</v>
      </c>
      <c r="J1000" t="s">
        <v>13</v>
      </c>
      <c r="K1000">
        <v>8.76</v>
      </c>
    </row>
    <row r="1001" spans="1:11" x14ac:dyDescent="0.35">
      <c r="A1001" t="s">
        <v>242</v>
      </c>
      <c r="B1001" t="str">
        <f t="shared" ref="B1001:B1012" si="17">"13251"</f>
        <v>13251</v>
      </c>
      <c r="C1001" t="str">
        <f>"025"</f>
        <v>025</v>
      </c>
      <c r="D1001">
        <v>1995</v>
      </c>
      <c r="E1001" s="1">
        <v>252742200</v>
      </c>
      <c r="F1001" s="1">
        <v>214135500</v>
      </c>
      <c r="G1001" s="1" t="s">
        <v>11</v>
      </c>
      <c r="H1001" s="1" t="s">
        <v>38</v>
      </c>
      <c r="I1001" t="s">
        <v>13</v>
      </c>
      <c r="J1001" t="s">
        <v>13</v>
      </c>
    </row>
    <row r="1002" spans="1:11" x14ac:dyDescent="0.35">
      <c r="A1002" t="s">
        <v>5</v>
      </c>
      <c r="B1002" t="str">
        <f t="shared" si="17"/>
        <v>13251</v>
      </c>
      <c r="C1002" t="str">
        <f>"029"</f>
        <v>029</v>
      </c>
      <c r="D1002">
        <v>2000</v>
      </c>
      <c r="E1002" s="1">
        <v>77184000</v>
      </c>
      <c r="F1002" s="1">
        <v>35442600</v>
      </c>
      <c r="G1002" s="1" t="s">
        <v>11</v>
      </c>
      <c r="H1002" s="1" t="s">
        <v>38</v>
      </c>
      <c r="I1002" t="s">
        <v>13</v>
      </c>
      <c r="J1002" t="s">
        <v>13</v>
      </c>
    </row>
    <row r="1003" spans="1:11" x14ac:dyDescent="0.35">
      <c r="A1003" t="s">
        <v>5</v>
      </c>
      <c r="B1003" t="str">
        <f t="shared" si="17"/>
        <v>13251</v>
      </c>
      <c r="C1003" t="str">
        <f>"035"</f>
        <v>035</v>
      </c>
      <c r="D1003">
        <v>2005</v>
      </c>
      <c r="E1003" s="1">
        <v>80559600</v>
      </c>
      <c r="F1003" s="1">
        <v>54759000</v>
      </c>
      <c r="G1003" s="1" t="s">
        <v>11</v>
      </c>
      <c r="H1003" s="1" t="s">
        <v>38</v>
      </c>
      <c r="I1003" t="s">
        <v>13</v>
      </c>
      <c r="J1003" t="s">
        <v>13</v>
      </c>
    </row>
    <row r="1004" spans="1:11" x14ac:dyDescent="0.35">
      <c r="A1004" t="s">
        <v>5</v>
      </c>
      <c r="B1004" t="str">
        <f t="shared" si="17"/>
        <v>13251</v>
      </c>
      <c r="C1004" t="str">
        <f>"036"</f>
        <v>036</v>
      </c>
      <c r="D1004">
        <v>2005</v>
      </c>
      <c r="E1004" s="1">
        <v>549444800</v>
      </c>
      <c r="F1004" s="1">
        <v>451792400</v>
      </c>
      <c r="G1004" s="1" t="s">
        <v>11</v>
      </c>
      <c r="H1004" s="1" t="s">
        <v>38</v>
      </c>
      <c r="I1004" t="s">
        <v>13</v>
      </c>
      <c r="J1004" t="s">
        <v>13</v>
      </c>
    </row>
    <row r="1005" spans="1:11" x14ac:dyDescent="0.35">
      <c r="A1005" t="s">
        <v>5</v>
      </c>
      <c r="B1005" t="str">
        <f t="shared" si="17"/>
        <v>13251</v>
      </c>
      <c r="C1005" t="str">
        <f>"037"</f>
        <v>037</v>
      </c>
      <c r="D1005">
        <v>2006</v>
      </c>
      <c r="E1005" s="1">
        <v>181495700</v>
      </c>
      <c r="F1005" s="1">
        <v>138028800</v>
      </c>
      <c r="G1005" s="1" t="s">
        <v>11</v>
      </c>
      <c r="H1005" s="1" t="s">
        <v>38</v>
      </c>
      <c r="I1005" t="s">
        <v>13</v>
      </c>
      <c r="J1005" t="s">
        <v>13</v>
      </c>
    </row>
    <row r="1006" spans="1:11" x14ac:dyDescent="0.35">
      <c r="A1006" t="s">
        <v>5</v>
      </c>
      <c r="B1006" t="str">
        <f t="shared" si="17"/>
        <v>13251</v>
      </c>
      <c r="C1006" t="str">
        <f>"039"</f>
        <v>039</v>
      </c>
      <c r="D1006">
        <v>2008</v>
      </c>
      <c r="E1006" s="1">
        <v>384728200</v>
      </c>
      <c r="F1006" s="1">
        <v>121471700</v>
      </c>
      <c r="G1006" s="1" t="s">
        <v>11</v>
      </c>
      <c r="H1006" s="1" t="s">
        <v>38</v>
      </c>
      <c r="I1006" t="s">
        <v>13</v>
      </c>
      <c r="J1006" t="s">
        <v>13</v>
      </c>
    </row>
    <row r="1007" spans="1:11" x14ac:dyDescent="0.35">
      <c r="A1007" t="s">
        <v>5</v>
      </c>
      <c r="B1007" t="str">
        <f t="shared" si="17"/>
        <v>13251</v>
      </c>
      <c r="C1007" t="str">
        <f>"041"</f>
        <v>041</v>
      </c>
      <c r="D1007">
        <v>2011</v>
      </c>
      <c r="E1007" s="1">
        <v>72378300</v>
      </c>
      <c r="F1007" s="1">
        <v>53675000</v>
      </c>
      <c r="G1007" s="1" t="s">
        <v>11</v>
      </c>
      <c r="H1007" s="1" t="s">
        <v>38</v>
      </c>
      <c r="I1007" t="s">
        <v>13</v>
      </c>
      <c r="J1007" t="s">
        <v>13</v>
      </c>
    </row>
    <row r="1008" spans="1:11" x14ac:dyDescent="0.35">
      <c r="A1008" t="s">
        <v>5</v>
      </c>
      <c r="B1008" t="str">
        <f t="shared" si="17"/>
        <v>13251</v>
      </c>
      <c r="C1008" t="str">
        <f>"042"</f>
        <v>042</v>
      </c>
      <c r="D1008">
        <v>2012</v>
      </c>
      <c r="E1008" s="1">
        <v>122529300</v>
      </c>
      <c r="F1008" s="1">
        <v>71663100</v>
      </c>
      <c r="G1008" s="1" t="s">
        <v>11</v>
      </c>
      <c r="H1008" s="1" t="s">
        <v>38</v>
      </c>
      <c r="I1008" t="s">
        <v>13</v>
      </c>
      <c r="J1008" t="s">
        <v>13</v>
      </c>
    </row>
    <row r="1009" spans="1:11" x14ac:dyDescent="0.35">
      <c r="A1009" t="s">
        <v>5</v>
      </c>
      <c r="B1009" t="str">
        <f t="shared" si="17"/>
        <v>13251</v>
      </c>
      <c r="C1009" t="str">
        <f>"044"</f>
        <v>044</v>
      </c>
      <c r="D1009">
        <v>2013</v>
      </c>
      <c r="E1009" s="1">
        <v>76072800</v>
      </c>
      <c r="F1009" s="1">
        <v>45624400</v>
      </c>
      <c r="G1009" s="1" t="s">
        <v>11</v>
      </c>
      <c r="H1009" s="1" t="s">
        <v>38</v>
      </c>
      <c r="I1009" t="s">
        <v>13</v>
      </c>
      <c r="J1009" t="s">
        <v>13</v>
      </c>
    </row>
    <row r="1010" spans="1:11" x14ac:dyDescent="0.35">
      <c r="A1010" t="s">
        <v>5</v>
      </c>
      <c r="B1010" t="str">
        <f t="shared" si="17"/>
        <v>13251</v>
      </c>
      <c r="C1010" t="str">
        <f>"045"</f>
        <v>045</v>
      </c>
      <c r="D1010">
        <v>2015</v>
      </c>
      <c r="E1010" s="1">
        <v>174829200</v>
      </c>
      <c r="F1010" s="1">
        <v>95525200</v>
      </c>
      <c r="G1010" s="1" t="s">
        <v>11</v>
      </c>
      <c r="H1010" s="1" t="s">
        <v>38</v>
      </c>
      <c r="I1010" t="s">
        <v>13</v>
      </c>
      <c r="J1010" t="s">
        <v>13</v>
      </c>
    </row>
    <row r="1011" spans="1:11" x14ac:dyDescent="0.35">
      <c r="A1011" t="s">
        <v>5</v>
      </c>
      <c r="B1011" t="str">
        <f t="shared" si="17"/>
        <v>13251</v>
      </c>
      <c r="C1011" t="str">
        <f>"046"</f>
        <v>046</v>
      </c>
      <c r="D1011">
        <v>2015</v>
      </c>
      <c r="E1011" s="1">
        <v>419190500</v>
      </c>
      <c r="F1011" s="1">
        <v>289286500</v>
      </c>
      <c r="G1011" s="1" t="s">
        <v>11</v>
      </c>
      <c r="H1011" s="1" t="s">
        <v>38</v>
      </c>
      <c r="I1011" t="s">
        <v>13</v>
      </c>
      <c r="J1011" t="s">
        <v>13</v>
      </c>
    </row>
    <row r="1012" spans="1:11" x14ac:dyDescent="0.35">
      <c r="A1012" t="s">
        <v>5</v>
      </c>
      <c r="B1012" t="str">
        <f t="shared" si="17"/>
        <v>13251</v>
      </c>
      <c r="C1012" t="str">
        <f>"047"</f>
        <v>047</v>
      </c>
      <c r="D1012">
        <v>2017</v>
      </c>
      <c r="E1012" s="1">
        <v>28125300</v>
      </c>
      <c r="F1012" s="1">
        <v>18092700</v>
      </c>
      <c r="G1012" s="1" t="s">
        <v>11</v>
      </c>
      <c r="H1012" s="1" t="s">
        <v>38</v>
      </c>
      <c r="I1012" t="s">
        <v>13</v>
      </c>
      <c r="J1012" t="s">
        <v>13</v>
      </c>
    </row>
    <row r="1013" spans="1:11" x14ac:dyDescent="0.35">
      <c r="A1013" t="s">
        <v>39</v>
      </c>
      <c r="B1013" t="s">
        <v>13</v>
      </c>
      <c r="C1013" t="s">
        <v>7</v>
      </c>
      <c r="D1013" t="s">
        <v>8</v>
      </c>
      <c r="E1013" s="1">
        <v>2419279900</v>
      </c>
      <c r="F1013" s="1">
        <v>1589496900</v>
      </c>
      <c r="G1013" s="1" t="s">
        <v>11</v>
      </c>
      <c r="H1013" s="1">
        <v>32940368400</v>
      </c>
      <c r="I1013" t="s">
        <v>13</v>
      </c>
      <c r="J1013" t="s">
        <v>13</v>
      </c>
      <c r="K1013">
        <v>4.83</v>
      </c>
    </row>
    <row r="1014" spans="1:11" x14ac:dyDescent="0.35">
      <c r="E1014" s="1"/>
      <c r="F1014" s="1"/>
      <c r="G1014" s="1"/>
      <c r="H1014" s="1"/>
    </row>
    <row r="1015" spans="1:11" x14ac:dyDescent="0.35">
      <c r="A1015" t="s">
        <v>243</v>
      </c>
      <c r="B1015" t="str">
        <f>"37146"</f>
        <v>37146</v>
      </c>
      <c r="C1015" t="str">
        <f>"001"</f>
        <v>001</v>
      </c>
      <c r="D1015">
        <v>1997</v>
      </c>
      <c r="E1015" s="1">
        <v>11081600</v>
      </c>
      <c r="F1015" s="1">
        <v>10634500</v>
      </c>
      <c r="G1015" s="1" t="s">
        <v>11</v>
      </c>
      <c r="H1015" s="1" t="s">
        <v>38</v>
      </c>
      <c r="I1015" t="s">
        <v>13</v>
      </c>
      <c r="J1015" t="s">
        <v>13</v>
      </c>
    </row>
    <row r="1016" spans="1:11" x14ac:dyDescent="0.35">
      <c r="A1016" t="s">
        <v>39</v>
      </c>
      <c r="B1016" t="s">
        <v>13</v>
      </c>
      <c r="C1016" t="s">
        <v>7</v>
      </c>
      <c r="D1016" t="s">
        <v>8</v>
      </c>
      <c r="E1016" s="1">
        <v>11081600</v>
      </c>
      <c r="F1016" s="1">
        <v>10634500</v>
      </c>
      <c r="G1016" s="1" t="s">
        <v>11</v>
      </c>
      <c r="H1016" s="1">
        <v>290705500</v>
      </c>
      <c r="I1016" t="s">
        <v>13</v>
      </c>
      <c r="J1016" t="s">
        <v>13</v>
      </c>
      <c r="K1016">
        <v>3.66</v>
      </c>
    </row>
    <row r="1017" spans="1:11" x14ac:dyDescent="0.35">
      <c r="E1017" s="1"/>
      <c r="F1017" s="1"/>
      <c r="G1017" s="1"/>
      <c r="H1017" s="1"/>
    </row>
    <row r="1018" spans="1:11" x14ac:dyDescent="0.35">
      <c r="A1018" t="s">
        <v>244</v>
      </c>
      <c r="B1018" t="str">
        <f>"68251"</f>
        <v>68251</v>
      </c>
      <c r="C1018" t="str">
        <f>"002"</f>
        <v>002</v>
      </c>
      <c r="D1018">
        <v>2016</v>
      </c>
      <c r="E1018" s="1">
        <v>5202400</v>
      </c>
      <c r="F1018" s="1">
        <v>2809700</v>
      </c>
      <c r="G1018" s="1" t="s">
        <v>11</v>
      </c>
      <c r="H1018" s="1" t="s">
        <v>38</v>
      </c>
      <c r="I1018" t="s">
        <v>13</v>
      </c>
      <c r="J1018" t="s">
        <v>13</v>
      </c>
    </row>
    <row r="1019" spans="1:11" x14ac:dyDescent="0.35">
      <c r="A1019" t="s">
        <v>5</v>
      </c>
      <c r="B1019" t="str">
        <f>"68251"</f>
        <v>68251</v>
      </c>
      <c r="C1019" t="str">
        <f>"003"</f>
        <v>003</v>
      </c>
      <c r="D1019">
        <v>2018</v>
      </c>
      <c r="E1019" s="1">
        <v>3253700</v>
      </c>
      <c r="F1019" s="1">
        <v>891100</v>
      </c>
      <c r="G1019" s="1" t="s">
        <v>11</v>
      </c>
      <c r="H1019" s="1" t="s">
        <v>38</v>
      </c>
      <c r="I1019" t="s">
        <v>13</v>
      </c>
      <c r="J1019" t="s">
        <v>13</v>
      </c>
    </row>
    <row r="1020" spans="1:11" x14ac:dyDescent="0.35">
      <c r="A1020" t="s">
        <v>39</v>
      </c>
      <c r="B1020" t="s">
        <v>13</v>
      </c>
      <c r="C1020" t="s">
        <v>7</v>
      </c>
      <c r="D1020" t="s">
        <v>8</v>
      </c>
      <c r="E1020" s="1">
        <v>8456100</v>
      </c>
      <c r="F1020" s="1">
        <v>3700800</v>
      </c>
      <c r="G1020" s="1" t="s">
        <v>11</v>
      </c>
      <c r="H1020" s="1">
        <v>89282400</v>
      </c>
      <c r="I1020" t="s">
        <v>13</v>
      </c>
      <c r="J1020" t="s">
        <v>13</v>
      </c>
      <c r="K1020">
        <v>4.1500000000000004</v>
      </c>
    </row>
    <row r="1021" spans="1:11" x14ac:dyDescent="0.35">
      <c r="E1021" s="1"/>
      <c r="F1021" s="1"/>
      <c r="G1021" s="1"/>
      <c r="H1021" s="1"/>
    </row>
    <row r="1022" spans="1:11" x14ac:dyDescent="0.35">
      <c r="A1022" t="s">
        <v>245</v>
      </c>
      <c r="B1022" t="str">
        <f t="shared" ref="B1022:B1028" si="18">"36251"</f>
        <v>36251</v>
      </c>
      <c r="C1022" t="str">
        <f>"016"</f>
        <v>016</v>
      </c>
      <c r="D1022">
        <v>2003</v>
      </c>
      <c r="E1022" s="1">
        <v>41642800</v>
      </c>
      <c r="F1022" s="1">
        <v>18112500</v>
      </c>
      <c r="G1022" s="1" t="s">
        <v>11</v>
      </c>
      <c r="H1022" s="1" t="s">
        <v>38</v>
      </c>
      <c r="I1022" t="s">
        <v>13</v>
      </c>
      <c r="J1022" t="s">
        <v>13</v>
      </c>
    </row>
    <row r="1023" spans="1:11" x14ac:dyDescent="0.35">
      <c r="A1023" t="s">
        <v>5</v>
      </c>
      <c r="B1023" t="str">
        <f t="shared" si="18"/>
        <v>36251</v>
      </c>
      <c r="C1023" t="str">
        <f>"017"</f>
        <v>017</v>
      </c>
      <c r="D1023">
        <v>2007</v>
      </c>
      <c r="E1023" s="1">
        <v>10996000</v>
      </c>
      <c r="F1023" s="1">
        <v>10803800</v>
      </c>
      <c r="G1023" s="1" t="s">
        <v>11</v>
      </c>
      <c r="H1023" s="1" t="s">
        <v>38</v>
      </c>
      <c r="I1023" t="s">
        <v>13</v>
      </c>
      <c r="J1023" t="s">
        <v>13</v>
      </c>
    </row>
    <row r="1024" spans="1:11" x14ac:dyDescent="0.35">
      <c r="A1024" t="s">
        <v>5</v>
      </c>
      <c r="B1024" t="str">
        <f t="shared" si="18"/>
        <v>36251</v>
      </c>
      <c r="C1024" t="str">
        <f>"018"</f>
        <v>018</v>
      </c>
      <c r="D1024">
        <v>2015</v>
      </c>
      <c r="E1024" s="1">
        <v>22688700</v>
      </c>
      <c r="F1024" s="1">
        <v>9196400</v>
      </c>
      <c r="G1024" s="1" t="s">
        <v>11</v>
      </c>
      <c r="H1024" s="1" t="s">
        <v>38</v>
      </c>
      <c r="I1024" t="s">
        <v>13</v>
      </c>
      <c r="J1024" t="s">
        <v>13</v>
      </c>
    </row>
    <row r="1025" spans="1:11" x14ac:dyDescent="0.35">
      <c r="A1025" t="s">
        <v>5</v>
      </c>
      <c r="B1025" t="str">
        <f t="shared" si="18"/>
        <v>36251</v>
      </c>
      <c r="C1025" t="str">
        <f>"019"</f>
        <v>019</v>
      </c>
      <c r="D1025">
        <v>2017</v>
      </c>
      <c r="E1025" s="1">
        <v>72545000</v>
      </c>
      <c r="F1025" s="1">
        <v>14130400</v>
      </c>
      <c r="G1025" s="1" t="s">
        <v>11</v>
      </c>
      <c r="H1025" s="1" t="s">
        <v>38</v>
      </c>
      <c r="I1025" t="s">
        <v>13</v>
      </c>
      <c r="J1025" t="s">
        <v>13</v>
      </c>
    </row>
    <row r="1026" spans="1:11" x14ac:dyDescent="0.35">
      <c r="A1026" t="s">
        <v>5</v>
      </c>
      <c r="B1026" t="str">
        <f t="shared" si="18"/>
        <v>36251</v>
      </c>
      <c r="C1026" t="str">
        <f>"020"</f>
        <v>020</v>
      </c>
      <c r="D1026">
        <v>2018</v>
      </c>
      <c r="E1026" s="1">
        <v>48413000</v>
      </c>
      <c r="F1026" s="1">
        <v>26773000</v>
      </c>
      <c r="G1026" s="1" t="s">
        <v>11</v>
      </c>
      <c r="H1026" s="1" t="s">
        <v>38</v>
      </c>
      <c r="I1026" t="s">
        <v>13</v>
      </c>
      <c r="J1026" t="s">
        <v>13</v>
      </c>
    </row>
    <row r="1027" spans="1:11" x14ac:dyDescent="0.35">
      <c r="A1027" t="s">
        <v>5</v>
      </c>
      <c r="B1027" t="str">
        <f t="shared" si="18"/>
        <v>36251</v>
      </c>
      <c r="C1027" t="str">
        <f>"021"</f>
        <v>021</v>
      </c>
      <c r="D1027">
        <v>2018</v>
      </c>
      <c r="E1027" s="1">
        <v>32105000</v>
      </c>
      <c r="F1027" s="1">
        <v>9374600</v>
      </c>
      <c r="G1027" s="1" t="s">
        <v>11</v>
      </c>
      <c r="H1027" s="1" t="s">
        <v>38</v>
      </c>
      <c r="I1027" t="s">
        <v>13</v>
      </c>
      <c r="J1027" t="s">
        <v>13</v>
      </c>
    </row>
    <row r="1028" spans="1:11" x14ac:dyDescent="0.35">
      <c r="A1028" t="s">
        <v>5</v>
      </c>
      <c r="B1028" t="str">
        <f t="shared" si="18"/>
        <v>36251</v>
      </c>
      <c r="C1028" t="str">
        <f>"022"</f>
        <v>022</v>
      </c>
      <c r="D1028">
        <v>2020</v>
      </c>
      <c r="E1028" s="1">
        <v>2695500</v>
      </c>
      <c r="F1028" s="1">
        <v>-455900</v>
      </c>
      <c r="G1028" s="1" t="s">
        <v>48</v>
      </c>
      <c r="H1028" s="1" t="s">
        <v>38</v>
      </c>
      <c r="I1028" t="s">
        <v>13</v>
      </c>
      <c r="J1028" t="s">
        <v>13</v>
      </c>
    </row>
    <row r="1029" spans="1:11" x14ac:dyDescent="0.35">
      <c r="A1029" t="s">
        <v>39</v>
      </c>
      <c r="B1029" t="s">
        <v>13</v>
      </c>
      <c r="C1029" t="s">
        <v>7</v>
      </c>
      <c r="D1029" t="s">
        <v>8</v>
      </c>
      <c r="E1029" s="1">
        <v>231086000</v>
      </c>
      <c r="F1029" s="1">
        <v>88390700</v>
      </c>
      <c r="G1029" s="1" t="s">
        <v>11</v>
      </c>
      <c r="H1029" s="1">
        <v>2261038800</v>
      </c>
      <c r="I1029" t="s">
        <v>13</v>
      </c>
      <c r="J1029" t="s">
        <v>13</v>
      </c>
      <c r="K1029">
        <v>3.91</v>
      </c>
    </row>
    <row r="1030" spans="1:11" x14ac:dyDescent="0.35">
      <c r="E1030" s="1"/>
      <c r="F1030" s="1"/>
      <c r="G1030" s="1"/>
      <c r="H1030" s="1"/>
    </row>
    <row r="1031" spans="1:11" x14ac:dyDescent="0.35">
      <c r="A1031" t="s">
        <v>246</v>
      </c>
      <c r="B1031" t="str">
        <f>"13151"</f>
        <v>13151</v>
      </c>
      <c r="C1031" t="str">
        <f>"001"</f>
        <v>001</v>
      </c>
      <c r="D1031">
        <v>2014</v>
      </c>
      <c r="E1031" s="1">
        <v>13618600</v>
      </c>
      <c r="F1031" s="1">
        <v>7929200</v>
      </c>
      <c r="G1031" s="1" t="s">
        <v>11</v>
      </c>
      <c r="H1031" s="1" t="s">
        <v>38</v>
      </c>
      <c r="I1031" t="s">
        <v>13</v>
      </c>
      <c r="J1031" t="s">
        <v>13</v>
      </c>
    </row>
    <row r="1032" spans="1:11" x14ac:dyDescent="0.35">
      <c r="A1032" t="s">
        <v>39</v>
      </c>
      <c r="B1032" t="s">
        <v>13</v>
      </c>
      <c r="C1032" t="s">
        <v>7</v>
      </c>
      <c r="D1032" t="s">
        <v>8</v>
      </c>
      <c r="E1032" s="1">
        <v>13618600</v>
      </c>
      <c r="F1032" s="1">
        <v>7929200</v>
      </c>
      <c r="G1032" s="1" t="s">
        <v>11</v>
      </c>
      <c r="H1032" s="1">
        <v>540879400</v>
      </c>
      <c r="I1032" t="s">
        <v>13</v>
      </c>
      <c r="J1032" t="s">
        <v>13</v>
      </c>
      <c r="K1032">
        <v>1.47</v>
      </c>
    </row>
    <row r="1033" spans="1:11" x14ac:dyDescent="0.35">
      <c r="E1033" s="1"/>
      <c r="F1033" s="1"/>
      <c r="G1033" s="1"/>
      <c r="H1033" s="1"/>
    </row>
    <row r="1034" spans="1:11" x14ac:dyDescent="0.35">
      <c r="A1034" t="s">
        <v>247</v>
      </c>
      <c r="B1034" t="str">
        <f>"37151"</f>
        <v>37151</v>
      </c>
      <c r="C1034" t="str">
        <f>"001"</f>
        <v>001</v>
      </c>
      <c r="D1034">
        <v>2002</v>
      </c>
      <c r="E1034" s="1">
        <v>39930200</v>
      </c>
      <c r="F1034" s="1">
        <v>32568800</v>
      </c>
      <c r="G1034" s="1" t="s">
        <v>11</v>
      </c>
      <c r="H1034" s="1" t="s">
        <v>38</v>
      </c>
      <c r="I1034" t="s">
        <v>13</v>
      </c>
      <c r="J1034" t="s">
        <v>13</v>
      </c>
    </row>
    <row r="1035" spans="1:11" x14ac:dyDescent="0.35">
      <c r="A1035" t="s">
        <v>5</v>
      </c>
      <c r="B1035" t="str">
        <f>"37151"</f>
        <v>37151</v>
      </c>
      <c r="C1035" t="str">
        <f>"002"</f>
        <v>002</v>
      </c>
      <c r="D1035">
        <v>2016</v>
      </c>
      <c r="E1035" s="1">
        <v>7693800</v>
      </c>
      <c r="F1035" s="1">
        <v>6547000</v>
      </c>
      <c r="G1035" s="1" t="s">
        <v>11</v>
      </c>
      <c r="H1035" s="1" t="s">
        <v>38</v>
      </c>
      <c r="I1035" t="s">
        <v>13</v>
      </c>
      <c r="J1035" t="s">
        <v>13</v>
      </c>
    </row>
    <row r="1036" spans="1:11" x14ac:dyDescent="0.35">
      <c r="A1036" t="s">
        <v>39</v>
      </c>
      <c r="B1036" t="s">
        <v>13</v>
      </c>
      <c r="C1036" t="s">
        <v>7</v>
      </c>
      <c r="D1036" t="s">
        <v>8</v>
      </c>
      <c r="E1036" s="1">
        <v>47624000</v>
      </c>
      <c r="F1036" s="1">
        <v>39115800</v>
      </c>
      <c r="G1036" s="1" t="s">
        <v>11</v>
      </c>
      <c r="H1036" s="1">
        <v>175316300</v>
      </c>
      <c r="I1036" t="s">
        <v>13</v>
      </c>
      <c r="J1036" t="s">
        <v>13</v>
      </c>
      <c r="K1036">
        <v>22.31</v>
      </c>
    </row>
    <row r="1037" spans="1:11" x14ac:dyDescent="0.35">
      <c r="E1037" s="1"/>
      <c r="F1037" s="1"/>
      <c r="G1037" s="1"/>
      <c r="H1037" s="1"/>
    </row>
    <row r="1038" spans="1:11" x14ac:dyDescent="0.35">
      <c r="A1038" t="s">
        <v>248</v>
      </c>
      <c r="B1038" t="str">
        <f>"36147"</f>
        <v>36147</v>
      </c>
      <c r="C1038" t="str">
        <f>"001"</f>
        <v>001</v>
      </c>
      <c r="D1038">
        <v>2017</v>
      </c>
      <c r="E1038" s="1">
        <v>4367600</v>
      </c>
      <c r="F1038" s="1">
        <v>3120200</v>
      </c>
      <c r="G1038" s="1" t="s">
        <v>11</v>
      </c>
      <c r="H1038" s="1" t="s">
        <v>38</v>
      </c>
      <c r="I1038" t="s">
        <v>13</v>
      </c>
      <c r="J1038" t="s">
        <v>13</v>
      </c>
    </row>
    <row r="1039" spans="1:11" x14ac:dyDescent="0.35">
      <c r="A1039" t="s">
        <v>39</v>
      </c>
      <c r="B1039" t="s">
        <v>13</v>
      </c>
      <c r="C1039" t="s">
        <v>7</v>
      </c>
      <c r="D1039" t="s">
        <v>8</v>
      </c>
      <c r="E1039" s="1">
        <v>4367600</v>
      </c>
      <c r="F1039" s="1">
        <v>3120200</v>
      </c>
      <c r="G1039" s="1" t="s">
        <v>11</v>
      </c>
      <c r="H1039" s="1">
        <v>22884700</v>
      </c>
      <c r="I1039" t="s">
        <v>13</v>
      </c>
      <c r="J1039" t="s">
        <v>13</v>
      </c>
      <c r="K1039">
        <v>13.63</v>
      </c>
    </row>
    <row r="1040" spans="1:11" x14ac:dyDescent="0.35">
      <c r="E1040" s="1"/>
      <c r="F1040" s="1"/>
      <c r="G1040" s="1"/>
      <c r="H1040" s="1"/>
    </row>
    <row r="1041" spans="1:11" x14ac:dyDescent="0.35">
      <c r="A1041" t="s">
        <v>249</v>
      </c>
      <c r="B1041" t="str">
        <f t="shared" ref="B1041:B1048" si="19">"38251"</f>
        <v>38251</v>
      </c>
      <c r="C1041" t="str">
        <f>"006"</f>
        <v>006</v>
      </c>
      <c r="D1041">
        <v>2002</v>
      </c>
      <c r="E1041" s="1">
        <v>12162300</v>
      </c>
      <c r="F1041" s="1">
        <v>11839200</v>
      </c>
      <c r="G1041" s="1" t="s">
        <v>11</v>
      </c>
      <c r="H1041" s="1" t="s">
        <v>38</v>
      </c>
      <c r="I1041" t="s">
        <v>13</v>
      </c>
      <c r="J1041" t="s">
        <v>13</v>
      </c>
    </row>
    <row r="1042" spans="1:11" x14ac:dyDescent="0.35">
      <c r="A1042" t="s">
        <v>5</v>
      </c>
      <c r="B1042" t="str">
        <f t="shared" si="19"/>
        <v>38251</v>
      </c>
      <c r="C1042" t="str">
        <f>"007"</f>
        <v>007</v>
      </c>
      <c r="D1042">
        <v>2005</v>
      </c>
      <c r="E1042" s="1">
        <v>6033800</v>
      </c>
      <c r="F1042" s="1">
        <v>3140100</v>
      </c>
      <c r="G1042" s="1" t="s">
        <v>11</v>
      </c>
      <c r="H1042" s="1" t="s">
        <v>38</v>
      </c>
      <c r="I1042" t="s">
        <v>13</v>
      </c>
      <c r="J1042" t="s">
        <v>13</v>
      </c>
    </row>
    <row r="1043" spans="1:11" x14ac:dyDescent="0.35">
      <c r="A1043" t="s">
        <v>5</v>
      </c>
      <c r="B1043" t="str">
        <f t="shared" si="19"/>
        <v>38251</v>
      </c>
      <c r="C1043" t="str">
        <f>"008"</f>
        <v>008</v>
      </c>
      <c r="D1043">
        <v>2007</v>
      </c>
      <c r="E1043" s="1">
        <v>8791400</v>
      </c>
      <c r="F1043" s="1">
        <v>7356700</v>
      </c>
      <c r="G1043" s="1" t="s">
        <v>11</v>
      </c>
      <c r="H1043" s="1" t="s">
        <v>38</v>
      </c>
      <c r="I1043" t="s">
        <v>13</v>
      </c>
      <c r="J1043" t="s">
        <v>13</v>
      </c>
    </row>
    <row r="1044" spans="1:11" x14ac:dyDescent="0.35">
      <c r="A1044" t="s">
        <v>5</v>
      </c>
      <c r="B1044" t="str">
        <f t="shared" si="19"/>
        <v>38251</v>
      </c>
      <c r="C1044" t="str">
        <f>"009"</f>
        <v>009</v>
      </c>
      <c r="D1044">
        <v>2009</v>
      </c>
      <c r="E1044" s="1">
        <v>2010900</v>
      </c>
      <c r="F1044" s="1">
        <v>1698000</v>
      </c>
      <c r="G1044" s="1" t="s">
        <v>11</v>
      </c>
      <c r="H1044" s="1" t="s">
        <v>38</v>
      </c>
      <c r="I1044" t="s">
        <v>13</v>
      </c>
      <c r="J1044" t="s">
        <v>13</v>
      </c>
    </row>
    <row r="1045" spans="1:11" x14ac:dyDescent="0.35">
      <c r="A1045" t="s">
        <v>5</v>
      </c>
      <c r="B1045" t="str">
        <f t="shared" si="19"/>
        <v>38251</v>
      </c>
      <c r="C1045" t="str">
        <f>"010"</f>
        <v>010</v>
      </c>
      <c r="D1045">
        <v>2010</v>
      </c>
      <c r="E1045" s="1">
        <v>13954400</v>
      </c>
      <c r="F1045" s="1">
        <v>10453900</v>
      </c>
      <c r="G1045" s="1" t="s">
        <v>11</v>
      </c>
      <c r="H1045" s="1" t="s">
        <v>38</v>
      </c>
      <c r="I1045" t="s">
        <v>13</v>
      </c>
      <c r="J1045" t="s">
        <v>13</v>
      </c>
    </row>
    <row r="1046" spans="1:11" x14ac:dyDescent="0.35">
      <c r="A1046" t="s">
        <v>5</v>
      </c>
      <c r="B1046" t="str">
        <f t="shared" si="19"/>
        <v>38251</v>
      </c>
      <c r="C1046" t="str">
        <f>"011"</f>
        <v>011</v>
      </c>
      <c r="D1046">
        <v>2011</v>
      </c>
      <c r="E1046" s="1">
        <v>34625100</v>
      </c>
      <c r="F1046" s="1">
        <v>19246400</v>
      </c>
      <c r="G1046" s="1" t="s">
        <v>11</v>
      </c>
      <c r="H1046" s="1" t="s">
        <v>38</v>
      </c>
      <c r="I1046" t="s">
        <v>13</v>
      </c>
      <c r="J1046" t="s">
        <v>13</v>
      </c>
    </row>
    <row r="1047" spans="1:11" x14ac:dyDescent="0.35">
      <c r="A1047" t="s">
        <v>5</v>
      </c>
      <c r="B1047" t="str">
        <f t="shared" si="19"/>
        <v>38251</v>
      </c>
      <c r="C1047" t="str">
        <f>"012"</f>
        <v>012</v>
      </c>
      <c r="D1047">
        <v>2012</v>
      </c>
      <c r="E1047" s="1">
        <v>3436600</v>
      </c>
      <c r="F1047" s="1">
        <v>1802700</v>
      </c>
      <c r="G1047" s="1" t="s">
        <v>11</v>
      </c>
      <c r="H1047" s="1" t="s">
        <v>38</v>
      </c>
      <c r="I1047" t="s">
        <v>13</v>
      </c>
      <c r="J1047" t="s">
        <v>13</v>
      </c>
    </row>
    <row r="1048" spans="1:11" x14ac:dyDescent="0.35">
      <c r="A1048" t="s">
        <v>5</v>
      </c>
      <c r="B1048" t="str">
        <f t="shared" si="19"/>
        <v>38251</v>
      </c>
      <c r="C1048" t="str">
        <f>"013"</f>
        <v>013</v>
      </c>
      <c r="D1048">
        <v>2016</v>
      </c>
      <c r="E1048" s="1">
        <v>19233800</v>
      </c>
      <c r="F1048" s="1">
        <v>14583100</v>
      </c>
      <c r="G1048" s="1" t="s">
        <v>11</v>
      </c>
      <c r="H1048" s="1" t="s">
        <v>38</v>
      </c>
      <c r="I1048" t="s">
        <v>13</v>
      </c>
      <c r="J1048" t="s">
        <v>13</v>
      </c>
    </row>
    <row r="1049" spans="1:11" x14ac:dyDescent="0.35">
      <c r="A1049" t="s">
        <v>39</v>
      </c>
      <c r="B1049" t="s">
        <v>13</v>
      </c>
      <c r="C1049" t="s">
        <v>7</v>
      </c>
      <c r="D1049" t="s">
        <v>8</v>
      </c>
      <c r="E1049" s="1">
        <v>100248300</v>
      </c>
      <c r="F1049" s="1">
        <v>70120100</v>
      </c>
      <c r="G1049" s="1" t="s">
        <v>11</v>
      </c>
      <c r="H1049" s="1">
        <v>814744200</v>
      </c>
      <c r="I1049" t="s">
        <v>13</v>
      </c>
      <c r="J1049" t="s">
        <v>13</v>
      </c>
      <c r="K1049">
        <v>8.61</v>
      </c>
    </row>
    <row r="1050" spans="1:11" x14ac:dyDescent="0.35">
      <c r="E1050" s="1"/>
      <c r="F1050" s="1"/>
      <c r="G1050" s="1"/>
      <c r="H1050" s="1"/>
    </row>
    <row r="1051" spans="1:11" x14ac:dyDescent="0.35">
      <c r="A1051" t="s">
        <v>250</v>
      </c>
      <c r="B1051" t="str">
        <f>"24251"</f>
        <v>24251</v>
      </c>
      <c r="C1051" t="str">
        <f>"001"</f>
        <v>001</v>
      </c>
      <c r="D1051">
        <v>1995</v>
      </c>
      <c r="E1051" s="1">
        <v>5759500</v>
      </c>
      <c r="F1051" s="1">
        <v>4433000</v>
      </c>
      <c r="G1051" s="1" t="s">
        <v>11</v>
      </c>
      <c r="H1051" s="1" t="s">
        <v>38</v>
      </c>
      <c r="I1051" t="s">
        <v>13</v>
      </c>
      <c r="J1051" t="s">
        <v>13</v>
      </c>
    </row>
    <row r="1052" spans="1:11" x14ac:dyDescent="0.35">
      <c r="A1052" t="s">
        <v>39</v>
      </c>
      <c r="B1052" t="s">
        <v>13</v>
      </c>
      <c r="C1052" t="s">
        <v>7</v>
      </c>
      <c r="D1052" t="s">
        <v>8</v>
      </c>
      <c r="E1052" s="1">
        <v>5759500</v>
      </c>
      <c r="F1052" s="1">
        <v>4433000</v>
      </c>
      <c r="G1052" s="1" t="s">
        <v>11</v>
      </c>
      <c r="H1052" s="1">
        <v>80928200</v>
      </c>
      <c r="I1052" t="s">
        <v>13</v>
      </c>
      <c r="J1052" t="s">
        <v>13</v>
      </c>
      <c r="K1052">
        <v>5.48</v>
      </c>
    </row>
    <row r="1053" spans="1:11" x14ac:dyDescent="0.35">
      <c r="E1053" s="1"/>
      <c r="F1053" s="1"/>
      <c r="G1053" s="1"/>
      <c r="H1053" s="1"/>
    </row>
    <row r="1054" spans="1:11" x14ac:dyDescent="0.35">
      <c r="A1054" t="s">
        <v>251</v>
      </c>
      <c r="B1054" t="str">
        <f>"13152"</f>
        <v>13152</v>
      </c>
      <c r="C1054" t="str">
        <f>"002"</f>
        <v>002</v>
      </c>
      <c r="D1054">
        <v>2018</v>
      </c>
      <c r="E1054" s="1">
        <v>18393800</v>
      </c>
      <c r="F1054" s="1">
        <v>4016700</v>
      </c>
      <c r="G1054" s="1" t="s">
        <v>11</v>
      </c>
      <c r="H1054" s="1" t="s">
        <v>38</v>
      </c>
      <c r="I1054" t="s">
        <v>13</v>
      </c>
      <c r="J1054" t="s">
        <v>13</v>
      </c>
    </row>
    <row r="1055" spans="1:11" x14ac:dyDescent="0.35">
      <c r="A1055" t="s">
        <v>39</v>
      </c>
      <c r="B1055" t="s">
        <v>13</v>
      </c>
      <c r="C1055" t="s">
        <v>7</v>
      </c>
      <c r="D1055" t="s">
        <v>8</v>
      </c>
      <c r="E1055" s="1">
        <v>18393800</v>
      </c>
      <c r="F1055" s="1">
        <v>4016700</v>
      </c>
      <c r="G1055" s="1" t="s">
        <v>11</v>
      </c>
      <c r="H1055" s="1">
        <v>265355800</v>
      </c>
      <c r="I1055" t="s">
        <v>13</v>
      </c>
      <c r="J1055" t="s">
        <v>13</v>
      </c>
      <c r="K1055">
        <v>1.51</v>
      </c>
    </row>
    <row r="1056" spans="1:11" x14ac:dyDescent="0.35">
      <c r="E1056" s="1"/>
      <c r="F1056" s="1"/>
      <c r="G1056" s="1"/>
      <c r="H1056" s="1"/>
    </row>
    <row r="1057" spans="1:11" x14ac:dyDescent="0.35">
      <c r="A1057" t="s">
        <v>252</v>
      </c>
      <c r="B1057" t="str">
        <f t="shared" ref="B1057:B1062" si="20">"71251"</f>
        <v>71251</v>
      </c>
      <c r="C1057" t="str">
        <f>"004"</f>
        <v>004</v>
      </c>
      <c r="D1057">
        <v>1996</v>
      </c>
      <c r="E1057" s="1">
        <v>75670500</v>
      </c>
      <c r="F1057" s="1">
        <v>37912700</v>
      </c>
      <c r="G1057" s="1" t="s">
        <v>11</v>
      </c>
      <c r="H1057" s="1" t="s">
        <v>38</v>
      </c>
      <c r="I1057" t="s">
        <v>13</v>
      </c>
      <c r="J1057" t="s">
        <v>13</v>
      </c>
    </row>
    <row r="1058" spans="1:11" x14ac:dyDescent="0.35">
      <c r="A1058" t="s">
        <v>5</v>
      </c>
      <c r="B1058" t="str">
        <f t="shared" si="20"/>
        <v>71251</v>
      </c>
      <c r="C1058" t="str">
        <f>"005"</f>
        <v>005</v>
      </c>
      <c r="D1058">
        <v>1997</v>
      </c>
      <c r="E1058" s="1">
        <v>25896900</v>
      </c>
      <c r="F1058" s="1">
        <v>25597400</v>
      </c>
      <c r="G1058" s="1" t="s">
        <v>11</v>
      </c>
      <c r="H1058" s="1" t="s">
        <v>38</v>
      </c>
      <c r="I1058" t="s">
        <v>13</v>
      </c>
      <c r="J1058" t="s">
        <v>13</v>
      </c>
    </row>
    <row r="1059" spans="1:11" x14ac:dyDescent="0.35">
      <c r="A1059" t="s">
        <v>5</v>
      </c>
      <c r="B1059" t="str">
        <f t="shared" si="20"/>
        <v>71251</v>
      </c>
      <c r="C1059" t="str">
        <f>"007"</f>
        <v>007</v>
      </c>
      <c r="D1059">
        <v>2001</v>
      </c>
      <c r="E1059" s="1">
        <v>39077000</v>
      </c>
      <c r="F1059" s="1">
        <v>36665700</v>
      </c>
      <c r="G1059" s="1" t="s">
        <v>11</v>
      </c>
      <c r="H1059" s="1" t="s">
        <v>38</v>
      </c>
      <c r="I1059" t="s">
        <v>13</v>
      </c>
      <c r="J1059" t="s">
        <v>13</v>
      </c>
    </row>
    <row r="1060" spans="1:11" x14ac:dyDescent="0.35">
      <c r="A1060" t="s">
        <v>5</v>
      </c>
      <c r="B1060" t="str">
        <f t="shared" si="20"/>
        <v>71251</v>
      </c>
      <c r="C1060" t="str">
        <f>"009"</f>
        <v>009</v>
      </c>
      <c r="D1060">
        <v>2013</v>
      </c>
      <c r="E1060" s="1">
        <v>19049900</v>
      </c>
      <c r="F1060" s="1">
        <v>17565100</v>
      </c>
      <c r="G1060" s="1" t="s">
        <v>11</v>
      </c>
      <c r="H1060" s="1" t="s">
        <v>38</v>
      </c>
      <c r="I1060" t="s">
        <v>13</v>
      </c>
      <c r="J1060" t="s">
        <v>13</v>
      </c>
    </row>
    <row r="1061" spans="1:11" x14ac:dyDescent="0.35">
      <c r="A1061" t="s">
        <v>5</v>
      </c>
      <c r="B1061" t="str">
        <f t="shared" si="20"/>
        <v>71251</v>
      </c>
      <c r="C1061" t="str">
        <f>"010"</f>
        <v>010</v>
      </c>
      <c r="D1061">
        <v>2015</v>
      </c>
      <c r="E1061" s="1">
        <v>20698700</v>
      </c>
      <c r="F1061" s="1">
        <v>4164200</v>
      </c>
      <c r="G1061" s="1" t="s">
        <v>11</v>
      </c>
      <c r="H1061" s="1" t="s">
        <v>38</v>
      </c>
      <c r="I1061" t="s">
        <v>13</v>
      </c>
      <c r="J1061" t="s">
        <v>13</v>
      </c>
    </row>
    <row r="1062" spans="1:11" x14ac:dyDescent="0.35">
      <c r="A1062" t="s">
        <v>5</v>
      </c>
      <c r="B1062" t="str">
        <f t="shared" si="20"/>
        <v>71251</v>
      </c>
      <c r="C1062" t="str">
        <f>"011"</f>
        <v>011</v>
      </c>
      <c r="D1062">
        <v>2016</v>
      </c>
      <c r="E1062" s="1">
        <v>4354400</v>
      </c>
      <c r="F1062" s="1">
        <v>3810900</v>
      </c>
      <c r="G1062" s="1" t="s">
        <v>11</v>
      </c>
      <c r="H1062" s="1" t="s">
        <v>38</v>
      </c>
      <c r="I1062" t="s">
        <v>13</v>
      </c>
      <c r="J1062" t="s">
        <v>13</v>
      </c>
    </row>
    <row r="1063" spans="1:11" x14ac:dyDescent="0.35">
      <c r="A1063" t="s">
        <v>39</v>
      </c>
      <c r="B1063" t="s">
        <v>13</v>
      </c>
      <c r="C1063" t="s">
        <v>7</v>
      </c>
      <c r="D1063" t="s">
        <v>8</v>
      </c>
      <c r="E1063" s="1">
        <v>184747400</v>
      </c>
      <c r="F1063" s="1">
        <v>125716000</v>
      </c>
      <c r="G1063" s="1" t="s">
        <v>11</v>
      </c>
      <c r="H1063" s="1">
        <v>1853656700</v>
      </c>
      <c r="I1063" t="s">
        <v>13</v>
      </c>
      <c r="J1063" t="s">
        <v>13</v>
      </c>
      <c r="K1063">
        <v>6.78</v>
      </c>
    </row>
    <row r="1064" spans="1:11" x14ac:dyDescent="0.35">
      <c r="E1064" s="1"/>
      <c r="F1064" s="1"/>
      <c r="G1064" s="1"/>
      <c r="H1064" s="1"/>
    </row>
    <row r="1065" spans="1:11" x14ac:dyDescent="0.35">
      <c r="A1065" t="s">
        <v>253</v>
      </c>
      <c r="B1065" t="str">
        <f>"04151"</f>
        <v>04151</v>
      </c>
      <c r="C1065" t="str">
        <f>"001"</f>
        <v>001</v>
      </c>
      <c r="D1065">
        <v>1999</v>
      </c>
      <c r="E1065" s="1">
        <v>1228500</v>
      </c>
      <c r="F1065" s="1">
        <v>1069500</v>
      </c>
      <c r="G1065" s="1" t="s">
        <v>11</v>
      </c>
      <c r="H1065" s="1" t="s">
        <v>38</v>
      </c>
      <c r="I1065" t="s">
        <v>13</v>
      </c>
      <c r="J1065" t="s">
        <v>13</v>
      </c>
    </row>
    <row r="1066" spans="1:11" x14ac:dyDescent="0.35">
      <c r="A1066" t="s">
        <v>39</v>
      </c>
      <c r="B1066" t="s">
        <v>13</v>
      </c>
      <c r="C1066" t="s">
        <v>7</v>
      </c>
      <c r="D1066" t="s">
        <v>8</v>
      </c>
      <c r="E1066" s="1">
        <v>1228500</v>
      </c>
      <c r="F1066" s="1">
        <v>1069500</v>
      </c>
      <c r="G1066" s="1" t="s">
        <v>11</v>
      </c>
      <c r="H1066" s="1">
        <v>4341200</v>
      </c>
      <c r="I1066" t="s">
        <v>13</v>
      </c>
      <c r="J1066" t="s">
        <v>13</v>
      </c>
      <c r="K1066">
        <v>24.64</v>
      </c>
    </row>
    <row r="1067" spans="1:11" x14ac:dyDescent="0.35">
      <c r="E1067" s="1"/>
      <c r="F1067" s="1"/>
      <c r="G1067" s="1"/>
      <c r="H1067" s="1"/>
    </row>
    <row r="1068" spans="1:11" x14ac:dyDescent="0.35">
      <c r="A1068" t="s">
        <v>254</v>
      </c>
      <c r="B1068" t="str">
        <f>"29251"</f>
        <v>29251</v>
      </c>
      <c r="C1068" t="str">
        <f>"002"</f>
        <v>002</v>
      </c>
      <c r="D1068">
        <v>1995</v>
      </c>
      <c r="E1068" s="1">
        <v>23914100</v>
      </c>
      <c r="F1068" s="1">
        <v>21229200</v>
      </c>
      <c r="G1068" s="1" t="s">
        <v>11</v>
      </c>
      <c r="H1068" s="1" t="s">
        <v>38</v>
      </c>
      <c r="I1068" t="s">
        <v>13</v>
      </c>
      <c r="J1068" t="s">
        <v>13</v>
      </c>
    </row>
    <row r="1069" spans="1:11" x14ac:dyDescent="0.35">
      <c r="A1069" t="s">
        <v>5</v>
      </c>
      <c r="B1069" t="str">
        <f>"29251"</f>
        <v>29251</v>
      </c>
      <c r="C1069" t="str">
        <f>"003"</f>
        <v>003</v>
      </c>
      <c r="D1069">
        <v>1995</v>
      </c>
      <c r="E1069" s="1">
        <v>48169300</v>
      </c>
      <c r="F1069" s="1">
        <v>38984800</v>
      </c>
      <c r="G1069" s="1" t="s">
        <v>11</v>
      </c>
      <c r="H1069" s="1" t="s">
        <v>38</v>
      </c>
      <c r="I1069" t="s">
        <v>13</v>
      </c>
      <c r="J1069" t="s">
        <v>13</v>
      </c>
    </row>
    <row r="1070" spans="1:11" x14ac:dyDescent="0.35">
      <c r="A1070" t="s">
        <v>39</v>
      </c>
      <c r="B1070" t="s">
        <v>13</v>
      </c>
      <c r="C1070" t="s">
        <v>7</v>
      </c>
      <c r="D1070" t="s">
        <v>8</v>
      </c>
      <c r="E1070" s="1">
        <v>72083400</v>
      </c>
      <c r="F1070" s="1">
        <v>60214000</v>
      </c>
      <c r="G1070" s="1" t="s">
        <v>11</v>
      </c>
      <c r="H1070" s="1">
        <v>258297300</v>
      </c>
      <c r="I1070" t="s">
        <v>13</v>
      </c>
      <c r="J1070" t="s">
        <v>13</v>
      </c>
      <c r="K1070">
        <v>23.31</v>
      </c>
    </row>
    <row r="1071" spans="1:11" x14ac:dyDescent="0.35">
      <c r="E1071" s="1"/>
      <c r="F1071" s="1"/>
      <c r="G1071" s="1"/>
      <c r="H1071" s="1"/>
    </row>
    <row r="1072" spans="1:11" x14ac:dyDescent="0.35">
      <c r="A1072" t="s">
        <v>255</v>
      </c>
      <c r="B1072" t="str">
        <f>"14251"</f>
        <v>14251</v>
      </c>
      <c r="C1072" t="str">
        <f>"004"</f>
        <v>004</v>
      </c>
      <c r="D1072">
        <v>2009</v>
      </c>
      <c r="E1072" s="1">
        <v>2331700</v>
      </c>
      <c r="F1072" s="1">
        <v>783100</v>
      </c>
      <c r="G1072" s="1" t="s">
        <v>11</v>
      </c>
      <c r="H1072" s="1" t="s">
        <v>38</v>
      </c>
      <c r="I1072" t="s">
        <v>13</v>
      </c>
      <c r="J1072" t="s">
        <v>13</v>
      </c>
    </row>
    <row r="1073" spans="1:11" x14ac:dyDescent="0.35">
      <c r="A1073" t="s">
        <v>5</v>
      </c>
      <c r="B1073" t="str">
        <f>"14251"</f>
        <v>14251</v>
      </c>
      <c r="C1073" t="str">
        <f>"005"</f>
        <v>005</v>
      </c>
      <c r="D1073">
        <v>2013</v>
      </c>
      <c r="E1073" s="1">
        <v>6330700</v>
      </c>
      <c r="F1073" s="1">
        <v>3997500</v>
      </c>
      <c r="G1073" s="1" t="s">
        <v>11</v>
      </c>
      <c r="H1073" s="1" t="s">
        <v>38</v>
      </c>
      <c r="I1073" t="s">
        <v>13</v>
      </c>
      <c r="J1073" t="s">
        <v>13</v>
      </c>
    </row>
    <row r="1074" spans="1:11" x14ac:dyDescent="0.35">
      <c r="A1074" t="s">
        <v>39</v>
      </c>
      <c r="B1074" t="s">
        <v>13</v>
      </c>
      <c r="C1074" t="s">
        <v>7</v>
      </c>
      <c r="D1074" t="s">
        <v>8</v>
      </c>
      <c r="E1074" s="1">
        <v>8662400</v>
      </c>
      <c r="F1074" s="1">
        <v>4780600</v>
      </c>
      <c r="G1074" s="1" t="s">
        <v>11</v>
      </c>
      <c r="H1074" s="1">
        <v>408614300</v>
      </c>
      <c r="I1074" t="s">
        <v>13</v>
      </c>
      <c r="J1074" t="s">
        <v>13</v>
      </c>
      <c r="K1074">
        <v>1.17</v>
      </c>
    </row>
    <row r="1075" spans="1:11" x14ac:dyDescent="0.35">
      <c r="E1075" s="1"/>
      <c r="F1075" s="1"/>
      <c r="G1075" s="1"/>
      <c r="H1075" s="1"/>
    </row>
    <row r="1076" spans="1:11" x14ac:dyDescent="0.35">
      <c r="A1076" t="s">
        <v>256</v>
      </c>
      <c r="B1076" t="str">
        <f>"13153"</f>
        <v>13153</v>
      </c>
      <c r="C1076" t="str">
        <f>"004"</f>
        <v>004</v>
      </c>
      <c r="D1076">
        <v>2005</v>
      </c>
      <c r="E1076" s="1">
        <v>29093800</v>
      </c>
      <c r="F1076" s="1">
        <v>23510300</v>
      </c>
      <c r="G1076" s="1" t="s">
        <v>11</v>
      </c>
      <c r="H1076" s="1" t="s">
        <v>38</v>
      </c>
      <c r="I1076" t="s">
        <v>13</v>
      </c>
      <c r="J1076" t="s">
        <v>13</v>
      </c>
    </row>
    <row r="1077" spans="1:11" x14ac:dyDescent="0.35">
      <c r="A1077" t="s">
        <v>5</v>
      </c>
      <c r="B1077" t="str">
        <f>"13153"</f>
        <v>13153</v>
      </c>
      <c r="C1077" t="str">
        <f>"005"</f>
        <v>005</v>
      </c>
      <c r="D1077">
        <v>2005</v>
      </c>
      <c r="E1077" s="1">
        <v>6068100</v>
      </c>
      <c r="F1077" s="1">
        <v>1473500</v>
      </c>
      <c r="G1077" s="1" t="s">
        <v>11</v>
      </c>
      <c r="H1077" s="1" t="s">
        <v>38</v>
      </c>
      <c r="I1077" t="s">
        <v>13</v>
      </c>
      <c r="J1077" t="s">
        <v>13</v>
      </c>
    </row>
    <row r="1078" spans="1:11" x14ac:dyDescent="0.35">
      <c r="A1078" t="s">
        <v>39</v>
      </c>
      <c r="B1078" t="s">
        <v>13</v>
      </c>
      <c r="C1078" t="s">
        <v>7</v>
      </c>
      <c r="D1078" t="s">
        <v>8</v>
      </c>
      <c r="E1078" s="1">
        <v>35161900</v>
      </c>
      <c r="F1078" s="1">
        <v>24983800</v>
      </c>
      <c r="G1078" s="1" t="s">
        <v>11</v>
      </c>
      <c r="H1078" s="1">
        <v>204739900</v>
      </c>
      <c r="I1078" t="s">
        <v>13</v>
      </c>
      <c r="J1078" t="s">
        <v>13</v>
      </c>
      <c r="K1078">
        <v>12.2</v>
      </c>
    </row>
    <row r="1079" spans="1:11" x14ac:dyDescent="0.35">
      <c r="E1079" s="1"/>
      <c r="F1079" s="1"/>
      <c r="G1079" s="1"/>
      <c r="H1079" s="1"/>
    </row>
    <row r="1080" spans="1:11" x14ac:dyDescent="0.35">
      <c r="A1080" t="s">
        <v>257</v>
      </c>
      <c r="B1080" t="str">
        <f>"13154"</f>
        <v>13154</v>
      </c>
      <c r="C1080" t="str">
        <f>"003"</f>
        <v>003</v>
      </c>
      <c r="D1080">
        <v>2004</v>
      </c>
      <c r="E1080" s="1">
        <v>74655900</v>
      </c>
      <c r="F1080" s="1">
        <v>47658500</v>
      </c>
      <c r="G1080" s="1" t="s">
        <v>11</v>
      </c>
      <c r="H1080" s="1" t="s">
        <v>38</v>
      </c>
      <c r="I1080" t="s">
        <v>13</v>
      </c>
      <c r="J1080" t="s">
        <v>13</v>
      </c>
    </row>
    <row r="1081" spans="1:11" x14ac:dyDescent="0.35">
      <c r="A1081" t="s">
        <v>5</v>
      </c>
      <c r="B1081" t="str">
        <f>"13154"</f>
        <v>13154</v>
      </c>
      <c r="C1081" t="str">
        <f>"004"</f>
        <v>004</v>
      </c>
      <c r="D1081">
        <v>2008</v>
      </c>
      <c r="E1081" s="1">
        <v>12616700</v>
      </c>
      <c r="F1081" s="1">
        <v>5033600</v>
      </c>
      <c r="G1081" s="1" t="s">
        <v>11</v>
      </c>
      <c r="H1081" s="1" t="s">
        <v>38</v>
      </c>
      <c r="I1081" t="s">
        <v>13</v>
      </c>
      <c r="J1081" t="s">
        <v>13</v>
      </c>
    </row>
    <row r="1082" spans="1:11" x14ac:dyDescent="0.35">
      <c r="A1082" t="s">
        <v>5</v>
      </c>
      <c r="B1082" t="str">
        <f>"13154"</f>
        <v>13154</v>
      </c>
      <c r="C1082" t="str">
        <f>"005"</f>
        <v>005</v>
      </c>
      <c r="D1082">
        <v>2018</v>
      </c>
      <c r="E1082" s="1">
        <v>26991100</v>
      </c>
      <c r="F1082" s="1">
        <v>9961000</v>
      </c>
      <c r="G1082" s="1" t="s">
        <v>11</v>
      </c>
      <c r="H1082" s="1" t="s">
        <v>38</v>
      </c>
      <c r="I1082" t="s">
        <v>13</v>
      </c>
      <c r="J1082" t="s">
        <v>13</v>
      </c>
    </row>
    <row r="1083" spans="1:11" x14ac:dyDescent="0.35">
      <c r="A1083" t="s">
        <v>39</v>
      </c>
      <c r="B1083" t="s">
        <v>13</v>
      </c>
      <c r="C1083" t="s">
        <v>7</v>
      </c>
      <c r="D1083" t="s">
        <v>8</v>
      </c>
      <c r="E1083" s="1">
        <v>114263700</v>
      </c>
      <c r="F1083" s="1">
        <v>62653100</v>
      </c>
      <c r="G1083" s="1" t="s">
        <v>11</v>
      </c>
      <c r="H1083" s="1">
        <v>1217439600</v>
      </c>
      <c r="I1083" t="s">
        <v>13</v>
      </c>
      <c r="J1083" t="s">
        <v>13</v>
      </c>
      <c r="K1083">
        <v>5.15</v>
      </c>
    </row>
    <row r="1084" spans="1:11" x14ac:dyDescent="0.35">
      <c r="E1084" s="1"/>
      <c r="F1084" s="1"/>
      <c r="G1084" s="1"/>
      <c r="H1084" s="1"/>
    </row>
    <row r="1085" spans="1:11" x14ac:dyDescent="0.35">
      <c r="A1085" t="s">
        <v>258</v>
      </c>
      <c r="B1085" t="str">
        <f t="shared" ref="B1085:B1092" si="21">"60251"</f>
        <v>60251</v>
      </c>
      <c r="C1085" t="str">
        <f>"005"</f>
        <v>005</v>
      </c>
      <c r="D1085">
        <v>1989</v>
      </c>
      <c r="E1085" s="1">
        <v>7877200</v>
      </c>
      <c r="F1085" s="1">
        <v>2689300</v>
      </c>
      <c r="G1085" s="1" t="s">
        <v>11</v>
      </c>
      <c r="H1085" s="1" t="s">
        <v>38</v>
      </c>
      <c r="I1085" t="s">
        <v>13</v>
      </c>
      <c r="J1085" t="s">
        <v>13</v>
      </c>
    </row>
    <row r="1086" spans="1:11" x14ac:dyDescent="0.35">
      <c r="A1086" t="s">
        <v>5</v>
      </c>
      <c r="B1086" t="str">
        <f t="shared" si="21"/>
        <v>60251</v>
      </c>
      <c r="C1086" t="str">
        <f>"006"</f>
        <v>006</v>
      </c>
      <c r="D1086">
        <v>1996</v>
      </c>
      <c r="E1086" s="1">
        <v>4628600</v>
      </c>
      <c r="F1086" s="1">
        <v>3211000</v>
      </c>
      <c r="G1086" s="1" t="s">
        <v>11</v>
      </c>
      <c r="H1086" s="1" t="s">
        <v>38</v>
      </c>
      <c r="I1086" t="s">
        <v>13</v>
      </c>
      <c r="J1086" t="s">
        <v>13</v>
      </c>
    </row>
    <row r="1087" spans="1:11" x14ac:dyDescent="0.35">
      <c r="A1087" t="s">
        <v>5</v>
      </c>
      <c r="B1087" t="str">
        <f t="shared" si="21"/>
        <v>60251</v>
      </c>
      <c r="C1087" t="str">
        <f>"007"</f>
        <v>007</v>
      </c>
      <c r="D1087">
        <v>1997</v>
      </c>
      <c r="E1087" s="1">
        <v>2956200</v>
      </c>
      <c r="F1087" s="1">
        <v>1467300</v>
      </c>
      <c r="G1087" s="1" t="s">
        <v>11</v>
      </c>
      <c r="H1087" s="1" t="s">
        <v>38</v>
      </c>
      <c r="I1087" t="s">
        <v>13</v>
      </c>
      <c r="J1087" t="s">
        <v>13</v>
      </c>
    </row>
    <row r="1088" spans="1:11" x14ac:dyDescent="0.35">
      <c r="A1088" t="s">
        <v>5</v>
      </c>
      <c r="B1088" t="str">
        <f t="shared" si="21"/>
        <v>60251</v>
      </c>
      <c r="C1088" t="str">
        <f>"008"</f>
        <v>008</v>
      </c>
      <c r="D1088">
        <v>1997</v>
      </c>
      <c r="E1088" s="1">
        <v>2307800</v>
      </c>
      <c r="F1088" s="1">
        <v>1611900</v>
      </c>
      <c r="G1088" s="1" t="s">
        <v>11</v>
      </c>
      <c r="H1088" s="1" t="s">
        <v>38</v>
      </c>
      <c r="I1088" t="s">
        <v>13</v>
      </c>
      <c r="J1088" t="s">
        <v>13</v>
      </c>
    </row>
    <row r="1089" spans="1:11" x14ac:dyDescent="0.35">
      <c r="A1089" t="s">
        <v>5</v>
      </c>
      <c r="B1089" t="str">
        <f t="shared" si="21"/>
        <v>60251</v>
      </c>
      <c r="C1089" t="str">
        <f>"010"</f>
        <v>010</v>
      </c>
      <c r="D1089">
        <v>1999</v>
      </c>
      <c r="E1089" s="1">
        <v>2883400</v>
      </c>
      <c r="F1089" s="1">
        <v>2643200</v>
      </c>
      <c r="G1089" s="1" t="s">
        <v>11</v>
      </c>
      <c r="H1089" s="1" t="s">
        <v>38</v>
      </c>
      <c r="I1089" t="s">
        <v>13</v>
      </c>
      <c r="J1089" t="s">
        <v>13</v>
      </c>
    </row>
    <row r="1090" spans="1:11" x14ac:dyDescent="0.35">
      <c r="A1090" t="s">
        <v>5</v>
      </c>
      <c r="B1090" t="str">
        <f t="shared" si="21"/>
        <v>60251</v>
      </c>
      <c r="C1090" t="str">
        <f>"011"</f>
        <v>011</v>
      </c>
      <c r="D1090">
        <v>1999</v>
      </c>
      <c r="E1090" s="1">
        <v>4208500</v>
      </c>
      <c r="F1090" s="1">
        <v>3024500</v>
      </c>
      <c r="G1090" s="1" t="s">
        <v>11</v>
      </c>
      <c r="H1090" s="1" t="s">
        <v>38</v>
      </c>
      <c r="I1090" t="s">
        <v>13</v>
      </c>
      <c r="J1090" t="s">
        <v>13</v>
      </c>
    </row>
    <row r="1091" spans="1:11" x14ac:dyDescent="0.35">
      <c r="A1091" t="s">
        <v>5</v>
      </c>
      <c r="B1091" t="str">
        <f t="shared" si="21"/>
        <v>60251</v>
      </c>
      <c r="C1091" t="str">
        <f>"012"</f>
        <v>012</v>
      </c>
      <c r="D1091">
        <v>2000</v>
      </c>
      <c r="E1091" s="1">
        <v>31133400</v>
      </c>
      <c r="F1091" s="1">
        <v>28445700</v>
      </c>
      <c r="G1091" s="1" t="s">
        <v>11</v>
      </c>
      <c r="H1091" s="1" t="s">
        <v>38</v>
      </c>
      <c r="I1091" t="s">
        <v>13</v>
      </c>
      <c r="J1091" t="s">
        <v>13</v>
      </c>
    </row>
    <row r="1092" spans="1:11" x14ac:dyDescent="0.35">
      <c r="A1092" t="s">
        <v>5</v>
      </c>
      <c r="B1092" t="str">
        <f t="shared" si="21"/>
        <v>60251</v>
      </c>
      <c r="C1092" t="str">
        <f>"013"</f>
        <v>013</v>
      </c>
      <c r="D1092">
        <v>2005</v>
      </c>
      <c r="E1092" s="1">
        <v>16874300</v>
      </c>
      <c r="F1092" s="1">
        <v>13492300</v>
      </c>
      <c r="G1092" s="1" t="s">
        <v>11</v>
      </c>
      <c r="H1092" s="1" t="s">
        <v>38</v>
      </c>
      <c r="I1092" t="s">
        <v>13</v>
      </c>
      <c r="J1092" t="s">
        <v>13</v>
      </c>
    </row>
    <row r="1093" spans="1:11" x14ac:dyDescent="0.35">
      <c r="A1093" t="s">
        <v>39</v>
      </c>
      <c r="B1093" t="s">
        <v>13</v>
      </c>
      <c r="C1093" t="s">
        <v>7</v>
      </c>
      <c r="D1093" t="s">
        <v>8</v>
      </c>
      <c r="E1093" s="1">
        <v>72869400</v>
      </c>
      <c r="F1093" s="1">
        <v>56585200</v>
      </c>
      <c r="G1093" s="1" t="s">
        <v>11</v>
      </c>
      <c r="H1093" s="1">
        <v>341748500</v>
      </c>
      <c r="I1093" t="s">
        <v>13</v>
      </c>
      <c r="J1093" t="s">
        <v>13</v>
      </c>
      <c r="K1093">
        <v>16.559999999999999</v>
      </c>
    </row>
    <row r="1094" spans="1:11" x14ac:dyDescent="0.35">
      <c r="E1094" s="1"/>
      <c r="F1094" s="1"/>
      <c r="G1094" s="1"/>
      <c r="H1094" s="1"/>
    </row>
    <row r="1095" spans="1:11" x14ac:dyDescent="0.35">
      <c r="A1095" t="s">
        <v>259</v>
      </c>
      <c r="B1095" t="str">
        <f>"70251"</f>
        <v>70251</v>
      </c>
      <c r="C1095" t="str">
        <f>"004"</f>
        <v>004</v>
      </c>
      <c r="D1095">
        <v>1997</v>
      </c>
      <c r="E1095" s="1">
        <v>7264600</v>
      </c>
      <c r="F1095" s="1">
        <v>3068600</v>
      </c>
      <c r="G1095" s="1" t="s">
        <v>11</v>
      </c>
      <c r="H1095" s="1" t="s">
        <v>38</v>
      </c>
      <c r="I1095" t="s">
        <v>13</v>
      </c>
      <c r="J1095" t="s">
        <v>13</v>
      </c>
    </row>
    <row r="1096" spans="1:11" x14ac:dyDescent="0.35">
      <c r="A1096" t="s">
        <v>5</v>
      </c>
      <c r="B1096" t="str">
        <f>"70251"</f>
        <v>70251</v>
      </c>
      <c r="C1096" t="str">
        <f>"007"</f>
        <v>007</v>
      </c>
      <c r="D1096">
        <v>2003</v>
      </c>
      <c r="E1096" s="1">
        <v>5507900</v>
      </c>
      <c r="F1096" s="1">
        <v>4820600</v>
      </c>
      <c r="G1096" s="1" t="s">
        <v>11</v>
      </c>
      <c r="H1096" s="1" t="s">
        <v>38</v>
      </c>
      <c r="I1096" t="s">
        <v>13</v>
      </c>
      <c r="J1096" t="s">
        <v>13</v>
      </c>
    </row>
    <row r="1097" spans="1:11" x14ac:dyDescent="0.35">
      <c r="A1097" t="s">
        <v>5</v>
      </c>
      <c r="B1097" t="str">
        <f>"70251"</f>
        <v>70251</v>
      </c>
      <c r="C1097" t="str">
        <f>"008"</f>
        <v>008</v>
      </c>
      <c r="D1097">
        <v>2005</v>
      </c>
      <c r="E1097" s="1">
        <v>3740100</v>
      </c>
      <c r="F1097" s="1">
        <v>3255600</v>
      </c>
      <c r="G1097" s="1" t="s">
        <v>11</v>
      </c>
      <c r="H1097" s="1" t="s">
        <v>38</v>
      </c>
      <c r="I1097" t="s">
        <v>13</v>
      </c>
      <c r="J1097" t="s">
        <v>13</v>
      </c>
    </row>
    <row r="1098" spans="1:11" x14ac:dyDescent="0.35">
      <c r="A1098" t="s">
        <v>5</v>
      </c>
      <c r="B1098" t="str">
        <f>"08251"</f>
        <v>08251</v>
      </c>
      <c r="C1098" t="str">
        <f>"009"</f>
        <v>009</v>
      </c>
      <c r="D1098">
        <v>2005</v>
      </c>
      <c r="E1098" s="1">
        <v>42087900</v>
      </c>
      <c r="F1098" s="1">
        <v>38629500</v>
      </c>
      <c r="G1098" s="1" t="s">
        <v>11</v>
      </c>
      <c r="H1098" s="1" t="s">
        <v>38</v>
      </c>
      <c r="I1098" t="s">
        <v>13</v>
      </c>
      <c r="J1098" t="s">
        <v>13</v>
      </c>
    </row>
    <row r="1099" spans="1:11" x14ac:dyDescent="0.35">
      <c r="A1099" t="s">
        <v>5</v>
      </c>
      <c r="B1099" t="str">
        <f>"70251"</f>
        <v>70251</v>
      </c>
      <c r="C1099" t="str">
        <f>"010"</f>
        <v>010</v>
      </c>
      <c r="D1099">
        <v>2006</v>
      </c>
      <c r="E1099" s="1">
        <v>12353900</v>
      </c>
      <c r="F1099" s="1">
        <v>2652000</v>
      </c>
      <c r="G1099" s="1" t="s">
        <v>11</v>
      </c>
      <c r="H1099" s="1" t="s">
        <v>38</v>
      </c>
      <c r="I1099" t="s">
        <v>13</v>
      </c>
      <c r="J1099" t="s">
        <v>13</v>
      </c>
    </row>
    <row r="1100" spans="1:11" x14ac:dyDescent="0.35">
      <c r="A1100" t="s">
        <v>5</v>
      </c>
      <c r="B1100" t="str">
        <f>"70251"</f>
        <v>70251</v>
      </c>
      <c r="C1100" t="str">
        <f>"011"</f>
        <v>011</v>
      </c>
      <c r="D1100">
        <v>2007</v>
      </c>
      <c r="E1100" s="1">
        <v>3297300</v>
      </c>
      <c r="F1100" s="1">
        <v>3012400</v>
      </c>
      <c r="G1100" s="1" t="s">
        <v>11</v>
      </c>
      <c r="H1100" s="1" t="s">
        <v>38</v>
      </c>
      <c r="I1100" t="s">
        <v>13</v>
      </c>
      <c r="J1100" t="s">
        <v>13</v>
      </c>
    </row>
    <row r="1101" spans="1:11" x14ac:dyDescent="0.35">
      <c r="A1101" t="s">
        <v>5</v>
      </c>
      <c r="B1101" t="str">
        <f>"08251"</f>
        <v>08251</v>
      </c>
      <c r="C1101" t="str">
        <f>"012"</f>
        <v>012</v>
      </c>
      <c r="D1101">
        <v>2011</v>
      </c>
      <c r="E1101" s="1">
        <v>71649300</v>
      </c>
      <c r="F1101" s="1">
        <v>49933700</v>
      </c>
      <c r="G1101" s="1" t="s">
        <v>11</v>
      </c>
      <c r="H1101" s="1" t="s">
        <v>38</v>
      </c>
      <c r="I1101" t="s">
        <v>13</v>
      </c>
      <c r="J1101" t="s">
        <v>13</v>
      </c>
    </row>
    <row r="1102" spans="1:11" x14ac:dyDescent="0.35">
      <c r="A1102" t="s">
        <v>5</v>
      </c>
      <c r="B1102" t="str">
        <f>"70251"</f>
        <v>70251</v>
      </c>
      <c r="C1102" t="str">
        <f>"013"</f>
        <v>013</v>
      </c>
      <c r="D1102">
        <v>2015</v>
      </c>
      <c r="E1102" s="1">
        <v>15556900</v>
      </c>
      <c r="F1102" s="1">
        <v>15308700</v>
      </c>
      <c r="G1102" s="1" t="s">
        <v>11</v>
      </c>
      <c r="H1102" s="1" t="s">
        <v>38</v>
      </c>
      <c r="I1102" t="s">
        <v>13</v>
      </c>
      <c r="J1102" t="s">
        <v>13</v>
      </c>
    </row>
    <row r="1103" spans="1:11" x14ac:dyDescent="0.35">
      <c r="A1103" t="s">
        <v>5</v>
      </c>
      <c r="B1103" t="str">
        <f>"70251"</f>
        <v>70251</v>
      </c>
      <c r="C1103" t="str">
        <f>"014"</f>
        <v>014</v>
      </c>
      <c r="D1103">
        <v>2019</v>
      </c>
      <c r="E1103" s="1">
        <v>3103200</v>
      </c>
      <c r="F1103" s="1">
        <v>-2833300</v>
      </c>
      <c r="G1103" s="1" t="s">
        <v>48</v>
      </c>
      <c r="H1103" s="1" t="s">
        <v>38</v>
      </c>
      <c r="I1103" t="s">
        <v>13</v>
      </c>
      <c r="J1103" t="s">
        <v>13</v>
      </c>
    </row>
    <row r="1104" spans="1:11" x14ac:dyDescent="0.35">
      <c r="A1104" t="s">
        <v>39</v>
      </c>
      <c r="B1104" t="s">
        <v>13</v>
      </c>
      <c r="C1104" t="s">
        <v>7</v>
      </c>
      <c r="D1104" t="s">
        <v>8</v>
      </c>
      <c r="E1104" s="1">
        <v>164561100</v>
      </c>
      <c r="F1104" s="1">
        <v>120681100</v>
      </c>
      <c r="G1104" s="1" t="s">
        <v>11</v>
      </c>
      <c r="H1104" s="1">
        <v>1301927300</v>
      </c>
      <c r="I1104" t="s">
        <v>13</v>
      </c>
      <c r="J1104" t="s">
        <v>13</v>
      </c>
      <c r="K1104">
        <v>9.27</v>
      </c>
    </row>
    <row r="1105" spans="1:11" x14ac:dyDescent="0.35">
      <c r="E1105" s="1"/>
      <c r="F1105" s="1"/>
      <c r="G1105" s="1"/>
      <c r="H1105" s="1"/>
    </row>
    <row r="1106" spans="1:11" x14ac:dyDescent="0.35">
      <c r="A1106" t="s">
        <v>260</v>
      </c>
      <c r="B1106" t="str">
        <f t="shared" ref="B1106:B1114" si="22">"67151"</f>
        <v>67151</v>
      </c>
      <c r="C1106" t="str">
        <f>"006"</f>
        <v>006</v>
      </c>
      <c r="D1106">
        <v>2006</v>
      </c>
      <c r="E1106" s="1">
        <v>76102800</v>
      </c>
      <c r="F1106" s="1">
        <v>28274800</v>
      </c>
      <c r="G1106" s="1" t="s">
        <v>11</v>
      </c>
      <c r="H1106" s="1" t="s">
        <v>38</v>
      </c>
      <c r="I1106" t="s">
        <v>13</v>
      </c>
      <c r="J1106" t="s">
        <v>13</v>
      </c>
    </row>
    <row r="1107" spans="1:11" x14ac:dyDescent="0.35">
      <c r="A1107" t="s">
        <v>5</v>
      </c>
      <c r="B1107" t="str">
        <f t="shared" si="22"/>
        <v>67151</v>
      </c>
      <c r="C1107" t="str">
        <f>"007"</f>
        <v>007</v>
      </c>
      <c r="D1107">
        <v>2008</v>
      </c>
      <c r="E1107" s="1">
        <v>28741100</v>
      </c>
      <c r="F1107" s="1">
        <v>27713000</v>
      </c>
      <c r="G1107" s="1" t="s">
        <v>11</v>
      </c>
      <c r="H1107" s="1" t="s">
        <v>38</v>
      </c>
      <c r="I1107" t="s">
        <v>13</v>
      </c>
      <c r="J1107" t="s">
        <v>13</v>
      </c>
    </row>
    <row r="1108" spans="1:11" x14ac:dyDescent="0.35">
      <c r="A1108" t="s">
        <v>5</v>
      </c>
      <c r="B1108" t="str">
        <f t="shared" si="22"/>
        <v>67151</v>
      </c>
      <c r="C1108" t="str">
        <f>"008"</f>
        <v>008</v>
      </c>
      <c r="D1108">
        <v>2008</v>
      </c>
      <c r="E1108" s="1">
        <v>120262700</v>
      </c>
      <c r="F1108" s="1">
        <v>111245100</v>
      </c>
      <c r="G1108" s="1" t="s">
        <v>11</v>
      </c>
      <c r="H1108" s="1" t="s">
        <v>38</v>
      </c>
      <c r="I1108" t="s">
        <v>13</v>
      </c>
      <c r="J1108" t="s">
        <v>13</v>
      </c>
    </row>
    <row r="1109" spans="1:11" x14ac:dyDescent="0.35">
      <c r="A1109" t="s">
        <v>5</v>
      </c>
      <c r="B1109" t="str">
        <f t="shared" si="22"/>
        <v>67151</v>
      </c>
      <c r="C1109" t="str">
        <f>"009"</f>
        <v>009</v>
      </c>
      <c r="D1109">
        <v>2010</v>
      </c>
      <c r="E1109" s="1">
        <v>142025600</v>
      </c>
      <c r="F1109" s="1">
        <v>37320200</v>
      </c>
      <c r="G1109" s="1" t="s">
        <v>11</v>
      </c>
      <c r="H1109" s="1" t="s">
        <v>38</v>
      </c>
      <c r="I1109" t="s">
        <v>13</v>
      </c>
      <c r="J1109" t="s">
        <v>13</v>
      </c>
    </row>
    <row r="1110" spans="1:11" x14ac:dyDescent="0.35">
      <c r="A1110" t="s">
        <v>5</v>
      </c>
      <c r="B1110" t="str">
        <f t="shared" si="22"/>
        <v>67151</v>
      </c>
      <c r="C1110" t="str">
        <f>"010"</f>
        <v>010</v>
      </c>
      <c r="D1110">
        <v>2011</v>
      </c>
      <c r="E1110" s="1">
        <v>91697000</v>
      </c>
      <c r="F1110" s="1">
        <v>45500900</v>
      </c>
      <c r="G1110" s="1" t="s">
        <v>11</v>
      </c>
      <c r="H1110" s="1" t="s">
        <v>38</v>
      </c>
      <c r="I1110" t="s">
        <v>13</v>
      </c>
      <c r="J1110" t="s">
        <v>13</v>
      </c>
    </row>
    <row r="1111" spans="1:11" x14ac:dyDescent="0.35">
      <c r="A1111" t="s">
        <v>5</v>
      </c>
      <c r="B1111" t="str">
        <f t="shared" si="22"/>
        <v>67151</v>
      </c>
      <c r="C1111" t="str">
        <f>"011"</f>
        <v>011</v>
      </c>
      <c r="D1111">
        <v>2011</v>
      </c>
      <c r="E1111" s="1">
        <v>15256500</v>
      </c>
      <c r="F1111" s="1">
        <v>3302900</v>
      </c>
      <c r="G1111" s="1" t="s">
        <v>11</v>
      </c>
      <c r="H1111" s="1" t="s">
        <v>38</v>
      </c>
      <c r="I1111" t="s">
        <v>13</v>
      </c>
      <c r="J1111" t="s">
        <v>13</v>
      </c>
    </row>
    <row r="1112" spans="1:11" x14ac:dyDescent="0.35">
      <c r="A1112" t="s">
        <v>5</v>
      </c>
      <c r="B1112" t="str">
        <f t="shared" si="22"/>
        <v>67151</v>
      </c>
      <c r="C1112" t="str">
        <f>"012"</f>
        <v>012</v>
      </c>
      <c r="D1112">
        <v>2014</v>
      </c>
      <c r="E1112" s="1">
        <v>35870900</v>
      </c>
      <c r="F1112" s="1">
        <v>30787500</v>
      </c>
      <c r="G1112" s="1" t="s">
        <v>11</v>
      </c>
      <c r="H1112" s="1" t="s">
        <v>38</v>
      </c>
      <c r="I1112" t="s">
        <v>13</v>
      </c>
      <c r="J1112" t="s">
        <v>13</v>
      </c>
    </row>
    <row r="1113" spans="1:11" x14ac:dyDescent="0.35">
      <c r="A1113" t="s">
        <v>5</v>
      </c>
      <c r="B1113" t="str">
        <f t="shared" si="22"/>
        <v>67151</v>
      </c>
      <c r="C1113" t="str">
        <f>"013"</f>
        <v>013</v>
      </c>
      <c r="D1113">
        <v>2019</v>
      </c>
      <c r="E1113" s="1">
        <v>33842700</v>
      </c>
      <c r="F1113" s="1">
        <v>31154500</v>
      </c>
      <c r="G1113" s="1" t="s">
        <v>11</v>
      </c>
      <c r="H1113" s="1" t="s">
        <v>38</v>
      </c>
      <c r="I1113" t="s">
        <v>13</v>
      </c>
      <c r="J1113" t="s">
        <v>13</v>
      </c>
    </row>
    <row r="1114" spans="1:11" x14ac:dyDescent="0.35">
      <c r="A1114" t="s">
        <v>5</v>
      </c>
      <c r="B1114" t="str">
        <f t="shared" si="22"/>
        <v>67151</v>
      </c>
      <c r="C1114" t="str">
        <f>"014"</f>
        <v>014</v>
      </c>
      <c r="D1114">
        <v>2019</v>
      </c>
      <c r="E1114" s="1">
        <v>15704100</v>
      </c>
      <c r="F1114" s="1">
        <v>5924600</v>
      </c>
      <c r="G1114" s="1" t="s">
        <v>11</v>
      </c>
      <c r="H1114" s="1" t="s">
        <v>38</v>
      </c>
      <c r="I1114" t="s">
        <v>13</v>
      </c>
      <c r="J1114" t="s">
        <v>13</v>
      </c>
    </row>
    <row r="1115" spans="1:11" x14ac:dyDescent="0.35">
      <c r="A1115" t="s">
        <v>39</v>
      </c>
      <c r="B1115" t="s">
        <v>13</v>
      </c>
      <c r="C1115" t="s">
        <v>7</v>
      </c>
      <c r="D1115" t="s">
        <v>8</v>
      </c>
      <c r="E1115" s="1">
        <v>559503400</v>
      </c>
      <c r="F1115" s="1">
        <v>321223500</v>
      </c>
      <c r="G1115" s="1" t="s">
        <v>11</v>
      </c>
      <c r="H1115" s="1">
        <v>6150246600</v>
      </c>
      <c r="I1115" t="s">
        <v>13</v>
      </c>
      <c r="J1115" t="s">
        <v>13</v>
      </c>
      <c r="K1115">
        <v>5.22</v>
      </c>
    </row>
    <row r="1116" spans="1:11" x14ac:dyDescent="0.35">
      <c r="E1116" s="1"/>
      <c r="F1116" s="1"/>
      <c r="G1116" s="1"/>
      <c r="H1116" s="1"/>
    </row>
    <row r="1117" spans="1:11" x14ac:dyDescent="0.35">
      <c r="A1117" t="s">
        <v>261</v>
      </c>
      <c r="B1117" t="str">
        <f t="shared" ref="B1117:B1122" si="23">"17251"</f>
        <v>17251</v>
      </c>
      <c r="C1117" t="str">
        <f>"011"</f>
        <v>011</v>
      </c>
      <c r="D1117">
        <v>2001</v>
      </c>
      <c r="E1117" s="1">
        <v>88007500</v>
      </c>
      <c r="F1117" s="1">
        <v>81009400</v>
      </c>
      <c r="G1117" s="1" t="s">
        <v>11</v>
      </c>
      <c r="H1117" s="1" t="s">
        <v>38</v>
      </c>
      <c r="I1117" t="s">
        <v>13</v>
      </c>
      <c r="J1117" t="s">
        <v>13</v>
      </c>
    </row>
    <row r="1118" spans="1:11" x14ac:dyDescent="0.35">
      <c r="A1118" t="s">
        <v>5</v>
      </c>
      <c r="B1118" t="str">
        <f t="shared" si="23"/>
        <v>17251</v>
      </c>
      <c r="C1118" t="str">
        <f>"012"</f>
        <v>012</v>
      </c>
      <c r="D1118">
        <v>2003</v>
      </c>
      <c r="E1118" s="1">
        <v>26231700</v>
      </c>
      <c r="F1118" s="1">
        <v>24560500</v>
      </c>
      <c r="G1118" s="1" t="s">
        <v>11</v>
      </c>
      <c r="H1118" s="1" t="s">
        <v>38</v>
      </c>
      <c r="I1118" t="s">
        <v>13</v>
      </c>
      <c r="J1118" t="s">
        <v>13</v>
      </c>
    </row>
    <row r="1119" spans="1:11" x14ac:dyDescent="0.35">
      <c r="A1119" t="s">
        <v>5</v>
      </c>
      <c r="B1119" t="str">
        <f t="shared" si="23"/>
        <v>17251</v>
      </c>
      <c r="C1119" t="str">
        <f>"013"</f>
        <v>013</v>
      </c>
      <c r="D1119">
        <v>2004</v>
      </c>
      <c r="E1119" s="1">
        <v>3756400</v>
      </c>
      <c r="F1119" s="1">
        <v>3594500</v>
      </c>
      <c r="G1119" s="1" t="s">
        <v>11</v>
      </c>
      <c r="H1119" s="1" t="s">
        <v>38</v>
      </c>
      <c r="I1119" t="s">
        <v>13</v>
      </c>
      <c r="J1119" t="s">
        <v>13</v>
      </c>
    </row>
    <row r="1120" spans="1:11" x14ac:dyDescent="0.35">
      <c r="A1120" t="s">
        <v>5</v>
      </c>
      <c r="B1120" t="str">
        <f t="shared" si="23"/>
        <v>17251</v>
      </c>
      <c r="C1120" t="str">
        <f>"014"</f>
        <v>014</v>
      </c>
      <c r="D1120">
        <v>2004</v>
      </c>
      <c r="E1120" s="1">
        <v>14213100</v>
      </c>
      <c r="F1120" s="1">
        <v>6255000</v>
      </c>
      <c r="G1120" s="1" t="s">
        <v>11</v>
      </c>
      <c r="H1120" s="1" t="s">
        <v>38</v>
      </c>
      <c r="I1120" t="s">
        <v>13</v>
      </c>
      <c r="J1120" t="s">
        <v>13</v>
      </c>
    </row>
    <row r="1121" spans="1:11" x14ac:dyDescent="0.35">
      <c r="A1121" t="s">
        <v>5</v>
      </c>
      <c r="B1121" t="str">
        <f t="shared" si="23"/>
        <v>17251</v>
      </c>
      <c r="C1121" t="str">
        <f>"015"</f>
        <v>015</v>
      </c>
      <c r="D1121">
        <v>2005</v>
      </c>
      <c r="E1121" s="1">
        <v>41106900</v>
      </c>
      <c r="F1121" s="1">
        <v>18860800</v>
      </c>
      <c r="G1121" s="1" t="s">
        <v>11</v>
      </c>
      <c r="H1121" s="1" t="s">
        <v>38</v>
      </c>
      <c r="I1121" t="s">
        <v>13</v>
      </c>
      <c r="J1121" t="s">
        <v>13</v>
      </c>
    </row>
    <row r="1122" spans="1:11" x14ac:dyDescent="0.35">
      <c r="A1122" t="s">
        <v>5</v>
      </c>
      <c r="B1122" t="str">
        <f t="shared" si="23"/>
        <v>17251</v>
      </c>
      <c r="C1122" t="str">
        <f>"016"</f>
        <v>016</v>
      </c>
      <c r="D1122">
        <v>2019</v>
      </c>
      <c r="E1122" s="1">
        <v>9241200</v>
      </c>
      <c r="F1122" s="1">
        <v>8681100</v>
      </c>
      <c r="G1122" s="1" t="s">
        <v>11</v>
      </c>
      <c r="H1122" s="1" t="s">
        <v>38</v>
      </c>
      <c r="I1122" t="s">
        <v>13</v>
      </c>
      <c r="J1122" t="s">
        <v>13</v>
      </c>
    </row>
    <row r="1123" spans="1:11" x14ac:dyDescent="0.35">
      <c r="A1123" t="s">
        <v>39</v>
      </c>
      <c r="B1123" t="s">
        <v>13</v>
      </c>
      <c r="C1123" t="s">
        <v>7</v>
      </c>
      <c r="D1123" t="s">
        <v>8</v>
      </c>
      <c r="E1123" s="1">
        <v>182556800</v>
      </c>
      <c r="F1123" s="1">
        <v>142961300</v>
      </c>
      <c r="G1123" s="1" t="s">
        <v>11</v>
      </c>
      <c r="H1123" s="1">
        <v>1282764900</v>
      </c>
      <c r="I1123" t="s">
        <v>13</v>
      </c>
      <c r="J1123" t="s">
        <v>13</v>
      </c>
      <c r="K1123">
        <v>11.14</v>
      </c>
    </row>
    <row r="1124" spans="1:11" x14ac:dyDescent="0.35">
      <c r="E1124" s="1"/>
      <c r="F1124" s="1"/>
      <c r="G1124" s="1"/>
      <c r="H1124" s="1"/>
    </row>
    <row r="1125" spans="1:11" x14ac:dyDescent="0.35">
      <c r="A1125" t="s">
        <v>262</v>
      </c>
      <c r="B1125" t="str">
        <f>"45255"</f>
        <v>45255</v>
      </c>
      <c r="C1125" t="str">
        <f>"002"</f>
        <v>002</v>
      </c>
      <c r="D1125">
        <v>2002</v>
      </c>
      <c r="E1125" s="1">
        <v>26828100</v>
      </c>
      <c r="F1125" s="1">
        <v>20916500</v>
      </c>
      <c r="G1125" s="1" t="s">
        <v>11</v>
      </c>
      <c r="H1125" s="1" t="s">
        <v>38</v>
      </c>
      <c r="I1125" t="s">
        <v>13</v>
      </c>
      <c r="J1125" t="s">
        <v>13</v>
      </c>
    </row>
    <row r="1126" spans="1:11" x14ac:dyDescent="0.35">
      <c r="A1126" t="s">
        <v>5</v>
      </c>
      <c r="B1126" t="str">
        <f>"45255"</f>
        <v>45255</v>
      </c>
      <c r="C1126" t="str">
        <f>"003"</f>
        <v>003</v>
      </c>
      <c r="D1126">
        <v>2008</v>
      </c>
      <c r="E1126" s="1">
        <v>164183700</v>
      </c>
      <c r="F1126" s="1">
        <v>122853400</v>
      </c>
      <c r="G1126" s="1" t="s">
        <v>11</v>
      </c>
      <c r="H1126" s="1" t="s">
        <v>38</v>
      </c>
      <c r="I1126" t="s">
        <v>13</v>
      </c>
      <c r="J1126" t="s">
        <v>13</v>
      </c>
    </row>
    <row r="1127" spans="1:11" x14ac:dyDescent="0.35">
      <c r="A1127" t="s">
        <v>5</v>
      </c>
      <c r="B1127" t="str">
        <f>"45255"</f>
        <v>45255</v>
      </c>
      <c r="C1127" t="str">
        <f>"004"</f>
        <v>004</v>
      </c>
      <c r="D1127">
        <v>2012</v>
      </c>
      <c r="E1127" s="1">
        <v>52007400</v>
      </c>
      <c r="F1127" s="1">
        <v>10135200</v>
      </c>
      <c r="G1127" s="1" t="s">
        <v>11</v>
      </c>
      <c r="H1127" s="1" t="s">
        <v>38</v>
      </c>
      <c r="I1127" t="s">
        <v>13</v>
      </c>
      <c r="J1127" t="s">
        <v>13</v>
      </c>
    </row>
    <row r="1128" spans="1:11" x14ac:dyDescent="0.35">
      <c r="A1128" t="s">
        <v>5</v>
      </c>
      <c r="B1128" t="str">
        <f>"45255"</f>
        <v>45255</v>
      </c>
      <c r="C1128" t="str">
        <f>"005"</f>
        <v>005</v>
      </c>
      <c r="D1128">
        <v>2012</v>
      </c>
      <c r="E1128" s="1">
        <v>65694200</v>
      </c>
      <c r="F1128" s="1">
        <v>14507300</v>
      </c>
      <c r="G1128" s="1" t="s">
        <v>11</v>
      </c>
      <c r="H1128" s="1" t="s">
        <v>38</v>
      </c>
      <c r="I1128" t="s">
        <v>13</v>
      </c>
      <c r="J1128" t="s">
        <v>13</v>
      </c>
    </row>
    <row r="1129" spans="1:11" x14ac:dyDescent="0.35">
      <c r="A1129" t="s">
        <v>39</v>
      </c>
      <c r="B1129" t="s">
        <v>13</v>
      </c>
      <c r="C1129" t="s">
        <v>7</v>
      </c>
      <c r="D1129" t="s">
        <v>8</v>
      </c>
      <c r="E1129" s="1">
        <v>308713400</v>
      </c>
      <c r="F1129" s="1">
        <v>168412400</v>
      </c>
      <c r="G1129" s="1" t="s">
        <v>11</v>
      </c>
      <c r="H1129" s="1">
        <v>5403150300</v>
      </c>
      <c r="I1129" t="s">
        <v>13</v>
      </c>
      <c r="J1129" t="s">
        <v>13</v>
      </c>
      <c r="K1129">
        <v>3.12</v>
      </c>
    </row>
    <row r="1130" spans="1:11" x14ac:dyDescent="0.35">
      <c r="E1130" s="1"/>
      <c r="F1130" s="1"/>
      <c r="G1130" s="1"/>
      <c r="H1130" s="1"/>
    </row>
    <row r="1131" spans="1:11" x14ac:dyDescent="0.35">
      <c r="A1131" t="s">
        <v>263</v>
      </c>
      <c r="B1131" t="str">
        <f t="shared" ref="B1131:B1140" si="24">"35251"</f>
        <v>35251</v>
      </c>
      <c r="C1131" t="str">
        <f>"003"</f>
        <v>003</v>
      </c>
      <c r="D1131">
        <v>2005</v>
      </c>
      <c r="E1131" s="1">
        <v>51576600</v>
      </c>
      <c r="F1131" s="1">
        <v>36208700</v>
      </c>
      <c r="G1131" s="1" t="s">
        <v>11</v>
      </c>
      <c r="H1131" s="1" t="s">
        <v>38</v>
      </c>
      <c r="I1131" t="s">
        <v>13</v>
      </c>
      <c r="J1131" t="s">
        <v>13</v>
      </c>
    </row>
    <row r="1132" spans="1:11" x14ac:dyDescent="0.35">
      <c r="A1132" t="s">
        <v>5</v>
      </c>
      <c r="B1132" t="str">
        <f t="shared" si="24"/>
        <v>35251</v>
      </c>
      <c r="C1132" t="str">
        <f>"004"</f>
        <v>004</v>
      </c>
      <c r="D1132">
        <v>2007</v>
      </c>
      <c r="E1132" s="1">
        <v>15721400</v>
      </c>
      <c r="F1132" s="1">
        <v>6836900</v>
      </c>
      <c r="G1132" s="1" t="s">
        <v>11</v>
      </c>
      <c r="H1132" s="1" t="s">
        <v>38</v>
      </c>
      <c r="I1132" t="s">
        <v>13</v>
      </c>
      <c r="J1132" t="s">
        <v>13</v>
      </c>
    </row>
    <row r="1133" spans="1:11" x14ac:dyDescent="0.35">
      <c r="A1133" t="s">
        <v>5</v>
      </c>
      <c r="B1133" t="str">
        <f t="shared" si="24"/>
        <v>35251</v>
      </c>
      <c r="C1133" t="str">
        <f>"005"</f>
        <v>005</v>
      </c>
      <c r="D1133">
        <v>2007</v>
      </c>
      <c r="E1133" s="1">
        <v>663500</v>
      </c>
      <c r="F1133" s="1">
        <v>589500</v>
      </c>
      <c r="G1133" s="1" t="s">
        <v>11</v>
      </c>
      <c r="H1133" s="1" t="s">
        <v>38</v>
      </c>
      <c r="I1133" t="s">
        <v>13</v>
      </c>
      <c r="J1133" t="s">
        <v>13</v>
      </c>
    </row>
    <row r="1134" spans="1:11" x14ac:dyDescent="0.35">
      <c r="A1134" t="s">
        <v>5</v>
      </c>
      <c r="B1134" t="str">
        <f t="shared" si="24"/>
        <v>35251</v>
      </c>
      <c r="C1134" t="str">
        <f>"006"</f>
        <v>006</v>
      </c>
      <c r="D1134">
        <v>2009</v>
      </c>
      <c r="E1134" s="1">
        <v>14595200</v>
      </c>
      <c r="F1134" s="1">
        <v>2612800</v>
      </c>
      <c r="G1134" s="1" t="s">
        <v>11</v>
      </c>
      <c r="H1134" s="1" t="s">
        <v>38</v>
      </c>
      <c r="I1134" t="s">
        <v>13</v>
      </c>
      <c r="J1134" t="s">
        <v>13</v>
      </c>
    </row>
    <row r="1135" spans="1:11" x14ac:dyDescent="0.35">
      <c r="A1135" t="s">
        <v>5</v>
      </c>
      <c r="B1135" t="str">
        <f t="shared" si="24"/>
        <v>35251</v>
      </c>
      <c r="C1135" t="str">
        <f>"007"</f>
        <v>007</v>
      </c>
      <c r="D1135">
        <v>2009</v>
      </c>
      <c r="E1135" s="1">
        <v>12457200</v>
      </c>
      <c r="F1135" s="1">
        <v>4670200</v>
      </c>
      <c r="G1135" s="1" t="s">
        <v>11</v>
      </c>
      <c r="H1135" s="1" t="s">
        <v>38</v>
      </c>
      <c r="I1135" t="s">
        <v>13</v>
      </c>
      <c r="J1135" t="s">
        <v>13</v>
      </c>
    </row>
    <row r="1136" spans="1:11" x14ac:dyDescent="0.35">
      <c r="A1136" t="s">
        <v>5</v>
      </c>
      <c r="B1136" t="str">
        <f t="shared" si="24"/>
        <v>35251</v>
      </c>
      <c r="C1136" t="str">
        <f>"008"</f>
        <v>008</v>
      </c>
      <c r="D1136">
        <v>2011</v>
      </c>
      <c r="E1136" s="1">
        <v>20002700</v>
      </c>
      <c r="F1136" s="1">
        <v>2686000</v>
      </c>
      <c r="G1136" s="1" t="s">
        <v>11</v>
      </c>
      <c r="H1136" s="1" t="s">
        <v>38</v>
      </c>
      <c r="I1136" t="s">
        <v>13</v>
      </c>
      <c r="J1136" t="s">
        <v>13</v>
      </c>
    </row>
    <row r="1137" spans="1:11" x14ac:dyDescent="0.35">
      <c r="A1137" t="s">
        <v>5</v>
      </c>
      <c r="B1137" t="str">
        <f t="shared" si="24"/>
        <v>35251</v>
      </c>
      <c r="C1137" t="str">
        <f>"009"</f>
        <v>009</v>
      </c>
      <c r="D1137">
        <v>2013</v>
      </c>
      <c r="E1137" s="1">
        <v>4803200</v>
      </c>
      <c r="F1137" s="1">
        <v>-1132800</v>
      </c>
      <c r="G1137" s="1" t="s">
        <v>48</v>
      </c>
      <c r="H1137" s="1" t="s">
        <v>38</v>
      </c>
      <c r="I1137" t="s">
        <v>13</v>
      </c>
      <c r="J1137" t="s">
        <v>13</v>
      </c>
    </row>
    <row r="1138" spans="1:11" x14ac:dyDescent="0.35">
      <c r="A1138" t="s">
        <v>5</v>
      </c>
      <c r="B1138" t="str">
        <f t="shared" si="24"/>
        <v>35251</v>
      </c>
      <c r="C1138" t="str">
        <f>"010"</f>
        <v>010</v>
      </c>
      <c r="D1138">
        <v>2015</v>
      </c>
      <c r="E1138" s="1">
        <v>0</v>
      </c>
      <c r="F1138" s="1">
        <v>-296800</v>
      </c>
      <c r="G1138" s="1" t="s">
        <v>48</v>
      </c>
      <c r="H1138" s="1" t="s">
        <v>38</v>
      </c>
      <c r="I1138" t="s">
        <v>13</v>
      </c>
      <c r="J1138" t="s">
        <v>13</v>
      </c>
    </row>
    <row r="1139" spans="1:11" x14ac:dyDescent="0.35">
      <c r="A1139" t="s">
        <v>5</v>
      </c>
      <c r="B1139" t="str">
        <f t="shared" si="24"/>
        <v>35251</v>
      </c>
      <c r="C1139" t="str">
        <f>"011"</f>
        <v>011</v>
      </c>
      <c r="D1139">
        <v>2016</v>
      </c>
      <c r="E1139" s="1">
        <v>21238500</v>
      </c>
      <c r="F1139" s="1">
        <v>6257900</v>
      </c>
      <c r="G1139" s="1" t="s">
        <v>11</v>
      </c>
      <c r="H1139" s="1" t="s">
        <v>38</v>
      </c>
      <c r="I1139" t="s">
        <v>13</v>
      </c>
      <c r="J1139" t="s">
        <v>13</v>
      </c>
    </row>
    <row r="1140" spans="1:11" x14ac:dyDescent="0.35">
      <c r="A1140" t="s">
        <v>5</v>
      </c>
      <c r="B1140" t="str">
        <f t="shared" si="24"/>
        <v>35251</v>
      </c>
      <c r="C1140" t="str">
        <f>"012"</f>
        <v>012</v>
      </c>
      <c r="D1140">
        <v>2017</v>
      </c>
      <c r="E1140" s="1">
        <v>2433400</v>
      </c>
      <c r="F1140" s="1">
        <v>838700</v>
      </c>
      <c r="G1140" s="1" t="s">
        <v>11</v>
      </c>
      <c r="H1140" s="1" t="s">
        <v>38</v>
      </c>
      <c r="I1140" t="s">
        <v>13</v>
      </c>
      <c r="J1140" t="s">
        <v>13</v>
      </c>
    </row>
    <row r="1141" spans="1:11" x14ac:dyDescent="0.35">
      <c r="A1141" t="s">
        <v>39</v>
      </c>
      <c r="B1141" t="s">
        <v>13</v>
      </c>
      <c r="C1141" t="s">
        <v>7</v>
      </c>
      <c r="D1141" t="s">
        <v>8</v>
      </c>
      <c r="E1141" s="1">
        <v>143491700</v>
      </c>
      <c r="F1141" s="1">
        <v>60700700</v>
      </c>
      <c r="G1141" s="1" t="s">
        <v>11</v>
      </c>
      <c r="H1141" s="1">
        <v>487323100</v>
      </c>
      <c r="I1141" t="s">
        <v>13</v>
      </c>
      <c r="J1141" t="s">
        <v>13</v>
      </c>
      <c r="K1141">
        <v>12.46</v>
      </c>
    </row>
    <row r="1142" spans="1:11" x14ac:dyDescent="0.35">
      <c r="E1142" s="1"/>
      <c r="F1142" s="1"/>
      <c r="G1142" s="1"/>
      <c r="H1142" s="1"/>
    </row>
    <row r="1143" spans="1:11" x14ac:dyDescent="0.35">
      <c r="A1143" t="s">
        <v>264</v>
      </c>
      <c r="B1143" t="str">
        <f>"27152"</f>
        <v>27152</v>
      </c>
      <c r="C1143" t="str">
        <f>"001"</f>
        <v>001</v>
      </c>
      <c r="D1143">
        <v>2018</v>
      </c>
      <c r="E1143" s="1">
        <v>3787700</v>
      </c>
      <c r="F1143" s="1">
        <v>1267100</v>
      </c>
      <c r="G1143" s="1" t="s">
        <v>11</v>
      </c>
      <c r="H1143" s="1" t="s">
        <v>38</v>
      </c>
      <c r="I1143" t="s">
        <v>13</v>
      </c>
      <c r="J1143" t="s">
        <v>13</v>
      </c>
    </row>
    <row r="1144" spans="1:11" x14ac:dyDescent="0.35">
      <c r="A1144" t="s">
        <v>39</v>
      </c>
      <c r="B1144" t="s">
        <v>13</v>
      </c>
      <c r="C1144" t="s">
        <v>7</v>
      </c>
      <c r="D1144" t="s">
        <v>8</v>
      </c>
      <c r="E1144" s="1">
        <v>3787700</v>
      </c>
      <c r="F1144" s="1">
        <v>1267100</v>
      </c>
      <c r="G1144" s="1" t="s">
        <v>11</v>
      </c>
      <c r="H1144" s="1">
        <v>26135800</v>
      </c>
      <c r="I1144" t="s">
        <v>13</v>
      </c>
      <c r="J1144" t="s">
        <v>13</v>
      </c>
      <c r="K1144">
        <v>4.8499999999999996</v>
      </c>
    </row>
    <row r="1145" spans="1:11" x14ac:dyDescent="0.35">
      <c r="E1145" s="1"/>
      <c r="F1145" s="1"/>
      <c r="G1145" s="1"/>
      <c r="H1145" s="1"/>
    </row>
    <row r="1146" spans="1:11" x14ac:dyDescent="0.35">
      <c r="A1146" t="s">
        <v>265</v>
      </c>
      <c r="B1146" t="str">
        <f>"13255"</f>
        <v>13255</v>
      </c>
      <c r="C1146" t="str">
        <f>"003"</f>
        <v>003</v>
      </c>
      <c r="D1146">
        <v>1993</v>
      </c>
      <c r="E1146" s="1">
        <v>601291600</v>
      </c>
      <c r="F1146" s="1">
        <v>545423400</v>
      </c>
      <c r="G1146" s="1" t="s">
        <v>11</v>
      </c>
      <c r="H1146" s="1" t="s">
        <v>38</v>
      </c>
      <c r="I1146" t="s">
        <v>13</v>
      </c>
      <c r="J1146" t="s">
        <v>13</v>
      </c>
    </row>
    <row r="1147" spans="1:11" x14ac:dyDescent="0.35">
      <c r="A1147" t="s">
        <v>5</v>
      </c>
      <c r="B1147" t="str">
        <f>"13255"</f>
        <v>13255</v>
      </c>
      <c r="C1147" t="str">
        <f>"005"</f>
        <v>005</v>
      </c>
      <c r="D1147">
        <v>2009</v>
      </c>
      <c r="E1147" s="1">
        <v>214700500</v>
      </c>
      <c r="F1147" s="1">
        <v>125035000</v>
      </c>
      <c r="G1147" s="1" t="s">
        <v>11</v>
      </c>
      <c r="H1147" s="1" t="s">
        <v>38</v>
      </c>
      <c r="I1147" t="s">
        <v>13</v>
      </c>
      <c r="J1147" t="s">
        <v>13</v>
      </c>
    </row>
    <row r="1148" spans="1:11" x14ac:dyDescent="0.35">
      <c r="A1148" t="s">
        <v>39</v>
      </c>
      <c r="B1148" t="s">
        <v>13</v>
      </c>
      <c r="C1148" t="s">
        <v>7</v>
      </c>
      <c r="D1148" t="s">
        <v>8</v>
      </c>
      <c r="E1148" s="1">
        <v>815992100</v>
      </c>
      <c r="F1148" s="1">
        <v>670458400</v>
      </c>
      <c r="G1148" s="1" t="s">
        <v>11</v>
      </c>
      <c r="H1148" s="1">
        <v>4263315100</v>
      </c>
      <c r="I1148" t="s">
        <v>13</v>
      </c>
      <c r="J1148" t="s">
        <v>13</v>
      </c>
      <c r="K1148">
        <v>15.73</v>
      </c>
    </row>
    <row r="1149" spans="1:11" x14ac:dyDescent="0.35">
      <c r="E1149" s="1"/>
      <c r="F1149" s="1"/>
      <c r="G1149" s="1"/>
      <c r="H1149" s="1"/>
    </row>
    <row r="1150" spans="1:11" x14ac:dyDescent="0.35">
      <c r="A1150" t="s">
        <v>266</v>
      </c>
      <c r="B1150" t="str">
        <f>"48151"</f>
        <v>48151</v>
      </c>
      <c r="C1150" t="str">
        <f>"003"</f>
        <v>003</v>
      </c>
      <c r="D1150">
        <v>2004</v>
      </c>
      <c r="E1150" s="1">
        <v>1020500</v>
      </c>
      <c r="F1150" s="1">
        <v>437300</v>
      </c>
      <c r="G1150" s="1" t="s">
        <v>11</v>
      </c>
      <c r="H1150" s="1" t="s">
        <v>38</v>
      </c>
      <c r="I1150" t="s">
        <v>13</v>
      </c>
      <c r="J1150" t="s">
        <v>13</v>
      </c>
    </row>
    <row r="1151" spans="1:11" x14ac:dyDescent="0.35">
      <c r="A1151" t="s">
        <v>5</v>
      </c>
      <c r="B1151" t="str">
        <f>"48151"</f>
        <v>48151</v>
      </c>
      <c r="C1151" t="str">
        <f>"004"</f>
        <v>004</v>
      </c>
      <c r="D1151">
        <v>2012</v>
      </c>
      <c r="E1151" s="1">
        <v>2023000</v>
      </c>
      <c r="F1151" s="1">
        <v>995300</v>
      </c>
      <c r="G1151" s="1" t="s">
        <v>11</v>
      </c>
      <c r="H1151" s="1" t="s">
        <v>38</v>
      </c>
      <c r="I1151" t="s">
        <v>13</v>
      </c>
      <c r="J1151" t="s">
        <v>13</v>
      </c>
    </row>
    <row r="1152" spans="1:11" x14ac:dyDescent="0.35">
      <c r="A1152" t="s">
        <v>39</v>
      </c>
      <c r="B1152" t="s">
        <v>13</v>
      </c>
      <c r="C1152" t="s">
        <v>7</v>
      </c>
      <c r="D1152" t="s">
        <v>8</v>
      </c>
      <c r="E1152" s="1">
        <v>3043500</v>
      </c>
      <c r="F1152" s="1">
        <v>1432600</v>
      </c>
      <c r="G1152" s="1" t="s">
        <v>11</v>
      </c>
      <c r="H1152" s="1">
        <v>51147000</v>
      </c>
      <c r="I1152" t="s">
        <v>13</v>
      </c>
      <c r="J1152" t="s">
        <v>13</v>
      </c>
      <c r="K1152">
        <v>2.8</v>
      </c>
    </row>
    <row r="1153" spans="1:11" x14ac:dyDescent="0.35">
      <c r="E1153" s="1"/>
      <c r="F1153" s="1"/>
      <c r="G1153" s="1"/>
      <c r="H1153" s="1"/>
    </row>
    <row r="1154" spans="1:11" x14ac:dyDescent="0.35">
      <c r="A1154" t="s">
        <v>267</v>
      </c>
      <c r="B1154" t="str">
        <f>"53257"</f>
        <v>53257</v>
      </c>
      <c r="C1154" t="str">
        <f>"006"</f>
        <v>006</v>
      </c>
      <c r="D1154">
        <v>2003</v>
      </c>
      <c r="E1154" s="1">
        <v>47109100</v>
      </c>
      <c r="F1154" s="1">
        <v>43778800</v>
      </c>
      <c r="G1154" s="1" t="s">
        <v>11</v>
      </c>
      <c r="H1154" s="1" t="s">
        <v>38</v>
      </c>
      <c r="I1154" t="s">
        <v>13</v>
      </c>
      <c r="J1154" t="s">
        <v>13</v>
      </c>
    </row>
    <row r="1155" spans="1:11" x14ac:dyDescent="0.35">
      <c r="A1155" t="s">
        <v>5</v>
      </c>
      <c r="B1155" t="str">
        <f>"53257"</f>
        <v>53257</v>
      </c>
      <c r="C1155" t="str">
        <f>"007"</f>
        <v>007</v>
      </c>
      <c r="D1155">
        <v>2004</v>
      </c>
      <c r="E1155" s="1">
        <v>14881400</v>
      </c>
      <c r="F1155" s="1">
        <v>6313900</v>
      </c>
      <c r="G1155" s="1" t="s">
        <v>11</v>
      </c>
      <c r="H1155" s="1" t="s">
        <v>38</v>
      </c>
      <c r="I1155" t="s">
        <v>13</v>
      </c>
      <c r="J1155" t="s">
        <v>13</v>
      </c>
    </row>
    <row r="1156" spans="1:11" x14ac:dyDescent="0.35">
      <c r="A1156" t="s">
        <v>5</v>
      </c>
      <c r="B1156" t="str">
        <f>"53257"</f>
        <v>53257</v>
      </c>
      <c r="C1156" t="str">
        <f>"009"</f>
        <v>009</v>
      </c>
      <c r="D1156">
        <v>2016</v>
      </c>
      <c r="E1156" s="1">
        <v>9150900</v>
      </c>
      <c r="F1156" s="1">
        <v>8976200</v>
      </c>
      <c r="G1156" s="1" t="s">
        <v>11</v>
      </c>
      <c r="H1156" s="1" t="s">
        <v>38</v>
      </c>
      <c r="I1156" t="s">
        <v>13</v>
      </c>
      <c r="J1156" t="s">
        <v>13</v>
      </c>
    </row>
    <row r="1157" spans="1:11" x14ac:dyDescent="0.35">
      <c r="A1157" t="s">
        <v>5</v>
      </c>
      <c r="B1157" t="str">
        <f>"53257"</f>
        <v>53257</v>
      </c>
      <c r="C1157" t="str">
        <f>"010"</f>
        <v>010</v>
      </c>
      <c r="D1157">
        <v>2018</v>
      </c>
      <c r="E1157" s="1">
        <v>23188700</v>
      </c>
      <c r="F1157" s="1">
        <v>2434500</v>
      </c>
      <c r="G1157" s="1" t="s">
        <v>11</v>
      </c>
      <c r="H1157" s="1" t="s">
        <v>38</v>
      </c>
      <c r="I1157" t="s">
        <v>13</v>
      </c>
      <c r="J1157" t="s">
        <v>13</v>
      </c>
    </row>
    <row r="1158" spans="1:11" x14ac:dyDescent="0.35">
      <c r="A1158" t="s">
        <v>39</v>
      </c>
      <c r="B1158" t="s">
        <v>13</v>
      </c>
      <c r="C1158" t="s">
        <v>7</v>
      </c>
      <c r="D1158" t="s">
        <v>8</v>
      </c>
      <c r="E1158" s="1">
        <v>94330100</v>
      </c>
      <c r="F1158" s="1">
        <v>61503400</v>
      </c>
      <c r="G1158" s="1" t="s">
        <v>11</v>
      </c>
      <c r="H1158" s="1">
        <v>487672900</v>
      </c>
      <c r="I1158" t="s">
        <v>13</v>
      </c>
      <c r="J1158" t="s">
        <v>13</v>
      </c>
      <c r="K1158">
        <v>12.61</v>
      </c>
    </row>
    <row r="1159" spans="1:11" x14ac:dyDescent="0.35">
      <c r="E1159" s="1"/>
      <c r="F1159" s="1"/>
      <c r="G1159" s="1"/>
      <c r="H1159" s="1"/>
    </row>
    <row r="1160" spans="1:11" x14ac:dyDescent="0.35">
      <c r="A1160" t="s">
        <v>268</v>
      </c>
      <c r="B1160" t="str">
        <f t="shared" ref="B1160:B1191" si="25">"40251"</f>
        <v>40251</v>
      </c>
      <c r="C1160" t="str">
        <f>"037"</f>
        <v>037</v>
      </c>
      <c r="D1160">
        <v>1998</v>
      </c>
      <c r="E1160" s="1">
        <v>164961000</v>
      </c>
      <c r="F1160" s="1">
        <v>104643600</v>
      </c>
      <c r="G1160" s="1" t="s">
        <v>11</v>
      </c>
      <c r="H1160" s="1" t="s">
        <v>38</v>
      </c>
      <c r="I1160" t="s">
        <v>13</v>
      </c>
      <c r="J1160" t="s">
        <v>13</v>
      </c>
    </row>
    <row r="1161" spans="1:11" x14ac:dyDescent="0.35">
      <c r="A1161" t="s">
        <v>5</v>
      </c>
      <c r="B1161" t="str">
        <f t="shared" si="25"/>
        <v>40251</v>
      </c>
      <c r="C1161" t="str">
        <f>"039"</f>
        <v>039</v>
      </c>
      <c r="D1161">
        <v>2000</v>
      </c>
      <c r="E1161" s="1">
        <v>48779100</v>
      </c>
      <c r="F1161" s="1">
        <v>24915700</v>
      </c>
      <c r="G1161" s="1" t="s">
        <v>11</v>
      </c>
      <c r="H1161" s="1" t="s">
        <v>38</v>
      </c>
      <c r="I1161" t="s">
        <v>13</v>
      </c>
      <c r="J1161" t="s">
        <v>13</v>
      </c>
    </row>
    <row r="1162" spans="1:11" x14ac:dyDescent="0.35">
      <c r="A1162" t="s">
        <v>5</v>
      </c>
      <c r="B1162" t="str">
        <f t="shared" si="25"/>
        <v>40251</v>
      </c>
      <c r="C1162" t="str">
        <f>"041"</f>
        <v>041</v>
      </c>
      <c r="D1162">
        <v>2000</v>
      </c>
      <c r="E1162" s="1">
        <v>141911700</v>
      </c>
      <c r="F1162" s="1">
        <v>131890300</v>
      </c>
      <c r="G1162" s="1" t="s">
        <v>11</v>
      </c>
      <c r="H1162" s="1" t="s">
        <v>38</v>
      </c>
      <c r="I1162" t="s">
        <v>13</v>
      </c>
      <c r="J1162" t="s">
        <v>13</v>
      </c>
    </row>
    <row r="1163" spans="1:11" x14ac:dyDescent="0.35">
      <c r="A1163" t="s">
        <v>5</v>
      </c>
      <c r="B1163" t="str">
        <f t="shared" si="25"/>
        <v>40251</v>
      </c>
      <c r="C1163" t="str">
        <f>"042"</f>
        <v>042</v>
      </c>
      <c r="D1163">
        <v>2001</v>
      </c>
      <c r="E1163" s="1">
        <v>41213500</v>
      </c>
      <c r="F1163" s="1">
        <v>34095200</v>
      </c>
      <c r="G1163" s="1" t="s">
        <v>11</v>
      </c>
      <c r="H1163" s="1" t="s">
        <v>38</v>
      </c>
      <c r="I1163" t="s">
        <v>13</v>
      </c>
      <c r="J1163" t="s">
        <v>13</v>
      </c>
    </row>
    <row r="1164" spans="1:11" x14ac:dyDescent="0.35">
      <c r="A1164" t="s">
        <v>5</v>
      </c>
      <c r="B1164" t="str">
        <f t="shared" si="25"/>
        <v>40251</v>
      </c>
      <c r="C1164" t="str">
        <f>"046"</f>
        <v>046</v>
      </c>
      <c r="D1164">
        <v>2001</v>
      </c>
      <c r="E1164" s="1">
        <v>30244000</v>
      </c>
      <c r="F1164" s="1">
        <v>15484500</v>
      </c>
      <c r="G1164" s="1" t="s">
        <v>11</v>
      </c>
      <c r="H1164" s="1" t="s">
        <v>38</v>
      </c>
      <c r="I1164" t="s">
        <v>13</v>
      </c>
      <c r="J1164" t="s">
        <v>13</v>
      </c>
    </row>
    <row r="1165" spans="1:11" x14ac:dyDescent="0.35">
      <c r="A1165" t="s">
        <v>5</v>
      </c>
      <c r="B1165" t="str">
        <f t="shared" si="25"/>
        <v>40251</v>
      </c>
      <c r="C1165" t="str">
        <f>"048"</f>
        <v>048</v>
      </c>
      <c r="D1165">
        <v>2002</v>
      </c>
      <c r="E1165" s="1">
        <v>383837200</v>
      </c>
      <c r="F1165" s="1">
        <v>338511600</v>
      </c>
      <c r="G1165" s="1" t="s">
        <v>11</v>
      </c>
      <c r="H1165" s="1" t="s">
        <v>38</v>
      </c>
      <c r="I1165" t="s">
        <v>13</v>
      </c>
      <c r="J1165" t="s">
        <v>13</v>
      </c>
    </row>
    <row r="1166" spans="1:11" x14ac:dyDescent="0.35">
      <c r="A1166" t="s">
        <v>5</v>
      </c>
      <c r="B1166" t="str">
        <f t="shared" si="25"/>
        <v>40251</v>
      </c>
      <c r="C1166" t="str">
        <f>"049"</f>
        <v>049</v>
      </c>
      <c r="D1166">
        <v>2002</v>
      </c>
      <c r="E1166" s="1">
        <v>62484800</v>
      </c>
      <c r="F1166" s="1">
        <v>60432100</v>
      </c>
      <c r="G1166" s="1" t="s">
        <v>11</v>
      </c>
      <c r="H1166" s="1" t="s">
        <v>38</v>
      </c>
      <c r="I1166" t="s">
        <v>13</v>
      </c>
      <c r="J1166" t="s">
        <v>13</v>
      </c>
    </row>
    <row r="1167" spans="1:11" x14ac:dyDescent="0.35">
      <c r="A1167" t="s">
        <v>5</v>
      </c>
      <c r="B1167" t="str">
        <f t="shared" si="25"/>
        <v>40251</v>
      </c>
      <c r="C1167" t="str">
        <f>"051"</f>
        <v>051</v>
      </c>
      <c r="D1167">
        <v>2003</v>
      </c>
      <c r="E1167" s="1">
        <v>16817500</v>
      </c>
      <c r="F1167" s="1">
        <v>6768800</v>
      </c>
      <c r="G1167" s="1" t="s">
        <v>11</v>
      </c>
      <c r="H1167" s="1" t="s">
        <v>38</v>
      </c>
      <c r="I1167" t="s">
        <v>13</v>
      </c>
      <c r="J1167" t="s">
        <v>13</v>
      </c>
    </row>
    <row r="1168" spans="1:11" x14ac:dyDescent="0.35">
      <c r="A1168" t="s">
        <v>5</v>
      </c>
      <c r="B1168" t="str">
        <f t="shared" si="25"/>
        <v>40251</v>
      </c>
      <c r="C1168" t="str">
        <f>"052"</f>
        <v>052</v>
      </c>
      <c r="D1168">
        <v>2003</v>
      </c>
      <c r="E1168" s="1">
        <v>28355000</v>
      </c>
      <c r="F1168" s="1">
        <v>18129100</v>
      </c>
      <c r="G1168" s="1" t="s">
        <v>11</v>
      </c>
      <c r="H1168" s="1" t="s">
        <v>38</v>
      </c>
      <c r="I1168" t="s">
        <v>13</v>
      </c>
      <c r="J1168" t="s">
        <v>13</v>
      </c>
    </row>
    <row r="1169" spans="1:10" x14ac:dyDescent="0.35">
      <c r="A1169" t="s">
        <v>5</v>
      </c>
      <c r="B1169" t="str">
        <f t="shared" si="25"/>
        <v>40251</v>
      </c>
      <c r="C1169" t="str">
        <f>"053"</f>
        <v>053</v>
      </c>
      <c r="D1169">
        <v>2004</v>
      </c>
      <c r="E1169" s="1">
        <v>82535700</v>
      </c>
      <c r="F1169" s="1">
        <v>77783400</v>
      </c>
      <c r="G1169" s="1" t="s">
        <v>11</v>
      </c>
      <c r="H1169" s="1" t="s">
        <v>38</v>
      </c>
      <c r="I1169" t="s">
        <v>13</v>
      </c>
      <c r="J1169" t="s">
        <v>13</v>
      </c>
    </row>
    <row r="1170" spans="1:10" x14ac:dyDescent="0.35">
      <c r="A1170" t="s">
        <v>5</v>
      </c>
      <c r="B1170" t="str">
        <f t="shared" si="25"/>
        <v>40251</v>
      </c>
      <c r="C1170" t="str">
        <f>"054"</f>
        <v>054</v>
      </c>
      <c r="D1170">
        <v>2004</v>
      </c>
      <c r="E1170" s="1">
        <v>21575800</v>
      </c>
      <c r="F1170" s="1">
        <v>20427800</v>
      </c>
      <c r="G1170" s="1" t="s">
        <v>11</v>
      </c>
      <c r="H1170" s="1" t="s">
        <v>38</v>
      </c>
      <c r="I1170" t="s">
        <v>13</v>
      </c>
      <c r="J1170" t="s">
        <v>13</v>
      </c>
    </row>
    <row r="1171" spans="1:10" x14ac:dyDescent="0.35">
      <c r="A1171" t="s">
        <v>5</v>
      </c>
      <c r="B1171" t="str">
        <f t="shared" si="25"/>
        <v>40251</v>
      </c>
      <c r="C1171" t="str">
        <f>"056"</f>
        <v>056</v>
      </c>
      <c r="D1171">
        <v>2004</v>
      </c>
      <c r="E1171" s="1">
        <v>200429300</v>
      </c>
      <c r="F1171" s="1">
        <v>191470700</v>
      </c>
      <c r="G1171" s="1" t="s">
        <v>11</v>
      </c>
      <c r="H1171" s="1" t="s">
        <v>38</v>
      </c>
      <c r="I1171" t="s">
        <v>13</v>
      </c>
      <c r="J1171" t="s">
        <v>13</v>
      </c>
    </row>
    <row r="1172" spans="1:10" x14ac:dyDescent="0.35">
      <c r="A1172" t="s">
        <v>5</v>
      </c>
      <c r="B1172" t="str">
        <f t="shared" si="25"/>
        <v>40251</v>
      </c>
      <c r="C1172" t="str">
        <f>"057"</f>
        <v>057</v>
      </c>
      <c r="D1172">
        <v>2005</v>
      </c>
      <c r="E1172" s="1">
        <v>17565500</v>
      </c>
      <c r="F1172" s="1">
        <v>17565500</v>
      </c>
      <c r="G1172" s="1" t="s">
        <v>11</v>
      </c>
      <c r="H1172" s="1" t="s">
        <v>38</v>
      </c>
      <c r="I1172" t="s">
        <v>13</v>
      </c>
      <c r="J1172" t="s">
        <v>13</v>
      </c>
    </row>
    <row r="1173" spans="1:10" x14ac:dyDescent="0.35">
      <c r="A1173" t="s">
        <v>5</v>
      </c>
      <c r="B1173" t="str">
        <f t="shared" si="25"/>
        <v>40251</v>
      </c>
      <c r="C1173" t="str">
        <f>"058"</f>
        <v>058</v>
      </c>
      <c r="D1173">
        <v>2005</v>
      </c>
      <c r="E1173" s="1">
        <v>5170000</v>
      </c>
      <c r="F1173" s="1">
        <v>416800</v>
      </c>
      <c r="G1173" s="1" t="s">
        <v>11</v>
      </c>
      <c r="H1173" s="1" t="s">
        <v>38</v>
      </c>
      <c r="I1173" t="s">
        <v>13</v>
      </c>
      <c r="J1173" t="s">
        <v>13</v>
      </c>
    </row>
    <row r="1174" spans="1:10" x14ac:dyDescent="0.35">
      <c r="A1174" t="s">
        <v>5</v>
      </c>
      <c r="B1174" t="str">
        <f t="shared" si="25"/>
        <v>40251</v>
      </c>
      <c r="C1174" t="str">
        <f>"059"</f>
        <v>059</v>
      </c>
      <c r="D1174">
        <v>2005</v>
      </c>
      <c r="E1174" s="1">
        <v>56550900</v>
      </c>
      <c r="F1174" s="1">
        <v>10529400</v>
      </c>
      <c r="G1174" s="1" t="s">
        <v>11</v>
      </c>
      <c r="H1174" s="1" t="s">
        <v>38</v>
      </c>
      <c r="I1174" t="s">
        <v>13</v>
      </c>
      <c r="J1174" t="s">
        <v>13</v>
      </c>
    </row>
    <row r="1175" spans="1:10" x14ac:dyDescent="0.35">
      <c r="A1175" t="s">
        <v>5</v>
      </c>
      <c r="B1175" t="str">
        <f t="shared" si="25"/>
        <v>40251</v>
      </c>
      <c r="C1175" t="str">
        <f>"060"</f>
        <v>060</v>
      </c>
      <c r="D1175">
        <v>2005</v>
      </c>
      <c r="E1175" s="1">
        <v>12177900</v>
      </c>
      <c r="F1175" s="1">
        <v>9965000</v>
      </c>
      <c r="G1175" s="1" t="s">
        <v>11</v>
      </c>
      <c r="H1175" s="1" t="s">
        <v>38</v>
      </c>
      <c r="I1175" t="s">
        <v>13</v>
      </c>
      <c r="J1175" t="s">
        <v>13</v>
      </c>
    </row>
    <row r="1176" spans="1:10" x14ac:dyDescent="0.35">
      <c r="A1176" t="s">
        <v>5</v>
      </c>
      <c r="B1176" t="str">
        <f t="shared" si="25"/>
        <v>40251</v>
      </c>
      <c r="C1176" t="str">
        <f>"062"</f>
        <v>062</v>
      </c>
      <c r="D1176">
        <v>2006</v>
      </c>
      <c r="E1176" s="1">
        <v>9991500</v>
      </c>
      <c r="F1176" s="1">
        <v>4661700</v>
      </c>
      <c r="G1176" s="1" t="s">
        <v>11</v>
      </c>
      <c r="H1176" s="1" t="s">
        <v>38</v>
      </c>
      <c r="I1176" t="s">
        <v>13</v>
      </c>
      <c r="J1176" t="s">
        <v>13</v>
      </c>
    </row>
    <row r="1177" spans="1:10" x14ac:dyDescent="0.35">
      <c r="A1177" t="s">
        <v>5</v>
      </c>
      <c r="B1177" t="str">
        <f t="shared" si="25"/>
        <v>40251</v>
      </c>
      <c r="C1177" t="str">
        <f>"063"</f>
        <v>063</v>
      </c>
      <c r="D1177">
        <v>2006</v>
      </c>
      <c r="E1177" s="1">
        <v>11447800</v>
      </c>
      <c r="F1177" s="1">
        <v>2576700</v>
      </c>
      <c r="G1177" s="1" t="s">
        <v>11</v>
      </c>
      <c r="H1177" s="1" t="s">
        <v>38</v>
      </c>
      <c r="I1177" t="s">
        <v>13</v>
      </c>
      <c r="J1177" t="s">
        <v>13</v>
      </c>
    </row>
    <row r="1178" spans="1:10" x14ac:dyDescent="0.35">
      <c r="A1178" t="s">
        <v>5</v>
      </c>
      <c r="B1178" t="str">
        <f t="shared" si="25"/>
        <v>40251</v>
      </c>
      <c r="C1178" t="str">
        <f>"064"</f>
        <v>064</v>
      </c>
      <c r="D1178">
        <v>2006</v>
      </c>
      <c r="E1178" s="1">
        <v>30033000</v>
      </c>
      <c r="F1178" s="1">
        <v>15675000</v>
      </c>
      <c r="G1178" s="1" t="s">
        <v>11</v>
      </c>
      <c r="H1178" s="1" t="s">
        <v>38</v>
      </c>
      <c r="I1178" t="s">
        <v>13</v>
      </c>
      <c r="J1178" t="s">
        <v>13</v>
      </c>
    </row>
    <row r="1179" spans="1:10" x14ac:dyDescent="0.35">
      <c r="A1179" t="s">
        <v>5</v>
      </c>
      <c r="B1179" t="str">
        <f t="shared" si="25"/>
        <v>40251</v>
      </c>
      <c r="C1179" t="str">
        <f>"065"</f>
        <v>065</v>
      </c>
      <c r="D1179">
        <v>2006</v>
      </c>
      <c r="E1179" s="1">
        <v>4085600</v>
      </c>
      <c r="F1179" s="1">
        <v>864900</v>
      </c>
      <c r="G1179" s="1" t="s">
        <v>11</v>
      </c>
      <c r="H1179" s="1" t="s">
        <v>38</v>
      </c>
      <c r="I1179" t="s">
        <v>13</v>
      </c>
      <c r="J1179" t="s">
        <v>13</v>
      </c>
    </row>
    <row r="1180" spans="1:10" x14ac:dyDescent="0.35">
      <c r="A1180" t="s">
        <v>5</v>
      </c>
      <c r="B1180" t="str">
        <f t="shared" si="25"/>
        <v>40251</v>
      </c>
      <c r="C1180" t="str">
        <f>"067"</f>
        <v>067</v>
      </c>
      <c r="D1180">
        <v>2007</v>
      </c>
      <c r="E1180" s="1">
        <v>172604000</v>
      </c>
      <c r="F1180" s="1">
        <v>163337100</v>
      </c>
      <c r="G1180" s="1" t="s">
        <v>11</v>
      </c>
      <c r="H1180" s="1" t="s">
        <v>38</v>
      </c>
      <c r="I1180" t="s">
        <v>13</v>
      </c>
      <c r="J1180" t="s">
        <v>13</v>
      </c>
    </row>
    <row r="1181" spans="1:10" x14ac:dyDescent="0.35">
      <c r="A1181" t="s">
        <v>5</v>
      </c>
      <c r="B1181" t="str">
        <f t="shared" si="25"/>
        <v>40251</v>
      </c>
      <c r="C1181" t="str">
        <f>"068"</f>
        <v>068</v>
      </c>
      <c r="D1181">
        <v>2007</v>
      </c>
      <c r="E1181" s="1">
        <v>90674800</v>
      </c>
      <c r="F1181" s="1">
        <v>57868000</v>
      </c>
      <c r="G1181" s="1" t="s">
        <v>11</v>
      </c>
      <c r="H1181" s="1" t="s">
        <v>38</v>
      </c>
      <c r="I1181" t="s">
        <v>13</v>
      </c>
      <c r="J1181" t="s">
        <v>13</v>
      </c>
    </row>
    <row r="1182" spans="1:10" x14ac:dyDescent="0.35">
      <c r="A1182" t="s">
        <v>5</v>
      </c>
      <c r="B1182" t="str">
        <f t="shared" si="25"/>
        <v>40251</v>
      </c>
      <c r="C1182" t="str">
        <f>"070"</f>
        <v>070</v>
      </c>
      <c r="D1182">
        <v>2007</v>
      </c>
      <c r="E1182" s="1">
        <v>38126900</v>
      </c>
      <c r="F1182" s="1">
        <v>23222200</v>
      </c>
      <c r="G1182" s="1" t="s">
        <v>11</v>
      </c>
      <c r="H1182" s="1" t="s">
        <v>38</v>
      </c>
      <c r="I1182" t="s">
        <v>13</v>
      </c>
      <c r="J1182" t="s">
        <v>13</v>
      </c>
    </row>
    <row r="1183" spans="1:10" x14ac:dyDescent="0.35">
      <c r="A1183" t="s">
        <v>5</v>
      </c>
      <c r="B1183" t="str">
        <f t="shared" si="25"/>
        <v>40251</v>
      </c>
      <c r="C1183" t="str">
        <f>"071"</f>
        <v>071</v>
      </c>
      <c r="D1183">
        <v>2008</v>
      </c>
      <c r="E1183" s="1">
        <v>75202100</v>
      </c>
      <c r="F1183" s="1">
        <v>8450800</v>
      </c>
      <c r="G1183" s="1" t="s">
        <v>11</v>
      </c>
      <c r="H1183" s="1" t="s">
        <v>38</v>
      </c>
      <c r="I1183" t="s">
        <v>13</v>
      </c>
      <c r="J1183" t="s">
        <v>13</v>
      </c>
    </row>
    <row r="1184" spans="1:10" x14ac:dyDescent="0.35">
      <c r="A1184" t="s">
        <v>5</v>
      </c>
      <c r="B1184" t="str">
        <f t="shared" si="25"/>
        <v>40251</v>
      </c>
      <c r="C1184" t="str">
        <f>"072"</f>
        <v>072</v>
      </c>
      <c r="D1184">
        <v>2009</v>
      </c>
      <c r="E1184" s="1">
        <v>25135900</v>
      </c>
      <c r="F1184" s="1">
        <v>661200</v>
      </c>
      <c r="G1184" s="1" t="s">
        <v>11</v>
      </c>
      <c r="H1184" s="1" t="s">
        <v>38</v>
      </c>
      <c r="I1184" t="s">
        <v>13</v>
      </c>
      <c r="J1184" t="s">
        <v>13</v>
      </c>
    </row>
    <row r="1185" spans="1:10" x14ac:dyDescent="0.35">
      <c r="A1185" t="s">
        <v>5</v>
      </c>
      <c r="B1185" t="str">
        <f t="shared" si="25"/>
        <v>40251</v>
      </c>
      <c r="C1185" t="str">
        <f>"073"</f>
        <v>073</v>
      </c>
      <c r="D1185">
        <v>2009</v>
      </c>
      <c r="E1185" s="1">
        <v>9369200</v>
      </c>
      <c r="F1185" s="1">
        <v>4766400</v>
      </c>
      <c r="G1185" s="1" t="s">
        <v>11</v>
      </c>
      <c r="H1185" s="1" t="s">
        <v>38</v>
      </c>
      <c r="I1185" t="s">
        <v>13</v>
      </c>
      <c r="J1185" t="s">
        <v>13</v>
      </c>
    </row>
    <row r="1186" spans="1:10" x14ac:dyDescent="0.35">
      <c r="A1186" t="s">
        <v>5</v>
      </c>
      <c r="B1186" t="str">
        <f t="shared" si="25"/>
        <v>40251</v>
      </c>
      <c r="C1186" t="str">
        <f>"074"</f>
        <v>074</v>
      </c>
      <c r="D1186">
        <v>2009</v>
      </c>
      <c r="E1186" s="1">
        <v>63204700</v>
      </c>
      <c r="F1186" s="1">
        <v>-130000</v>
      </c>
      <c r="G1186" s="1" t="s">
        <v>48</v>
      </c>
      <c r="H1186" s="1" t="s">
        <v>38</v>
      </c>
      <c r="I1186" t="s">
        <v>13</v>
      </c>
      <c r="J1186" t="s">
        <v>13</v>
      </c>
    </row>
    <row r="1187" spans="1:10" x14ac:dyDescent="0.35">
      <c r="A1187" t="s">
        <v>5</v>
      </c>
      <c r="B1187" t="str">
        <f t="shared" si="25"/>
        <v>40251</v>
      </c>
      <c r="C1187" t="str">
        <f>"075"</f>
        <v>075</v>
      </c>
      <c r="D1187">
        <v>2009</v>
      </c>
      <c r="E1187" s="1">
        <v>155089600</v>
      </c>
      <c r="F1187" s="1">
        <v>128619100</v>
      </c>
      <c r="G1187" s="1" t="s">
        <v>11</v>
      </c>
      <c r="H1187" s="1" t="s">
        <v>38</v>
      </c>
      <c r="I1187" t="s">
        <v>13</v>
      </c>
      <c r="J1187" t="s">
        <v>13</v>
      </c>
    </row>
    <row r="1188" spans="1:10" x14ac:dyDescent="0.35">
      <c r="A1188" t="s">
        <v>5</v>
      </c>
      <c r="B1188" t="str">
        <f t="shared" si="25"/>
        <v>40251</v>
      </c>
      <c r="C1188" t="str">
        <f>"076"</f>
        <v>076</v>
      </c>
      <c r="D1188">
        <v>2010</v>
      </c>
      <c r="E1188" s="1">
        <v>23306200</v>
      </c>
      <c r="F1188" s="1">
        <v>7193200</v>
      </c>
      <c r="G1188" s="1" t="s">
        <v>11</v>
      </c>
      <c r="H1188" s="1" t="s">
        <v>38</v>
      </c>
      <c r="I1188" t="s">
        <v>13</v>
      </c>
      <c r="J1188" t="s">
        <v>13</v>
      </c>
    </row>
    <row r="1189" spans="1:10" x14ac:dyDescent="0.35">
      <c r="A1189" t="s">
        <v>5</v>
      </c>
      <c r="B1189" t="str">
        <f t="shared" si="25"/>
        <v>40251</v>
      </c>
      <c r="C1189" t="str">
        <f>"077"</f>
        <v>077</v>
      </c>
      <c r="D1189">
        <v>2012</v>
      </c>
      <c r="E1189" s="1">
        <v>9265200</v>
      </c>
      <c r="F1189" s="1">
        <v>5897100</v>
      </c>
      <c r="G1189" s="1" t="s">
        <v>11</v>
      </c>
      <c r="H1189" s="1" t="s">
        <v>38</v>
      </c>
      <c r="I1189" t="s">
        <v>13</v>
      </c>
      <c r="J1189" t="s">
        <v>13</v>
      </c>
    </row>
    <row r="1190" spans="1:10" x14ac:dyDescent="0.35">
      <c r="A1190" t="s">
        <v>5</v>
      </c>
      <c r="B1190" t="str">
        <f t="shared" si="25"/>
        <v>40251</v>
      </c>
      <c r="C1190" t="str">
        <f>"078"</f>
        <v>078</v>
      </c>
      <c r="D1190">
        <v>2013</v>
      </c>
      <c r="E1190" s="1">
        <v>334295100</v>
      </c>
      <c r="F1190" s="1">
        <v>284706600</v>
      </c>
      <c r="G1190" s="1" t="s">
        <v>11</v>
      </c>
      <c r="H1190" s="1" t="s">
        <v>38</v>
      </c>
      <c r="I1190" t="s">
        <v>13</v>
      </c>
      <c r="J1190" t="s">
        <v>13</v>
      </c>
    </row>
    <row r="1191" spans="1:10" x14ac:dyDescent="0.35">
      <c r="A1191" t="s">
        <v>5</v>
      </c>
      <c r="B1191" t="str">
        <f t="shared" si="25"/>
        <v>40251</v>
      </c>
      <c r="C1191" t="str">
        <f>"079"</f>
        <v>079</v>
      </c>
      <c r="D1191">
        <v>2013</v>
      </c>
      <c r="E1191" s="1">
        <v>70645500</v>
      </c>
      <c r="F1191" s="1">
        <v>56926800</v>
      </c>
      <c r="G1191" s="1" t="s">
        <v>11</v>
      </c>
      <c r="H1191" s="1" t="s">
        <v>38</v>
      </c>
      <c r="I1191" t="s">
        <v>13</v>
      </c>
      <c r="J1191" t="s">
        <v>13</v>
      </c>
    </row>
    <row r="1192" spans="1:10" x14ac:dyDescent="0.35">
      <c r="A1192" t="s">
        <v>5</v>
      </c>
      <c r="B1192" t="str">
        <f t="shared" ref="B1192:B1217" si="26">"40251"</f>
        <v>40251</v>
      </c>
      <c r="C1192" t="str">
        <f>"080"</f>
        <v>080</v>
      </c>
      <c r="D1192">
        <v>2014</v>
      </c>
      <c r="E1192" s="1">
        <v>14970300</v>
      </c>
      <c r="F1192" s="1">
        <v>11470000</v>
      </c>
      <c r="G1192" s="1" t="s">
        <v>11</v>
      </c>
      <c r="H1192" s="1" t="s">
        <v>38</v>
      </c>
      <c r="I1192" t="s">
        <v>13</v>
      </c>
      <c r="J1192" t="s">
        <v>13</v>
      </c>
    </row>
    <row r="1193" spans="1:10" x14ac:dyDescent="0.35">
      <c r="A1193" t="s">
        <v>5</v>
      </c>
      <c r="B1193" t="str">
        <f t="shared" si="26"/>
        <v>40251</v>
      </c>
      <c r="C1193" t="str">
        <f>"081"</f>
        <v>081</v>
      </c>
      <c r="D1193">
        <v>2015</v>
      </c>
      <c r="E1193" s="1">
        <v>22022200</v>
      </c>
      <c r="F1193" s="1">
        <v>19333000</v>
      </c>
      <c r="G1193" s="1" t="s">
        <v>11</v>
      </c>
      <c r="H1193" s="1" t="s">
        <v>38</v>
      </c>
      <c r="I1193" t="s">
        <v>13</v>
      </c>
      <c r="J1193" t="s">
        <v>13</v>
      </c>
    </row>
    <row r="1194" spans="1:10" x14ac:dyDescent="0.35">
      <c r="A1194" t="s">
        <v>5</v>
      </c>
      <c r="B1194" t="str">
        <f t="shared" si="26"/>
        <v>40251</v>
      </c>
      <c r="C1194" t="str">
        <f>"082"</f>
        <v>082</v>
      </c>
      <c r="D1194">
        <v>2015</v>
      </c>
      <c r="E1194" s="1">
        <v>99527200</v>
      </c>
      <c r="F1194" s="1">
        <v>94053100</v>
      </c>
      <c r="G1194" s="1" t="s">
        <v>11</v>
      </c>
      <c r="H1194" s="1" t="s">
        <v>38</v>
      </c>
      <c r="I1194" t="s">
        <v>13</v>
      </c>
      <c r="J1194" t="s">
        <v>13</v>
      </c>
    </row>
    <row r="1195" spans="1:10" x14ac:dyDescent="0.35">
      <c r="A1195" t="s">
        <v>5</v>
      </c>
      <c r="B1195" t="str">
        <f t="shared" si="26"/>
        <v>40251</v>
      </c>
      <c r="C1195" t="str">
        <f>"083"</f>
        <v>083</v>
      </c>
      <c r="D1195">
        <v>2015</v>
      </c>
      <c r="E1195" s="1">
        <v>74102400</v>
      </c>
      <c r="F1195" s="1">
        <v>68328200</v>
      </c>
      <c r="G1195" s="1" t="s">
        <v>11</v>
      </c>
      <c r="H1195" s="1" t="s">
        <v>38</v>
      </c>
      <c r="I1195" t="s">
        <v>13</v>
      </c>
      <c r="J1195" t="s">
        <v>13</v>
      </c>
    </row>
    <row r="1196" spans="1:10" x14ac:dyDescent="0.35">
      <c r="A1196" t="s">
        <v>5</v>
      </c>
      <c r="B1196" t="str">
        <f t="shared" si="26"/>
        <v>40251</v>
      </c>
      <c r="C1196" t="str">
        <f>"084"</f>
        <v>084</v>
      </c>
      <c r="D1196">
        <v>2015</v>
      </c>
      <c r="E1196" s="1">
        <v>141439300</v>
      </c>
      <c r="F1196" s="1">
        <v>81328200</v>
      </c>
      <c r="G1196" s="1" t="s">
        <v>11</v>
      </c>
      <c r="H1196" s="1" t="s">
        <v>38</v>
      </c>
      <c r="I1196" t="s">
        <v>13</v>
      </c>
      <c r="J1196" t="s">
        <v>13</v>
      </c>
    </row>
    <row r="1197" spans="1:10" x14ac:dyDescent="0.35">
      <c r="A1197" t="s">
        <v>5</v>
      </c>
      <c r="B1197" t="str">
        <f t="shared" si="26"/>
        <v>40251</v>
      </c>
      <c r="C1197" t="str">
        <f>"085"</f>
        <v>085</v>
      </c>
      <c r="D1197">
        <v>2015</v>
      </c>
      <c r="E1197" s="1">
        <v>53347400</v>
      </c>
      <c r="F1197" s="1">
        <v>21250800</v>
      </c>
      <c r="G1197" s="1" t="s">
        <v>11</v>
      </c>
      <c r="H1197" s="1" t="s">
        <v>38</v>
      </c>
      <c r="I1197" t="s">
        <v>13</v>
      </c>
      <c r="J1197" t="s">
        <v>13</v>
      </c>
    </row>
    <row r="1198" spans="1:10" x14ac:dyDescent="0.35">
      <c r="A1198" t="s">
        <v>5</v>
      </c>
      <c r="B1198" t="str">
        <f t="shared" si="26"/>
        <v>40251</v>
      </c>
      <c r="C1198" t="str">
        <f>"086"</f>
        <v>086</v>
      </c>
      <c r="D1198">
        <v>2016</v>
      </c>
      <c r="E1198" s="1">
        <v>4912600</v>
      </c>
      <c r="F1198" s="1">
        <v>1601300</v>
      </c>
      <c r="G1198" s="1" t="s">
        <v>11</v>
      </c>
      <c r="H1198" s="1" t="s">
        <v>38</v>
      </c>
      <c r="I1198" t="s">
        <v>13</v>
      </c>
      <c r="J1198" t="s">
        <v>13</v>
      </c>
    </row>
    <row r="1199" spans="1:10" x14ac:dyDescent="0.35">
      <c r="A1199" t="s">
        <v>5</v>
      </c>
      <c r="B1199" t="str">
        <f t="shared" si="26"/>
        <v>40251</v>
      </c>
      <c r="C1199" t="str">
        <f>"087"</f>
        <v>087</v>
      </c>
      <c r="D1199">
        <v>2016</v>
      </c>
      <c r="E1199" s="1">
        <v>3820700</v>
      </c>
      <c r="F1199" s="1">
        <v>3440100</v>
      </c>
      <c r="G1199" s="1" t="s">
        <v>11</v>
      </c>
      <c r="H1199" s="1" t="s">
        <v>38</v>
      </c>
      <c r="I1199" t="s">
        <v>13</v>
      </c>
      <c r="J1199" t="s">
        <v>13</v>
      </c>
    </row>
    <row r="1200" spans="1:10" x14ac:dyDescent="0.35">
      <c r="A1200" t="s">
        <v>5</v>
      </c>
      <c r="B1200" t="str">
        <f t="shared" si="26"/>
        <v>40251</v>
      </c>
      <c r="C1200" t="str">
        <f>"088"</f>
        <v>088</v>
      </c>
      <c r="D1200">
        <v>2016</v>
      </c>
      <c r="E1200" s="1">
        <v>4689400</v>
      </c>
      <c r="F1200" s="1">
        <v>481900</v>
      </c>
      <c r="G1200" s="1" t="s">
        <v>11</v>
      </c>
      <c r="H1200" s="1" t="s">
        <v>38</v>
      </c>
      <c r="I1200" t="s">
        <v>13</v>
      </c>
      <c r="J1200" t="s">
        <v>13</v>
      </c>
    </row>
    <row r="1201" spans="1:10" x14ac:dyDescent="0.35">
      <c r="A1201" t="s">
        <v>5</v>
      </c>
      <c r="B1201" t="str">
        <f t="shared" si="26"/>
        <v>40251</v>
      </c>
      <c r="C1201" t="str">
        <f>"089"</f>
        <v>089</v>
      </c>
      <c r="D1201">
        <v>2017</v>
      </c>
      <c r="E1201" s="1">
        <v>3215700</v>
      </c>
      <c r="F1201" s="1">
        <v>3215700</v>
      </c>
      <c r="G1201" s="1" t="s">
        <v>11</v>
      </c>
      <c r="H1201" s="1" t="s">
        <v>38</v>
      </c>
      <c r="I1201" t="s">
        <v>13</v>
      </c>
      <c r="J1201" t="s">
        <v>13</v>
      </c>
    </row>
    <row r="1202" spans="1:10" x14ac:dyDescent="0.35">
      <c r="A1202" t="s">
        <v>5</v>
      </c>
      <c r="B1202" t="str">
        <f t="shared" si="26"/>
        <v>40251</v>
      </c>
      <c r="C1202" t="str">
        <f>"090"</f>
        <v>090</v>
      </c>
      <c r="D1202">
        <v>2017</v>
      </c>
      <c r="E1202" s="1">
        <v>2400500</v>
      </c>
      <c r="F1202" s="1">
        <v>2123900</v>
      </c>
      <c r="G1202" s="1" t="s">
        <v>11</v>
      </c>
      <c r="H1202" s="1" t="s">
        <v>38</v>
      </c>
      <c r="I1202" t="s">
        <v>13</v>
      </c>
      <c r="J1202" t="s">
        <v>13</v>
      </c>
    </row>
    <row r="1203" spans="1:10" x14ac:dyDescent="0.35">
      <c r="A1203" t="s">
        <v>5</v>
      </c>
      <c r="B1203" t="str">
        <f t="shared" si="26"/>
        <v>40251</v>
      </c>
      <c r="C1203" t="str">
        <f>"091"</f>
        <v>091</v>
      </c>
      <c r="D1203">
        <v>2017</v>
      </c>
      <c r="E1203" s="1">
        <v>41617300</v>
      </c>
      <c r="F1203" s="1">
        <v>-21053100</v>
      </c>
      <c r="G1203" s="1" t="s">
        <v>48</v>
      </c>
      <c r="H1203" s="1" t="s">
        <v>38</v>
      </c>
      <c r="I1203" t="s">
        <v>13</v>
      </c>
      <c r="J1203" t="s">
        <v>13</v>
      </c>
    </row>
    <row r="1204" spans="1:10" x14ac:dyDescent="0.35">
      <c r="A1204" t="s">
        <v>5</v>
      </c>
      <c r="B1204" t="str">
        <f t="shared" si="26"/>
        <v>40251</v>
      </c>
      <c r="C1204" t="str">
        <f>"092"</f>
        <v>092</v>
      </c>
      <c r="D1204">
        <v>2017</v>
      </c>
      <c r="E1204" s="1">
        <v>4277700</v>
      </c>
      <c r="F1204" s="1">
        <v>3155700</v>
      </c>
      <c r="G1204" s="1" t="s">
        <v>11</v>
      </c>
      <c r="H1204" s="1" t="s">
        <v>38</v>
      </c>
      <c r="I1204" t="s">
        <v>13</v>
      </c>
      <c r="J1204" t="s">
        <v>13</v>
      </c>
    </row>
    <row r="1205" spans="1:10" x14ac:dyDescent="0.35">
      <c r="A1205" t="s">
        <v>5</v>
      </c>
      <c r="B1205" t="str">
        <f t="shared" si="26"/>
        <v>40251</v>
      </c>
      <c r="C1205" t="str">
        <f>"093"</f>
        <v>093</v>
      </c>
      <c r="D1205">
        <v>2018</v>
      </c>
      <c r="E1205" s="1">
        <v>2144700</v>
      </c>
      <c r="F1205" s="1">
        <v>1387800</v>
      </c>
      <c r="G1205" s="1" t="s">
        <v>11</v>
      </c>
      <c r="H1205" s="1" t="s">
        <v>38</v>
      </c>
      <c r="I1205" t="s">
        <v>13</v>
      </c>
      <c r="J1205" t="s">
        <v>13</v>
      </c>
    </row>
    <row r="1206" spans="1:10" x14ac:dyDescent="0.35">
      <c r="A1206" t="s">
        <v>5</v>
      </c>
      <c r="B1206" t="str">
        <f t="shared" si="26"/>
        <v>40251</v>
      </c>
      <c r="C1206" t="str">
        <f>"094"</f>
        <v>094</v>
      </c>
      <c r="D1206">
        <v>2019</v>
      </c>
      <c r="E1206" s="1">
        <v>18337700</v>
      </c>
      <c r="F1206" s="1">
        <v>12869300</v>
      </c>
      <c r="G1206" s="1" t="s">
        <v>11</v>
      </c>
      <c r="H1206" s="1" t="s">
        <v>38</v>
      </c>
      <c r="I1206" t="s">
        <v>13</v>
      </c>
      <c r="J1206" t="s">
        <v>13</v>
      </c>
    </row>
    <row r="1207" spans="1:10" x14ac:dyDescent="0.35">
      <c r="A1207" t="s">
        <v>5</v>
      </c>
      <c r="B1207" t="str">
        <f t="shared" si="26"/>
        <v>40251</v>
      </c>
      <c r="C1207" t="str">
        <f>"095"</f>
        <v>095</v>
      </c>
      <c r="D1207">
        <v>2019</v>
      </c>
      <c r="E1207" s="1">
        <v>1872000</v>
      </c>
      <c r="F1207" s="1">
        <v>1783400</v>
      </c>
      <c r="G1207" s="1" t="s">
        <v>11</v>
      </c>
      <c r="H1207" s="1" t="s">
        <v>38</v>
      </c>
      <c r="I1207" t="s">
        <v>13</v>
      </c>
      <c r="J1207" t="s">
        <v>13</v>
      </c>
    </row>
    <row r="1208" spans="1:10" x14ac:dyDescent="0.35">
      <c r="A1208" t="s">
        <v>5</v>
      </c>
      <c r="B1208" t="str">
        <f t="shared" si="26"/>
        <v>40251</v>
      </c>
      <c r="C1208" t="str">
        <f>"096"</f>
        <v>096</v>
      </c>
      <c r="D1208">
        <v>2019</v>
      </c>
      <c r="E1208" s="1">
        <v>20494800</v>
      </c>
      <c r="F1208" s="1">
        <v>16680200</v>
      </c>
      <c r="G1208" s="1" t="s">
        <v>11</v>
      </c>
      <c r="H1208" s="1" t="s">
        <v>38</v>
      </c>
      <c r="I1208" t="s">
        <v>13</v>
      </c>
      <c r="J1208" t="s">
        <v>13</v>
      </c>
    </row>
    <row r="1209" spans="1:10" x14ac:dyDescent="0.35">
      <c r="A1209" t="s">
        <v>5</v>
      </c>
      <c r="B1209" t="str">
        <f t="shared" si="26"/>
        <v>40251</v>
      </c>
      <c r="C1209" t="str">
        <f>"097"</f>
        <v>097</v>
      </c>
      <c r="D1209">
        <v>2019</v>
      </c>
      <c r="E1209" s="1">
        <v>65475400</v>
      </c>
      <c r="F1209" s="1">
        <v>27932700</v>
      </c>
      <c r="G1209" s="1" t="s">
        <v>11</v>
      </c>
      <c r="H1209" s="1" t="s">
        <v>38</v>
      </c>
      <c r="I1209" t="s">
        <v>13</v>
      </c>
      <c r="J1209" t="s">
        <v>13</v>
      </c>
    </row>
    <row r="1210" spans="1:10" x14ac:dyDescent="0.35">
      <c r="A1210" t="s">
        <v>5</v>
      </c>
      <c r="B1210" t="str">
        <f t="shared" si="26"/>
        <v>40251</v>
      </c>
      <c r="C1210" t="str">
        <f>"098"</f>
        <v>098</v>
      </c>
      <c r="D1210">
        <v>2019</v>
      </c>
      <c r="E1210" s="1">
        <v>1657900</v>
      </c>
      <c r="F1210" s="1">
        <v>174200</v>
      </c>
      <c r="G1210" s="1" t="s">
        <v>11</v>
      </c>
      <c r="H1210" s="1" t="s">
        <v>38</v>
      </c>
      <c r="I1210" t="s">
        <v>13</v>
      </c>
      <c r="J1210" t="s">
        <v>13</v>
      </c>
    </row>
    <row r="1211" spans="1:10" x14ac:dyDescent="0.35">
      <c r="A1211" t="s">
        <v>5</v>
      </c>
      <c r="B1211" t="str">
        <f t="shared" si="26"/>
        <v>40251</v>
      </c>
      <c r="C1211" t="str">
        <f>"099"</f>
        <v>099</v>
      </c>
      <c r="D1211">
        <v>2019</v>
      </c>
      <c r="E1211" s="1">
        <v>16107700</v>
      </c>
      <c r="F1211" s="1">
        <v>15714300</v>
      </c>
      <c r="G1211" s="1" t="s">
        <v>11</v>
      </c>
      <c r="H1211" s="1" t="s">
        <v>38</v>
      </c>
      <c r="I1211" t="s">
        <v>13</v>
      </c>
      <c r="J1211" t="s">
        <v>13</v>
      </c>
    </row>
    <row r="1212" spans="1:10" x14ac:dyDescent="0.35">
      <c r="A1212" t="s">
        <v>5</v>
      </c>
      <c r="B1212" t="str">
        <f t="shared" si="26"/>
        <v>40251</v>
      </c>
      <c r="C1212" t="str">
        <f>"100"</f>
        <v>100</v>
      </c>
      <c r="D1212">
        <v>2019</v>
      </c>
      <c r="E1212" s="1">
        <v>24570600</v>
      </c>
      <c r="F1212" s="1">
        <v>22502600</v>
      </c>
      <c r="G1212" s="1" t="s">
        <v>11</v>
      </c>
      <c r="H1212" s="1" t="s">
        <v>38</v>
      </c>
      <c r="I1212" t="s">
        <v>13</v>
      </c>
      <c r="J1212" t="s">
        <v>13</v>
      </c>
    </row>
    <row r="1213" spans="1:10" x14ac:dyDescent="0.35">
      <c r="A1213" t="s">
        <v>5</v>
      </c>
      <c r="B1213" t="str">
        <f t="shared" si="26"/>
        <v>40251</v>
      </c>
      <c r="C1213" t="str">
        <f>"102"</f>
        <v>102</v>
      </c>
      <c r="D1213">
        <v>2020</v>
      </c>
      <c r="E1213" s="1">
        <v>4181600</v>
      </c>
      <c r="F1213" s="1">
        <v>458200</v>
      </c>
      <c r="G1213" s="1" t="s">
        <v>11</v>
      </c>
      <c r="H1213" s="1" t="s">
        <v>38</v>
      </c>
      <c r="I1213" t="s">
        <v>13</v>
      </c>
      <c r="J1213" t="s">
        <v>13</v>
      </c>
    </row>
    <row r="1214" spans="1:10" x14ac:dyDescent="0.35">
      <c r="A1214" t="s">
        <v>5</v>
      </c>
      <c r="B1214" t="str">
        <f t="shared" si="26"/>
        <v>40251</v>
      </c>
      <c r="C1214" t="str">
        <f>"103"</f>
        <v>103</v>
      </c>
      <c r="D1214">
        <v>2020</v>
      </c>
      <c r="E1214" s="1">
        <v>0</v>
      </c>
      <c r="F1214" s="1">
        <v>0</v>
      </c>
      <c r="G1214" s="1" t="s">
        <v>11</v>
      </c>
      <c r="H1214" s="1" t="s">
        <v>38</v>
      </c>
      <c r="I1214" t="s">
        <v>13</v>
      </c>
      <c r="J1214" t="s">
        <v>13</v>
      </c>
    </row>
    <row r="1215" spans="1:10" x14ac:dyDescent="0.35">
      <c r="A1215" t="s">
        <v>5</v>
      </c>
      <c r="B1215" t="str">
        <f t="shared" si="26"/>
        <v>40251</v>
      </c>
      <c r="C1215" t="str">
        <f>"104"</f>
        <v>104</v>
      </c>
      <c r="D1215">
        <v>2020</v>
      </c>
      <c r="E1215" s="1">
        <v>234100</v>
      </c>
      <c r="F1215" s="1">
        <v>234100</v>
      </c>
      <c r="G1215" s="1" t="s">
        <v>11</v>
      </c>
      <c r="H1215" s="1" t="s">
        <v>38</v>
      </c>
      <c r="I1215" t="s">
        <v>13</v>
      </c>
      <c r="J1215" t="s">
        <v>13</v>
      </c>
    </row>
    <row r="1216" spans="1:10" x14ac:dyDescent="0.35">
      <c r="A1216" t="s">
        <v>5</v>
      </c>
      <c r="B1216" t="str">
        <f t="shared" si="26"/>
        <v>40251</v>
      </c>
      <c r="C1216" t="str">
        <f>"105"</f>
        <v>105</v>
      </c>
      <c r="D1216">
        <v>2020</v>
      </c>
      <c r="E1216" s="1">
        <v>1443800</v>
      </c>
      <c r="F1216" s="1">
        <v>157300</v>
      </c>
      <c r="G1216" s="1" t="s">
        <v>11</v>
      </c>
      <c r="H1216" s="1" t="s">
        <v>38</v>
      </c>
      <c r="I1216" t="s">
        <v>13</v>
      </c>
      <c r="J1216" t="s">
        <v>13</v>
      </c>
    </row>
    <row r="1217" spans="1:11" x14ac:dyDescent="0.35">
      <c r="A1217" t="s">
        <v>5</v>
      </c>
      <c r="B1217" t="str">
        <f t="shared" si="26"/>
        <v>40251</v>
      </c>
      <c r="C1217" t="str">
        <f>"106"</f>
        <v>106</v>
      </c>
      <c r="D1217">
        <v>2020</v>
      </c>
      <c r="E1217" s="1">
        <v>0</v>
      </c>
      <c r="F1217" s="1">
        <v>0</v>
      </c>
      <c r="G1217" s="1" t="s">
        <v>11</v>
      </c>
      <c r="H1217" s="1" t="s">
        <v>38</v>
      </c>
      <c r="I1217" t="s">
        <v>13</v>
      </c>
      <c r="J1217" t="s">
        <v>13</v>
      </c>
    </row>
    <row r="1218" spans="1:11" x14ac:dyDescent="0.35">
      <c r="A1218" t="s">
        <v>39</v>
      </c>
      <c r="B1218" t="s">
        <v>13</v>
      </c>
      <c r="C1218" t="s">
        <v>7</v>
      </c>
      <c r="D1218" t="s">
        <v>8</v>
      </c>
      <c r="E1218" s="1">
        <v>3063949000</v>
      </c>
      <c r="F1218" s="1">
        <v>2238132300</v>
      </c>
      <c r="G1218" s="1" t="s">
        <v>11</v>
      </c>
      <c r="H1218" s="1">
        <v>35338274000</v>
      </c>
      <c r="I1218" t="s">
        <v>13</v>
      </c>
      <c r="J1218" t="s">
        <v>13</v>
      </c>
      <c r="K1218">
        <v>6.33</v>
      </c>
    </row>
    <row r="1219" spans="1:11" x14ac:dyDescent="0.35">
      <c r="E1219" s="1"/>
      <c r="F1219" s="1"/>
      <c r="G1219" s="1"/>
      <c r="H1219" s="1"/>
    </row>
    <row r="1220" spans="1:11" x14ac:dyDescent="0.35">
      <c r="A1220" t="s">
        <v>269</v>
      </c>
      <c r="B1220" t="str">
        <f>"65151"</f>
        <v>65151</v>
      </c>
      <c r="C1220" t="str">
        <f>"003"</f>
        <v>003</v>
      </c>
      <c r="D1220">
        <v>2010</v>
      </c>
      <c r="E1220" s="1">
        <v>1129400</v>
      </c>
      <c r="F1220" s="1">
        <v>1044500</v>
      </c>
      <c r="G1220" s="1" t="s">
        <v>11</v>
      </c>
      <c r="H1220" s="1" t="s">
        <v>38</v>
      </c>
      <c r="I1220" t="s">
        <v>13</v>
      </c>
      <c r="J1220" t="s">
        <v>13</v>
      </c>
    </row>
    <row r="1221" spans="1:11" x14ac:dyDescent="0.35">
      <c r="A1221" t="s">
        <v>5</v>
      </c>
      <c r="B1221" t="str">
        <f>"65151"</f>
        <v>65151</v>
      </c>
      <c r="C1221" t="str">
        <f>"004"</f>
        <v>004</v>
      </c>
      <c r="D1221">
        <v>2019</v>
      </c>
      <c r="E1221" s="1">
        <v>333900</v>
      </c>
      <c r="F1221" s="1">
        <v>66500</v>
      </c>
      <c r="G1221" s="1" t="s">
        <v>11</v>
      </c>
      <c r="H1221" s="1" t="s">
        <v>38</v>
      </c>
      <c r="I1221" t="s">
        <v>13</v>
      </c>
      <c r="J1221" t="s">
        <v>13</v>
      </c>
    </row>
    <row r="1222" spans="1:11" x14ac:dyDescent="0.35">
      <c r="A1222" t="s">
        <v>39</v>
      </c>
      <c r="B1222" t="s">
        <v>13</v>
      </c>
      <c r="C1222" t="s">
        <v>7</v>
      </c>
      <c r="D1222" t="s">
        <v>8</v>
      </c>
      <c r="E1222" s="1">
        <v>1463300</v>
      </c>
      <c r="F1222" s="1">
        <v>1111000</v>
      </c>
      <c r="G1222" s="1" t="s">
        <v>11</v>
      </c>
      <c r="H1222" s="1">
        <v>45693400</v>
      </c>
      <c r="I1222" t="s">
        <v>13</v>
      </c>
      <c r="J1222" t="s">
        <v>13</v>
      </c>
      <c r="K1222">
        <v>2.4300000000000002</v>
      </c>
    </row>
    <row r="1223" spans="1:11" x14ac:dyDescent="0.35">
      <c r="E1223" s="1"/>
      <c r="F1223" s="1"/>
      <c r="G1223" s="1"/>
      <c r="H1223" s="1"/>
    </row>
    <row r="1224" spans="1:11" x14ac:dyDescent="0.35">
      <c r="A1224" t="s">
        <v>270</v>
      </c>
      <c r="B1224" t="str">
        <f>"06251"</f>
        <v>06251</v>
      </c>
      <c r="C1224" t="str">
        <f>"001"</f>
        <v>001</v>
      </c>
      <c r="D1224">
        <v>1989</v>
      </c>
      <c r="E1224" s="1">
        <v>14701200</v>
      </c>
      <c r="F1224" s="1">
        <v>14584900</v>
      </c>
      <c r="G1224" s="1" t="s">
        <v>11</v>
      </c>
      <c r="H1224" s="1" t="s">
        <v>38</v>
      </c>
      <c r="I1224" t="s">
        <v>13</v>
      </c>
      <c r="J1224" t="s">
        <v>13</v>
      </c>
    </row>
    <row r="1225" spans="1:11" x14ac:dyDescent="0.35">
      <c r="A1225" t="s">
        <v>5</v>
      </c>
      <c r="B1225" t="str">
        <f>"06251"</f>
        <v>06251</v>
      </c>
      <c r="C1225" t="str">
        <f>"002"</f>
        <v>002</v>
      </c>
      <c r="D1225">
        <v>2005</v>
      </c>
      <c r="E1225" s="1">
        <v>11834000</v>
      </c>
      <c r="F1225" s="1">
        <v>11814100</v>
      </c>
      <c r="G1225" s="1" t="s">
        <v>11</v>
      </c>
      <c r="H1225" s="1" t="s">
        <v>38</v>
      </c>
      <c r="I1225" t="s">
        <v>13</v>
      </c>
      <c r="J1225" t="s">
        <v>13</v>
      </c>
    </row>
    <row r="1226" spans="1:11" x14ac:dyDescent="0.35">
      <c r="A1226" t="s">
        <v>39</v>
      </c>
      <c r="B1226" t="s">
        <v>13</v>
      </c>
      <c r="C1226" t="s">
        <v>7</v>
      </c>
      <c r="D1226" t="s">
        <v>8</v>
      </c>
      <c r="E1226" s="1">
        <v>26535200</v>
      </c>
      <c r="F1226" s="1">
        <v>26399000</v>
      </c>
      <c r="G1226" s="1" t="s">
        <v>11</v>
      </c>
      <c r="H1226" s="1">
        <v>182328700</v>
      </c>
      <c r="I1226" t="s">
        <v>13</v>
      </c>
      <c r="J1226" t="s">
        <v>13</v>
      </c>
      <c r="K1226">
        <v>14.48</v>
      </c>
    </row>
    <row r="1227" spans="1:11" x14ac:dyDescent="0.35">
      <c r="E1227" s="1"/>
      <c r="F1227" s="1"/>
      <c r="G1227" s="1"/>
      <c r="H1227" s="1"/>
    </row>
    <row r="1228" spans="1:11" x14ac:dyDescent="0.35">
      <c r="A1228" t="s">
        <v>271</v>
      </c>
      <c r="B1228" t="str">
        <f t="shared" ref="B1228:B1233" si="27">"13258"</f>
        <v>13258</v>
      </c>
      <c r="C1228" t="str">
        <f>"004"</f>
        <v>004</v>
      </c>
      <c r="D1228">
        <v>2000</v>
      </c>
      <c r="E1228" s="1">
        <v>56025300</v>
      </c>
      <c r="F1228" s="1">
        <v>26082800</v>
      </c>
      <c r="G1228" s="1" t="s">
        <v>11</v>
      </c>
      <c r="H1228" s="1" t="s">
        <v>38</v>
      </c>
      <c r="I1228" t="s">
        <v>13</v>
      </c>
      <c r="J1228" t="s">
        <v>13</v>
      </c>
    </row>
    <row r="1229" spans="1:11" x14ac:dyDescent="0.35">
      <c r="A1229" t="s">
        <v>5</v>
      </c>
      <c r="B1229" t="str">
        <f t="shared" si="27"/>
        <v>13258</v>
      </c>
      <c r="C1229" t="str">
        <f>"005"</f>
        <v>005</v>
      </c>
      <c r="D1229">
        <v>2008</v>
      </c>
      <c r="E1229" s="1">
        <v>23929700</v>
      </c>
      <c r="F1229" s="1">
        <v>19529800</v>
      </c>
      <c r="G1229" s="1" t="s">
        <v>11</v>
      </c>
      <c r="H1229" s="1" t="s">
        <v>38</v>
      </c>
      <c r="I1229" t="s">
        <v>13</v>
      </c>
      <c r="J1229" t="s">
        <v>13</v>
      </c>
    </row>
    <row r="1230" spans="1:11" x14ac:dyDescent="0.35">
      <c r="A1230" t="s">
        <v>5</v>
      </c>
      <c r="B1230" t="str">
        <f t="shared" si="27"/>
        <v>13258</v>
      </c>
      <c r="C1230" t="str">
        <f>"006"</f>
        <v>006</v>
      </c>
      <c r="D1230">
        <v>2010</v>
      </c>
      <c r="E1230" s="1">
        <v>44136600</v>
      </c>
      <c r="F1230" s="1">
        <v>26443600</v>
      </c>
      <c r="G1230" s="1" t="s">
        <v>11</v>
      </c>
      <c r="H1230" s="1" t="s">
        <v>38</v>
      </c>
      <c r="I1230" t="s">
        <v>13</v>
      </c>
      <c r="J1230" t="s">
        <v>13</v>
      </c>
    </row>
    <row r="1231" spans="1:11" x14ac:dyDescent="0.35">
      <c r="A1231" t="s">
        <v>5</v>
      </c>
      <c r="B1231" t="str">
        <f t="shared" si="27"/>
        <v>13258</v>
      </c>
      <c r="C1231" t="str">
        <f>"007"</f>
        <v>007</v>
      </c>
      <c r="D1231">
        <v>2012</v>
      </c>
      <c r="E1231" s="1">
        <v>12862400</v>
      </c>
      <c r="F1231" s="1">
        <v>4614900</v>
      </c>
      <c r="G1231" s="1" t="s">
        <v>11</v>
      </c>
      <c r="H1231" s="1" t="s">
        <v>38</v>
      </c>
      <c r="I1231" t="s">
        <v>13</v>
      </c>
      <c r="J1231" t="s">
        <v>13</v>
      </c>
    </row>
    <row r="1232" spans="1:11" x14ac:dyDescent="0.35">
      <c r="A1232" t="s">
        <v>5</v>
      </c>
      <c r="B1232" t="str">
        <f t="shared" si="27"/>
        <v>13258</v>
      </c>
      <c r="C1232" t="str">
        <f>"008"</f>
        <v>008</v>
      </c>
      <c r="D1232">
        <v>2012</v>
      </c>
      <c r="E1232" s="1">
        <v>25866500</v>
      </c>
      <c r="F1232" s="1">
        <v>25450500</v>
      </c>
      <c r="G1232" s="1" t="s">
        <v>11</v>
      </c>
      <c r="H1232" s="1" t="s">
        <v>38</v>
      </c>
      <c r="I1232" t="s">
        <v>13</v>
      </c>
      <c r="J1232" t="s">
        <v>13</v>
      </c>
    </row>
    <row r="1233" spans="1:11" x14ac:dyDescent="0.35">
      <c r="A1233" t="s">
        <v>5</v>
      </c>
      <c r="B1233" t="str">
        <f t="shared" si="27"/>
        <v>13258</v>
      </c>
      <c r="C1233" t="str">
        <f>"009"</f>
        <v>009</v>
      </c>
      <c r="D1233">
        <v>2015</v>
      </c>
      <c r="E1233" s="1">
        <v>36842500</v>
      </c>
      <c r="F1233" s="1">
        <v>29596400</v>
      </c>
      <c r="G1233" s="1" t="s">
        <v>11</v>
      </c>
      <c r="H1233" s="1" t="s">
        <v>38</v>
      </c>
      <c r="I1233" t="s">
        <v>13</v>
      </c>
      <c r="J1233" t="s">
        <v>13</v>
      </c>
    </row>
    <row r="1234" spans="1:11" x14ac:dyDescent="0.35">
      <c r="A1234" t="s">
        <v>39</v>
      </c>
      <c r="B1234" t="s">
        <v>13</v>
      </c>
      <c r="C1234" t="s">
        <v>7</v>
      </c>
      <c r="D1234" t="s">
        <v>8</v>
      </c>
      <c r="E1234" s="1">
        <v>199663000</v>
      </c>
      <c r="F1234" s="1">
        <v>131718000</v>
      </c>
      <c r="G1234" s="1" t="s">
        <v>11</v>
      </c>
      <c r="H1234" s="1">
        <v>1538704800</v>
      </c>
      <c r="I1234" t="s">
        <v>13</v>
      </c>
      <c r="J1234" t="s">
        <v>13</v>
      </c>
      <c r="K1234">
        <v>8.56</v>
      </c>
    </row>
    <row r="1235" spans="1:11" x14ac:dyDescent="0.35">
      <c r="E1235" s="1"/>
      <c r="F1235" s="1"/>
      <c r="G1235" s="1"/>
      <c r="H1235" s="1"/>
    </row>
    <row r="1236" spans="1:11" x14ac:dyDescent="0.35">
      <c r="A1236" t="s">
        <v>272</v>
      </c>
      <c r="B1236" t="str">
        <f>"23251"</f>
        <v>23251</v>
      </c>
      <c r="C1236" t="str">
        <f>"006"</f>
        <v>006</v>
      </c>
      <c r="D1236">
        <v>2003</v>
      </c>
      <c r="E1236" s="1">
        <v>26523400</v>
      </c>
      <c r="F1236" s="1">
        <v>16380200</v>
      </c>
      <c r="G1236" s="1" t="s">
        <v>11</v>
      </c>
      <c r="H1236" s="1" t="s">
        <v>38</v>
      </c>
      <c r="I1236" t="s">
        <v>13</v>
      </c>
      <c r="J1236" t="s">
        <v>13</v>
      </c>
    </row>
    <row r="1237" spans="1:11" x14ac:dyDescent="0.35">
      <c r="A1237" t="s">
        <v>5</v>
      </c>
      <c r="B1237" t="str">
        <f>"23251"</f>
        <v>23251</v>
      </c>
      <c r="C1237" t="str">
        <f>"007"</f>
        <v>007</v>
      </c>
      <c r="D1237">
        <v>2005</v>
      </c>
      <c r="E1237" s="1">
        <v>46235000</v>
      </c>
      <c r="F1237" s="1">
        <v>13885200</v>
      </c>
      <c r="G1237" s="1" t="s">
        <v>11</v>
      </c>
      <c r="H1237" s="1" t="s">
        <v>38</v>
      </c>
      <c r="I1237" t="s">
        <v>13</v>
      </c>
      <c r="J1237" t="s">
        <v>13</v>
      </c>
    </row>
    <row r="1238" spans="1:11" x14ac:dyDescent="0.35">
      <c r="A1238" t="s">
        <v>5</v>
      </c>
      <c r="B1238" t="str">
        <f>"23251"</f>
        <v>23251</v>
      </c>
      <c r="C1238" t="str">
        <f>"008"</f>
        <v>008</v>
      </c>
      <c r="D1238">
        <v>2007</v>
      </c>
      <c r="E1238" s="1">
        <v>4775200</v>
      </c>
      <c r="F1238" s="1">
        <v>2442500</v>
      </c>
      <c r="G1238" s="1" t="s">
        <v>11</v>
      </c>
      <c r="H1238" s="1" t="s">
        <v>38</v>
      </c>
      <c r="I1238" t="s">
        <v>13</v>
      </c>
      <c r="J1238" t="s">
        <v>13</v>
      </c>
    </row>
    <row r="1239" spans="1:11" x14ac:dyDescent="0.35">
      <c r="A1239" t="s">
        <v>5</v>
      </c>
      <c r="B1239" t="str">
        <f>"23251"</f>
        <v>23251</v>
      </c>
      <c r="C1239" t="str">
        <f>"009"</f>
        <v>009</v>
      </c>
      <c r="D1239">
        <v>2018</v>
      </c>
      <c r="E1239" s="1">
        <v>21498200</v>
      </c>
      <c r="F1239" s="1">
        <v>483700</v>
      </c>
      <c r="G1239" s="1" t="s">
        <v>11</v>
      </c>
      <c r="H1239" s="1" t="s">
        <v>38</v>
      </c>
      <c r="I1239" t="s">
        <v>13</v>
      </c>
      <c r="J1239" t="s">
        <v>13</v>
      </c>
    </row>
    <row r="1240" spans="1:11" x14ac:dyDescent="0.35">
      <c r="A1240" t="s">
        <v>5</v>
      </c>
      <c r="B1240" t="str">
        <f>"23251"</f>
        <v>23251</v>
      </c>
      <c r="C1240" t="str">
        <f>"010"</f>
        <v>010</v>
      </c>
      <c r="D1240">
        <v>2017</v>
      </c>
      <c r="E1240" s="1">
        <v>17875700</v>
      </c>
      <c r="F1240" s="1">
        <v>426500</v>
      </c>
      <c r="G1240" s="1" t="s">
        <v>11</v>
      </c>
      <c r="H1240" s="1" t="s">
        <v>38</v>
      </c>
      <c r="I1240" t="s">
        <v>13</v>
      </c>
      <c r="J1240" t="s">
        <v>13</v>
      </c>
    </row>
    <row r="1241" spans="1:11" x14ac:dyDescent="0.35">
      <c r="A1241" t="s">
        <v>39</v>
      </c>
      <c r="B1241" t="s">
        <v>13</v>
      </c>
      <c r="C1241" t="s">
        <v>7</v>
      </c>
      <c r="D1241" t="s">
        <v>8</v>
      </c>
      <c r="E1241" s="1">
        <v>116907500</v>
      </c>
      <c r="F1241" s="1">
        <v>33618100</v>
      </c>
      <c r="G1241" s="1" t="s">
        <v>11</v>
      </c>
      <c r="H1241" s="1">
        <v>861079500</v>
      </c>
      <c r="I1241" t="s">
        <v>13</v>
      </c>
      <c r="J1241" t="s">
        <v>13</v>
      </c>
      <c r="K1241">
        <v>3.9</v>
      </c>
    </row>
    <row r="1242" spans="1:11" x14ac:dyDescent="0.35">
      <c r="E1242" s="1"/>
      <c r="F1242" s="1"/>
      <c r="G1242" s="1"/>
      <c r="H1242" s="1"/>
    </row>
    <row r="1243" spans="1:11" x14ac:dyDescent="0.35">
      <c r="A1243" t="s">
        <v>273</v>
      </c>
      <c r="B1243" t="str">
        <f>"22151"</f>
        <v>22151</v>
      </c>
      <c r="C1243" t="str">
        <f>"001"</f>
        <v>001</v>
      </c>
      <c r="D1243">
        <v>2014</v>
      </c>
      <c r="E1243" s="1">
        <v>2899800</v>
      </c>
      <c r="F1243" s="1">
        <v>931100</v>
      </c>
      <c r="G1243" s="1" t="s">
        <v>11</v>
      </c>
      <c r="H1243" s="1" t="s">
        <v>38</v>
      </c>
      <c r="I1243" t="s">
        <v>13</v>
      </c>
      <c r="J1243" t="s">
        <v>13</v>
      </c>
    </row>
    <row r="1244" spans="1:11" x14ac:dyDescent="0.35">
      <c r="A1244" t="s">
        <v>39</v>
      </c>
      <c r="B1244" t="s">
        <v>13</v>
      </c>
      <c r="C1244" t="s">
        <v>7</v>
      </c>
      <c r="D1244" t="s">
        <v>8</v>
      </c>
      <c r="E1244" s="1">
        <v>2899800</v>
      </c>
      <c r="F1244" s="1">
        <v>931100</v>
      </c>
      <c r="G1244" s="1" t="s">
        <v>11</v>
      </c>
      <c r="H1244" s="1">
        <v>42023200</v>
      </c>
      <c r="I1244" t="s">
        <v>13</v>
      </c>
      <c r="J1244" t="s">
        <v>13</v>
      </c>
      <c r="K1244">
        <v>2.2200000000000002</v>
      </c>
    </row>
    <row r="1245" spans="1:11" x14ac:dyDescent="0.35">
      <c r="E1245" s="1"/>
      <c r="F1245" s="1"/>
      <c r="G1245" s="1"/>
      <c r="H1245" s="1"/>
    </row>
    <row r="1246" spans="1:11" x14ac:dyDescent="0.35">
      <c r="A1246" t="s">
        <v>274</v>
      </c>
      <c r="B1246" t="str">
        <f>"37251"</f>
        <v>37251</v>
      </c>
      <c r="C1246" t="str">
        <f>"002"</f>
        <v>002</v>
      </c>
      <c r="D1246">
        <v>2006</v>
      </c>
      <c r="E1246" s="1">
        <v>33511800</v>
      </c>
      <c r="F1246" s="1">
        <v>20581100</v>
      </c>
      <c r="G1246" s="1" t="s">
        <v>11</v>
      </c>
      <c r="H1246" s="1" t="s">
        <v>38</v>
      </c>
      <c r="I1246" t="s">
        <v>13</v>
      </c>
      <c r="J1246" t="s">
        <v>13</v>
      </c>
    </row>
    <row r="1247" spans="1:11" x14ac:dyDescent="0.35">
      <c r="A1247" t="s">
        <v>5</v>
      </c>
      <c r="B1247" t="str">
        <f>"37251"</f>
        <v>37251</v>
      </c>
      <c r="C1247" t="str">
        <f>"003"</f>
        <v>003</v>
      </c>
      <c r="D1247">
        <v>2013</v>
      </c>
      <c r="E1247" s="1">
        <v>13157400</v>
      </c>
      <c r="F1247" s="1">
        <v>5626300</v>
      </c>
      <c r="G1247" s="1" t="s">
        <v>11</v>
      </c>
      <c r="H1247" s="1" t="s">
        <v>38</v>
      </c>
      <c r="I1247" t="s">
        <v>13</v>
      </c>
      <c r="J1247" t="s">
        <v>13</v>
      </c>
    </row>
    <row r="1248" spans="1:11" x14ac:dyDescent="0.35">
      <c r="A1248" t="s">
        <v>39</v>
      </c>
      <c r="B1248" t="s">
        <v>13</v>
      </c>
      <c r="C1248" t="s">
        <v>7</v>
      </c>
      <c r="D1248" t="s">
        <v>8</v>
      </c>
      <c r="E1248" s="1">
        <v>46669200</v>
      </c>
      <c r="F1248" s="1">
        <v>26207400</v>
      </c>
      <c r="G1248" s="1" t="s">
        <v>11</v>
      </c>
      <c r="H1248" s="1">
        <v>359780200</v>
      </c>
      <c r="I1248" t="s">
        <v>13</v>
      </c>
      <c r="J1248" t="s">
        <v>13</v>
      </c>
      <c r="K1248">
        <v>7.28</v>
      </c>
    </row>
    <row r="1249" spans="1:11" x14ac:dyDescent="0.35">
      <c r="E1249" s="1"/>
      <c r="F1249" s="1"/>
      <c r="G1249" s="1"/>
      <c r="H1249" s="1"/>
    </row>
    <row r="1250" spans="1:11" x14ac:dyDescent="0.35">
      <c r="A1250" t="s">
        <v>275</v>
      </c>
      <c r="B1250" t="str">
        <f>"13157"</f>
        <v>13157</v>
      </c>
      <c r="C1250" t="str">
        <f>"003"</f>
        <v>003</v>
      </c>
      <c r="D1250">
        <v>2004</v>
      </c>
      <c r="E1250" s="1">
        <v>44792300</v>
      </c>
      <c r="F1250" s="1">
        <v>42204000</v>
      </c>
      <c r="G1250" s="1" t="s">
        <v>11</v>
      </c>
      <c r="H1250" s="1" t="s">
        <v>38</v>
      </c>
      <c r="I1250" t="s">
        <v>13</v>
      </c>
      <c r="J1250" t="s">
        <v>13</v>
      </c>
    </row>
    <row r="1251" spans="1:11" x14ac:dyDescent="0.35">
      <c r="A1251" t="s">
        <v>5</v>
      </c>
      <c r="B1251" t="str">
        <f>"13157"</f>
        <v>13157</v>
      </c>
      <c r="C1251" t="str">
        <f>"004"</f>
        <v>004</v>
      </c>
      <c r="D1251">
        <v>2007</v>
      </c>
      <c r="E1251" s="1">
        <v>8658800</v>
      </c>
      <c r="F1251" s="1">
        <v>4710700</v>
      </c>
      <c r="G1251" s="1" t="s">
        <v>11</v>
      </c>
      <c r="H1251" s="1" t="s">
        <v>38</v>
      </c>
      <c r="I1251" t="s">
        <v>13</v>
      </c>
      <c r="J1251" t="s">
        <v>13</v>
      </c>
    </row>
    <row r="1252" spans="1:11" x14ac:dyDescent="0.35">
      <c r="A1252" t="s">
        <v>5</v>
      </c>
      <c r="B1252" t="str">
        <f>"13157"</f>
        <v>13157</v>
      </c>
      <c r="C1252" t="str">
        <f>"005"</f>
        <v>005</v>
      </c>
      <c r="D1252">
        <v>2016</v>
      </c>
      <c r="E1252" s="1">
        <v>62373800</v>
      </c>
      <c r="F1252" s="1">
        <v>37023800</v>
      </c>
      <c r="G1252" s="1" t="s">
        <v>11</v>
      </c>
      <c r="H1252" s="1" t="s">
        <v>38</v>
      </c>
      <c r="I1252" t="s">
        <v>13</v>
      </c>
      <c r="J1252" t="s">
        <v>13</v>
      </c>
    </row>
    <row r="1253" spans="1:11" x14ac:dyDescent="0.35">
      <c r="A1253" t="s">
        <v>39</v>
      </c>
      <c r="B1253" t="s">
        <v>13</v>
      </c>
      <c r="C1253" t="s">
        <v>7</v>
      </c>
      <c r="D1253" t="s">
        <v>8</v>
      </c>
      <c r="E1253" s="1">
        <v>115824900</v>
      </c>
      <c r="F1253" s="1">
        <v>83938500</v>
      </c>
      <c r="G1253" s="1" t="s">
        <v>11</v>
      </c>
      <c r="H1253" s="1">
        <v>912391800</v>
      </c>
      <c r="I1253" t="s">
        <v>13</v>
      </c>
      <c r="J1253" t="s">
        <v>13</v>
      </c>
      <c r="K1253">
        <v>9.1999999999999993</v>
      </c>
    </row>
    <row r="1254" spans="1:11" x14ac:dyDescent="0.35">
      <c r="E1254" s="1"/>
      <c r="F1254" s="1"/>
      <c r="G1254" s="1"/>
      <c r="H1254" s="1"/>
    </row>
    <row r="1255" spans="1:11" x14ac:dyDescent="0.35">
      <c r="A1255" t="s">
        <v>276</v>
      </c>
      <c r="B1255" t="str">
        <f>"51151"</f>
        <v>51151</v>
      </c>
      <c r="C1255" t="str">
        <f>"001"</f>
        <v>001</v>
      </c>
      <c r="D1255">
        <v>2006</v>
      </c>
      <c r="E1255" s="1">
        <v>185925300</v>
      </c>
      <c r="F1255" s="1">
        <v>181623400</v>
      </c>
      <c r="G1255" s="1" t="s">
        <v>11</v>
      </c>
      <c r="H1255" s="1" t="s">
        <v>38</v>
      </c>
      <c r="I1255" t="s">
        <v>13</v>
      </c>
      <c r="J1255" t="s">
        <v>13</v>
      </c>
    </row>
    <row r="1256" spans="1:11" x14ac:dyDescent="0.35">
      <c r="A1256" t="s">
        <v>5</v>
      </c>
      <c r="B1256" t="str">
        <f>"51151"</f>
        <v>51151</v>
      </c>
      <c r="C1256" t="str">
        <f>"002"</f>
        <v>002</v>
      </c>
      <c r="D1256">
        <v>2007</v>
      </c>
      <c r="E1256" s="1">
        <v>164159400</v>
      </c>
      <c r="F1256" s="1">
        <v>60756700</v>
      </c>
      <c r="G1256" s="1" t="s">
        <v>11</v>
      </c>
      <c r="H1256" s="1" t="s">
        <v>38</v>
      </c>
      <c r="I1256" t="s">
        <v>13</v>
      </c>
      <c r="J1256" t="s">
        <v>13</v>
      </c>
    </row>
    <row r="1257" spans="1:11" x14ac:dyDescent="0.35">
      <c r="A1257" t="s">
        <v>5</v>
      </c>
      <c r="B1257" t="str">
        <f>"51151"</f>
        <v>51151</v>
      </c>
      <c r="C1257" t="str">
        <f>"003"</f>
        <v>003</v>
      </c>
      <c r="D1257">
        <v>2014</v>
      </c>
      <c r="E1257" s="1">
        <v>32623500</v>
      </c>
      <c r="F1257" s="1">
        <v>28487300</v>
      </c>
      <c r="G1257" s="1" t="s">
        <v>11</v>
      </c>
      <c r="H1257" s="1" t="s">
        <v>38</v>
      </c>
      <c r="I1257" t="s">
        <v>13</v>
      </c>
      <c r="J1257" t="s">
        <v>13</v>
      </c>
    </row>
    <row r="1258" spans="1:11" x14ac:dyDescent="0.35">
      <c r="A1258" t="s">
        <v>5</v>
      </c>
      <c r="B1258" t="str">
        <f>"51151"</f>
        <v>51151</v>
      </c>
      <c r="C1258" t="str">
        <f>"004"</f>
        <v>004</v>
      </c>
      <c r="D1258">
        <v>2015</v>
      </c>
      <c r="E1258" s="1">
        <v>57691000</v>
      </c>
      <c r="F1258" s="1">
        <v>54103300</v>
      </c>
      <c r="G1258" s="1" t="s">
        <v>11</v>
      </c>
      <c r="H1258" s="1" t="s">
        <v>38</v>
      </c>
      <c r="I1258" t="s">
        <v>13</v>
      </c>
      <c r="J1258" t="s">
        <v>13</v>
      </c>
    </row>
    <row r="1259" spans="1:11" x14ac:dyDescent="0.35">
      <c r="A1259" t="s">
        <v>5</v>
      </c>
      <c r="B1259" t="str">
        <f>"51151"</f>
        <v>51151</v>
      </c>
      <c r="C1259" t="str">
        <f>"005"</f>
        <v>005</v>
      </c>
      <c r="D1259">
        <v>2018</v>
      </c>
      <c r="E1259" s="1">
        <v>520232800</v>
      </c>
      <c r="F1259" s="1">
        <v>490001300</v>
      </c>
      <c r="G1259" s="1" t="s">
        <v>11</v>
      </c>
      <c r="H1259" s="1" t="s">
        <v>38</v>
      </c>
      <c r="I1259" t="s">
        <v>13</v>
      </c>
      <c r="J1259" t="s">
        <v>13</v>
      </c>
    </row>
    <row r="1260" spans="1:11" x14ac:dyDescent="0.35">
      <c r="A1260" t="s">
        <v>39</v>
      </c>
      <c r="B1260" t="s">
        <v>13</v>
      </c>
      <c r="C1260" t="s">
        <v>7</v>
      </c>
      <c r="D1260" t="s">
        <v>8</v>
      </c>
      <c r="E1260" s="1">
        <v>960632000</v>
      </c>
      <c r="F1260" s="1">
        <v>814972000</v>
      </c>
      <c r="G1260" s="1" t="s">
        <v>11</v>
      </c>
      <c r="H1260" s="1">
        <v>4328119900</v>
      </c>
      <c r="I1260" t="s">
        <v>13</v>
      </c>
      <c r="J1260" t="s">
        <v>13</v>
      </c>
      <c r="K1260">
        <v>18.829999999999998</v>
      </c>
    </row>
    <row r="1261" spans="1:11" x14ac:dyDescent="0.35">
      <c r="E1261" s="1"/>
      <c r="F1261" s="1"/>
      <c r="G1261" s="1"/>
      <c r="H1261" s="1"/>
    </row>
    <row r="1262" spans="1:11" x14ac:dyDescent="0.35">
      <c r="A1262" t="s">
        <v>277</v>
      </c>
      <c r="B1262" t="str">
        <f>"67153"</f>
        <v>67153</v>
      </c>
      <c r="C1262" t="str">
        <f>"003"</f>
        <v>003</v>
      </c>
      <c r="D1262">
        <v>2003</v>
      </c>
      <c r="E1262" s="1">
        <v>54210800</v>
      </c>
      <c r="F1262" s="1">
        <v>51821300</v>
      </c>
      <c r="G1262" s="1" t="s">
        <v>11</v>
      </c>
      <c r="H1262" s="1" t="s">
        <v>38</v>
      </c>
      <c r="I1262" t="s">
        <v>13</v>
      </c>
      <c r="J1262" t="s">
        <v>13</v>
      </c>
    </row>
    <row r="1263" spans="1:11" x14ac:dyDescent="0.35">
      <c r="A1263" t="s">
        <v>5</v>
      </c>
      <c r="B1263" t="str">
        <f>"67153"</f>
        <v>67153</v>
      </c>
      <c r="C1263" t="str">
        <f>"004"</f>
        <v>004</v>
      </c>
      <c r="D1263">
        <v>2017</v>
      </c>
      <c r="E1263" s="1">
        <v>22980200</v>
      </c>
      <c r="F1263" s="1">
        <v>16612200</v>
      </c>
      <c r="G1263" s="1" t="s">
        <v>11</v>
      </c>
      <c r="H1263" s="1" t="s">
        <v>38</v>
      </c>
      <c r="I1263" t="s">
        <v>13</v>
      </c>
      <c r="J1263" t="s">
        <v>13</v>
      </c>
    </row>
    <row r="1264" spans="1:11" x14ac:dyDescent="0.35">
      <c r="A1264" t="s">
        <v>5</v>
      </c>
      <c r="B1264" t="str">
        <f>"64153"</f>
        <v>64153</v>
      </c>
      <c r="C1264" t="str">
        <f>"005"</f>
        <v>005</v>
      </c>
      <c r="D1264">
        <v>2018</v>
      </c>
      <c r="E1264" s="1">
        <v>38358800</v>
      </c>
      <c r="F1264" s="1">
        <v>38043600</v>
      </c>
      <c r="G1264" s="1" t="s">
        <v>11</v>
      </c>
      <c r="H1264" s="1" t="s">
        <v>38</v>
      </c>
      <c r="I1264" t="s">
        <v>13</v>
      </c>
      <c r="J1264" t="s">
        <v>13</v>
      </c>
    </row>
    <row r="1265" spans="1:11" x14ac:dyDescent="0.35">
      <c r="A1265" t="s">
        <v>39</v>
      </c>
      <c r="B1265" t="s">
        <v>13</v>
      </c>
      <c r="C1265" t="s">
        <v>7</v>
      </c>
      <c r="D1265" t="s">
        <v>8</v>
      </c>
      <c r="E1265" s="1">
        <v>115549800</v>
      </c>
      <c r="F1265" s="1">
        <v>106477100</v>
      </c>
      <c r="G1265" s="1" t="s">
        <v>11</v>
      </c>
      <c r="H1265" s="1">
        <v>1037875100</v>
      </c>
      <c r="I1265" t="s">
        <v>13</v>
      </c>
      <c r="J1265" t="s">
        <v>13</v>
      </c>
      <c r="K1265">
        <v>10.26</v>
      </c>
    </row>
    <row r="1266" spans="1:11" x14ac:dyDescent="0.35">
      <c r="E1266" s="1"/>
      <c r="F1266" s="1"/>
      <c r="G1266" s="1"/>
      <c r="H1266" s="1"/>
    </row>
    <row r="1267" spans="1:11" x14ac:dyDescent="0.35">
      <c r="A1267" t="s">
        <v>278</v>
      </c>
      <c r="B1267" t="str">
        <f>"22153"</f>
        <v>22153</v>
      </c>
      <c r="C1267" t="str">
        <f>"003"</f>
        <v>003</v>
      </c>
      <c r="D1267">
        <v>1997</v>
      </c>
      <c r="E1267" s="1">
        <v>4031000</v>
      </c>
      <c r="F1267" s="1">
        <v>1991600</v>
      </c>
      <c r="G1267" s="1" t="s">
        <v>11</v>
      </c>
      <c r="H1267" s="1" t="s">
        <v>38</v>
      </c>
      <c r="I1267" t="s">
        <v>13</v>
      </c>
      <c r="J1267" t="s">
        <v>13</v>
      </c>
    </row>
    <row r="1268" spans="1:11" x14ac:dyDescent="0.35">
      <c r="A1268" t="s">
        <v>39</v>
      </c>
      <c r="B1268" t="s">
        <v>13</v>
      </c>
      <c r="C1268" t="s">
        <v>7</v>
      </c>
      <c r="D1268" t="s">
        <v>8</v>
      </c>
      <c r="E1268" s="1">
        <v>4031000</v>
      </c>
      <c r="F1268" s="1">
        <v>1991600</v>
      </c>
      <c r="G1268" s="1" t="s">
        <v>11</v>
      </c>
      <c r="H1268" s="1">
        <v>96804800</v>
      </c>
      <c r="I1268" t="s">
        <v>13</v>
      </c>
      <c r="J1268" t="s">
        <v>13</v>
      </c>
      <c r="K1268">
        <v>2.06</v>
      </c>
    </row>
    <row r="1269" spans="1:11" x14ac:dyDescent="0.35">
      <c r="E1269" s="1"/>
      <c r="F1269" s="1"/>
      <c r="G1269" s="1"/>
      <c r="H1269" s="1"/>
    </row>
    <row r="1270" spans="1:11" x14ac:dyDescent="0.35">
      <c r="A1270" t="s">
        <v>279</v>
      </c>
      <c r="B1270" t="str">
        <f>"67251"</f>
        <v>67251</v>
      </c>
      <c r="C1270" t="str">
        <f>"010"</f>
        <v>010</v>
      </c>
      <c r="D1270">
        <v>2008</v>
      </c>
      <c r="E1270" s="1">
        <v>75502100</v>
      </c>
      <c r="F1270" s="1">
        <v>74351500</v>
      </c>
      <c r="G1270" s="1" t="s">
        <v>11</v>
      </c>
      <c r="H1270" s="1" t="s">
        <v>38</v>
      </c>
      <c r="I1270" t="s">
        <v>13</v>
      </c>
      <c r="J1270" t="s">
        <v>13</v>
      </c>
    </row>
    <row r="1271" spans="1:11" x14ac:dyDescent="0.35">
      <c r="A1271" t="s">
        <v>5</v>
      </c>
      <c r="B1271" t="str">
        <f>"67251"</f>
        <v>67251</v>
      </c>
      <c r="C1271" t="str">
        <f>"011"</f>
        <v>011</v>
      </c>
      <c r="D1271">
        <v>2016</v>
      </c>
      <c r="E1271" s="1">
        <v>33330100</v>
      </c>
      <c r="F1271" s="1">
        <v>33327700</v>
      </c>
      <c r="G1271" s="1" t="s">
        <v>11</v>
      </c>
      <c r="H1271" s="1" t="s">
        <v>38</v>
      </c>
      <c r="I1271" t="s">
        <v>13</v>
      </c>
      <c r="J1271" t="s">
        <v>13</v>
      </c>
    </row>
    <row r="1272" spans="1:11" x14ac:dyDescent="0.35">
      <c r="A1272" t="s">
        <v>39</v>
      </c>
      <c r="B1272" t="s">
        <v>13</v>
      </c>
      <c r="C1272" t="s">
        <v>7</v>
      </c>
      <c r="D1272" t="s">
        <v>8</v>
      </c>
      <c r="E1272" s="1">
        <v>108832200</v>
      </c>
      <c r="F1272" s="1">
        <v>107679200</v>
      </c>
      <c r="G1272" s="1" t="s">
        <v>11</v>
      </c>
      <c r="H1272" s="1">
        <v>3695735500</v>
      </c>
      <c r="I1272" t="s">
        <v>13</v>
      </c>
      <c r="J1272" t="s">
        <v>13</v>
      </c>
      <c r="K1272">
        <v>2.91</v>
      </c>
    </row>
    <row r="1273" spans="1:11" x14ac:dyDescent="0.35">
      <c r="E1273" s="1"/>
      <c r="F1273" s="1"/>
      <c r="G1273" s="1"/>
      <c r="H1273" s="1"/>
    </row>
    <row r="1274" spans="1:11" x14ac:dyDescent="0.35">
      <c r="A1274" t="s">
        <v>280</v>
      </c>
      <c r="B1274" t="str">
        <f>"29161"</f>
        <v>29161</v>
      </c>
      <c r="C1274" t="str">
        <f>"002"</f>
        <v>002</v>
      </c>
      <c r="D1274">
        <v>1995</v>
      </c>
      <c r="E1274" s="1">
        <v>6830800</v>
      </c>
      <c r="F1274" s="1">
        <v>5597300</v>
      </c>
      <c r="G1274" s="1" t="s">
        <v>11</v>
      </c>
      <c r="H1274" s="1" t="s">
        <v>38</v>
      </c>
      <c r="I1274" t="s">
        <v>13</v>
      </c>
      <c r="J1274" t="s">
        <v>13</v>
      </c>
    </row>
    <row r="1275" spans="1:11" x14ac:dyDescent="0.35">
      <c r="A1275" t="s">
        <v>5</v>
      </c>
      <c r="B1275" t="str">
        <f>"29161"</f>
        <v>29161</v>
      </c>
      <c r="C1275" t="str">
        <f>"003"</f>
        <v>003</v>
      </c>
      <c r="D1275">
        <v>1995</v>
      </c>
      <c r="E1275" s="1">
        <v>15080900</v>
      </c>
      <c r="F1275" s="1">
        <v>7784600</v>
      </c>
      <c r="G1275" s="1" t="s">
        <v>11</v>
      </c>
      <c r="H1275" s="1" t="s">
        <v>38</v>
      </c>
      <c r="I1275" t="s">
        <v>13</v>
      </c>
      <c r="J1275" t="s">
        <v>13</v>
      </c>
    </row>
    <row r="1276" spans="1:11" x14ac:dyDescent="0.35">
      <c r="A1276" t="s">
        <v>39</v>
      </c>
      <c r="B1276" t="s">
        <v>13</v>
      </c>
      <c r="C1276" t="s">
        <v>7</v>
      </c>
      <c r="D1276" t="s">
        <v>8</v>
      </c>
      <c r="E1276" s="1">
        <v>21911700</v>
      </c>
      <c r="F1276" s="1">
        <v>13381900</v>
      </c>
      <c r="G1276" s="1" t="s">
        <v>11</v>
      </c>
      <c r="H1276" s="1">
        <v>49559800</v>
      </c>
      <c r="I1276" t="s">
        <v>13</v>
      </c>
      <c r="J1276" t="s">
        <v>13</v>
      </c>
      <c r="K1276">
        <v>27</v>
      </c>
    </row>
    <row r="1277" spans="1:11" x14ac:dyDescent="0.35">
      <c r="E1277" s="1"/>
      <c r="F1277" s="1"/>
      <c r="G1277" s="1"/>
      <c r="H1277" s="1"/>
    </row>
    <row r="1278" spans="1:11" x14ac:dyDescent="0.35">
      <c r="A1278" t="s">
        <v>281</v>
      </c>
      <c r="B1278" t="str">
        <f t="shared" ref="B1278:B1284" si="28">"70261"</f>
        <v>70261</v>
      </c>
      <c r="C1278" t="str">
        <f>"005"</f>
        <v>005</v>
      </c>
      <c r="D1278">
        <v>1993</v>
      </c>
      <c r="E1278" s="1">
        <v>27287500</v>
      </c>
      <c r="F1278" s="1">
        <v>13829300</v>
      </c>
      <c r="G1278" s="1" t="s">
        <v>11</v>
      </c>
      <c r="H1278" s="1" t="s">
        <v>38</v>
      </c>
      <c r="I1278" t="s">
        <v>13</v>
      </c>
      <c r="J1278" t="s">
        <v>13</v>
      </c>
    </row>
    <row r="1279" spans="1:11" x14ac:dyDescent="0.35">
      <c r="A1279" t="s">
        <v>5</v>
      </c>
      <c r="B1279" t="str">
        <f t="shared" si="28"/>
        <v>70261</v>
      </c>
      <c r="C1279" t="str">
        <f>"006"</f>
        <v>006</v>
      </c>
      <c r="D1279">
        <v>1997</v>
      </c>
      <c r="E1279" s="1">
        <v>31300600</v>
      </c>
      <c r="F1279" s="1">
        <v>28431000</v>
      </c>
      <c r="G1279" s="1" t="s">
        <v>11</v>
      </c>
      <c r="H1279" s="1" t="s">
        <v>38</v>
      </c>
      <c r="I1279" t="s">
        <v>13</v>
      </c>
      <c r="J1279" t="s">
        <v>13</v>
      </c>
    </row>
    <row r="1280" spans="1:11" x14ac:dyDescent="0.35">
      <c r="A1280" t="s">
        <v>5</v>
      </c>
      <c r="B1280" t="str">
        <f t="shared" si="28"/>
        <v>70261</v>
      </c>
      <c r="C1280" t="str">
        <f>"007"</f>
        <v>007</v>
      </c>
      <c r="D1280">
        <v>2000</v>
      </c>
      <c r="E1280" s="1">
        <v>144569300</v>
      </c>
      <c r="F1280" s="1">
        <v>105342400</v>
      </c>
      <c r="G1280" s="1" t="s">
        <v>11</v>
      </c>
      <c r="H1280" s="1" t="s">
        <v>38</v>
      </c>
      <c r="I1280" t="s">
        <v>13</v>
      </c>
      <c r="J1280" t="s">
        <v>13</v>
      </c>
    </row>
    <row r="1281" spans="1:11" x14ac:dyDescent="0.35">
      <c r="A1281" t="s">
        <v>5</v>
      </c>
      <c r="B1281" t="str">
        <f t="shared" si="28"/>
        <v>70261</v>
      </c>
      <c r="C1281" t="str">
        <f>"008"</f>
        <v>008</v>
      </c>
      <c r="D1281">
        <v>2001</v>
      </c>
      <c r="E1281" s="1">
        <v>75970100</v>
      </c>
      <c r="F1281" s="1">
        <v>61226500</v>
      </c>
      <c r="G1281" s="1" t="s">
        <v>11</v>
      </c>
      <c r="H1281" s="1" t="s">
        <v>38</v>
      </c>
      <c r="I1281" t="s">
        <v>13</v>
      </c>
      <c r="J1281" t="s">
        <v>13</v>
      </c>
    </row>
    <row r="1282" spans="1:11" x14ac:dyDescent="0.35">
      <c r="A1282" t="s">
        <v>5</v>
      </c>
      <c r="B1282" t="str">
        <f t="shared" si="28"/>
        <v>70261</v>
      </c>
      <c r="C1282" t="str">
        <f>"009"</f>
        <v>009</v>
      </c>
      <c r="D1282">
        <v>2015</v>
      </c>
      <c r="E1282" s="1">
        <v>25974900</v>
      </c>
      <c r="F1282" s="1">
        <v>10015800</v>
      </c>
      <c r="G1282" s="1" t="s">
        <v>11</v>
      </c>
      <c r="H1282" s="1" t="s">
        <v>38</v>
      </c>
      <c r="I1282" t="s">
        <v>13</v>
      </c>
      <c r="J1282" t="s">
        <v>13</v>
      </c>
    </row>
    <row r="1283" spans="1:11" x14ac:dyDescent="0.35">
      <c r="A1283" t="s">
        <v>5</v>
      </c>
      <c r="B1283" t="str">
        <f t="shared" si="28"/>
        <v>70261</v>
      </c>
      <c r="C1283" t="str">
        <f>"010"</f>
        <v>010</v>
      </c>
      <c r="D1283">
        <v>2015</v>
      </c>
      <c r="E1283" s="1">
        <v>19907700</v>
      </c>
      <c r="F1283" s="1">
        <v>16226100</v>
      </c>
      <c r="G1283" s="1" t="s">
        <v>11</v>
      </c>
      <c r="H1283" s="1" t="s">
        <v>38</v>
      </c>
      <c r="I1283" t="s">
        <v>13</v>
      </c>
      <c r="J1283" t="s">
        <v>13</v>
      </c>
    </row>
    <row r="1284" spans="1:11" x14ac:dyDescent="0.35">
      <c r="A1284" t="s">
        <v>5</v>
      </c>
      <c r="B1284" t="str">
        <f t="shared" si="28"/>
        <v>70261</v>
      </c>
      <c r="C1284" t="str">
        <f>"011"</f>
        <v>011</v>
      </c>
      <c r="D1284">
        <v>2017</v>
      </c>
      <c r="E1284" s="1">
        <v>16946500</v>
      </c>
      <c r="F1284" s="1">
        <v>16828800</v>
      </c>
      <c r="G1284" s="1" t="s">
        <v>11</v>
      </c>
      <c r="H1284" s="1" t="s">
        <v>38</v>
      </c>
      <c r="I1284" t="s">
        <v>13</v>
      </c>
      <c r="J1284" t="s">
        <v>13</v>
      </c>
    </row>
    <row r="1285" spans="1:11" x14ac:dyDescent="0.35">
      <c r="A1285" t="s">
        <v>39</v>
      </c>
      <c r="B1285" t="s">
        <v>13</v>
      </c>
      <c r="C1285" t="s">
        <v>7</v>
      </c>
      <c r="D1285" t="s">
        <v>8</v>
      </c>
      <c r="E1285" s="1">
        <v>341956600</v>
      </c>
      <c r="F1285" s="1">
        <v>251899900</v>
      </c>
      <c r="G1285" s="1" t="s">
        <v>11</v>
      </c>
      <c r="H1285" s="1">
        <v>2547115400</v>
      </c>
      <c r="I1285" t="s">
        <v>13</v>
      </c>
      <c r="J1285" t="s">
        <v>13</v>
      </c>
      <c r="K1285">
        <v>9.89</v>
      </c>
    </row>
    <row r="1286" spans="1:11" x14ac:dyDescent="0.35">
      <c r="E1286" s="1"/>
      <c r="F1286" s="1"/>
      <c r="G1286" s="1"/>
      <c r="H1286" s="1"/>
    </row>
    <row r="1287" spans="1:11" x14ac:dyDescent="0.35">
      <c r="A1287" t="s">
        <v>282</v>
      </c>
      <c r="B1287" t="str">
        <f>"10261"</f>
        <v>10261</v>
      </c>
      <c r="C1287" t="str">
        <f>"002"</f>
        <v>002</v>
      </c>
      <c r="D1287">
        <v>1999</v>
      </c>
      <c r="E1287" s="1">
        <v>3594900</v>
      </c>
      <c r="F1287" s="1">
        <v>3487700</v>
      </c>
      <c r="G1287" s="1" t="s">
        <v>11</v>
      </c>
      <c r="H1287" s="1" t="s">
        <v>38</v>
      </c>
      <c r="I1287" t="s">
        <v>13</v>
      </c>
      <c r="J1287" t="s">
        <v>13</v>
      </c>
    </row>
    <row r="1288" spans="1:11" x14ac:dyDescent="0.35">
      <c r="A1288" t="s">
        <v>5</v>
      </c>
      <c r="B1288" t="str">
        <f>"10261"</f>
        <v>10261</v>
      </c>
      <c r="C1288" t="str">
        <f>"003"</f>
        <v>003</v>
      </c>
      <c r="D1288">
        <v>2006</v>
      </c>
      <c r="E1288" s="1">
        <v>3243600</v>
      </c>
      <c r="F1288" s="1">
        <v>2938800</v>
      </c>
      <c r="G1288" s="1" t="s">
        <v>11</v>
      </c>
      <c r="H1288" s="1" t="s">
        <v>38</v>
      </c>
      <c r="I1288" t="s">
        <v>13</v>
      </c>
      <c r="J1288" t="s">
        <v>13</v>
      </c>
    </row>
    <row r="1289" spans="1:11" x14ac:dyDescent="0.35">
      <c r="A1289" t="s">
        <v>39</v>
      </c>
      <c r="B1289" t="s">
        <v>13</v>
      </c>
      <c r="C1289" t="s">
        <v>7</v>
      </c>
      <c r="D1289" t="s">
        <v>8</v>
      </c>
      <c r="E1289" s="1">
        <v>6838500</v>
      </c>
      <c r="F1289" s="1">
        <v>6426500</v>
      </c>
      <c r="G1289" s="1" t="s">
        <v>11</v>
      </c>
      <c r="H1289" s="1">
        <v>134424200</v>
      </c>
      <c r="I1289" t="s">
        <v>13</v>
      </c>
      <c r="J1289" t="s">
        <v>13</v>
      </c>
      <c r="K1289">
        <v>4.78</v>
      </c>
    </row>
    <row r="1290" spans="1:11" x14ac:dyDescent="0.35">
      <c r="E1290" s="1"/>
      <c r="F1290" s="1"/>
      <c r="G1290" s="1"/>
      <c r="H1290" s="1"/>
    </row>
    <row r="1291" spans="1:11" x14ac:dyDescent="0.35">
      <c r="A1291" t="s">
        <v>283</v>
      </c>
      <c r="B1291" t="str">
        <f>"71261"</f>
        <v>71261</v>
      </c>
      <c r="C1291" t="str">
        <f>"001"</f>
        <v>001</v>
      </c>
      <c r="D1291">
        <v>1997</v>
      </c>
      <c r="E1291" s="1">
        <v>17463000</v>
      </c>
      <c r="F1291" s="1">
        <v>6939400</v>
      </c>
      <c r="G1291" s="1" t="s">
        <v>11</v>
      </c>
      <c r="H1291" s="1" t="s">
        <v>38</v>
      </c>
      <c r="I1291" t="s">
        <v>13</v>
      </c>
      <c r="J1291" t="s">
        <v>13</v>
      </c>
    </row>
    <row r="1292" spans="1:11" x14ac:dyDescent="0.35">
      <c r="A1292" t="s">
        <v>5</v>
      </c>
      <c r="B1292" t="str">
        <f>"71261"</f>
        <v>71261</v>
      </c>
      <c r="C1292" t="str">
        <f>"002"</f>
        <v>002</v>
      </c>
      <c r="D1292">
        <v>2002</v>
      </c>
      <c r="E1292" s="1">
        <v>5848400</v>
      </c>
      <c r="F1292" s="1">
        <v>5239100</v>
      </c>
      <c r="G1292" s="1" t="s">
        <v>11</v>
      </c>
      <c r="H1292" s="1" t="s">
        <v>38</v>
      </c>
      <c r="I1292" t="s">
        <v>13</v>
      </c>
      <c r="J1292" t="s">
        <v>13</v>
      </c>
    </row>
    <row r="1293" spans="1:11" x14ac:dyDescent="0.35">
      <c r="A1293" t="s">
        <v>5</v>
      </c>
      <c r="B1293" t="str">
        <f>"71261"</f>
        <v>71261</v>
      </c>
      <c r="C1293" t="str">
        <f>"003"</f>
        <v>003</v>
      </c>
      <c r="D1293">
        <v>2012</v>
      </c>
      <c r="E1293" s="1">
        <v>22514600</v>
      </c>
      <c r="F1293" s="1">
        <v>4698300</v>
      </c>
      <c r="G1293" s="1" t="s">
        <v>11</v>
      </c>
      <c r="H1293" s="1" t="s">
        <v>38</v>
      </c>
      <c r="I1293" t="s">
        <v>13</v>
      </c>
      <c r="J1293" t="s">
        <v>13</v>
      </c>
    </row>
    <row r="1294" spans="1:11" x14ac:dyDescent="0.35">
      <c r="A1294" t="s">
        <v>5</v>
      </c>
      <c r="B1294" t="str">
        <f>"71261"</f>
        <v>71261</v>
      </c>
      <c r="C1294" t="str">
        <f>"004"</f>
        <v>004</v>
      </c>
      <c r="D1294">
        <v>2018</v>
      </c>
      <c r="E1294" s="1">
        <v>4005800</v>
      </c>
      <c r="F1294" s="1">
        <v>919800</v>
      </c>
      <c r="G1294" s="1" t="s">
        <v>11</v>
      </c>
      <c r="H1294" s="1" t="s">
        <v>38</v>
      </c>
      <c r="I1294" t="s">
        <v>13</v>
      </c>
      <c r="J1294" t="s">
        <v>13</v>
      </c>
    </row>
    <row r="1295" spans="1:11" x14ac:dyDescent="0.35">
      <c r="A1295" t="s">
        <v>39</v>
      </c>
      <c r="B1295" t="s">
        <v>13</v>
      </c>
      <c r="C1295" t="s">
        <v>7</v>
      </c>
      <c r="D1295" t="s">
        <v>8</v>
      </c>
      <c r="E1295" s="1">
        <v>49831800</v>
      </c>
      <c r="F1295" s="1">
        <v>17796600</v>
      </c>
      <c r="G1295" s="1" t="s">
        <v>11</v>
      </c>
      <c r="H1295" s="1">
        <v>123876700</v>
      </c>
      <c r="I1295" t="s">
        <v>13</v>
      </c>
      <c r="J1295" t="s">
        <v>13</v>
      </c>
      <c r="K1295">
        <v>14.37</v>
      </c>
    </row>
    <row r="1296" spans="1:11" x14ac:dyDescent="0.35">
      <c r="E1296" s="1"/>
      <c r="F1296" s="1"/>
      <c r="G1296" s="1"/>
      <c r="H1296" s="1"/>
    </row>
    <row r="1297" spans="1:11" x14ac:dyDescent="0.35">
      <c r="A1297" t="s">
        <v>284</v>
      </c>
      <c r="B1297" t="str">
        <f>"09161"</f>
        <v>09161</v>
      </c>
      <c r="C1297" t="str">
        <f>"001"</f>
        <v>001</v>
      </c>
      <c r="D1297">
        <v>2008</v>
      </c>
      <c r="E1297" s="1">
        <v>9230200</v>
      </c>
      <c r="F1297" s="1">
        <v>8946500</v>
      </c>
      <c r="G1297" s="1" t="s">
        <v>11</v>
      </c>
      <c r="H1297" s="1" t="s">
        <v>38</v>
      </c>
      <c r="I1297" t="s">
        <v>13</v>
      </c>
      <c r="J1297" t="s">
        <v>13</v>
      </c>
    </row>
    <row r="1298" spans="1:11" x14ac:dyDescent="0.35">
      <c r="A1298" t="s">
        <v>39</v>
      </c>
      <c r="B1298" t="s">
        <v>13</v>
      </c>
      <c r="C1298" t="s">
        <v>7</v>
      </c>
      <c r="D1298" t="s">
        <v>8</v>
      </c>
      <c r="E1298" s="1">
        <v>9230200</v>
      </c>
      <c r="F1298" s="1">
        <v>8946500</v>
      </c>
      <c r="G1298" s="1" t="s">
        <v>11</v>
      </c>
      <c r="H1298" s="1">
        <v>47727200</v>
      </c>
      <c r="I1298" t="s">
        <v>13</v>
      </c>
      <c r="J1298" t="s">
        <v>13</v>
      </c>
      <c r="K1298">
        <v>18.75</v>
      </c>
    </row>
    <row r="1299" spans="1:11" x14ac:dyDescent="0.35">
      <c r="E1299" s="1"/>
      <c r="F1299" s="1"/>
      <c r="G1299" s="1"/>
      <c r="H1299" s="1"/>
    </row>
    <row r="1300" spans="1:11" x14ac:dyDescent="0.35">
      <c r="A1300" t="s">
        <v>285</v>
      </c>
      <c r="B1300" t="str">
        <f>"67261"</f>
        <v>67261</v>
      </c>
      <c r="C1300" t="str">
        <f>"003"</f>
        <v>003</v>
      </c>
      <c r="D1300">
        <v>2018</v>
      </c>
      <c r="E1300" s="1">
        <v>37359300</v>
      </c>
      <c r="F1300" s="1">
        <v>36630300</v>
      </c>
      <c r="G1300" s="1" t="s">
        <v>11</v>
      </c>
      <c r="H1300" s="1" t="s">
        <v>38</v>
      </c>
      <c r="I1300" t="s">
        <v>13</v>
      </c>
      <c r="J1300" t="s">
        <v>13</v>
      </c>
    </row>
    <row r="1301" spans="1:11" x14ac:dyDescent="0.35">
      <c r="A1301" t="s">
        <v>5</v>
      </c>
      <c r="B1301" t="str">
        <f>"67261"</f>
        <v>67261</v>
      </c>
      <c r="C1301" t="str">
        <f>"004"</f>
        <v>004</v>
      </c>
      <c r="D1301">
        <v>2020</v>
      </c>
      <c r="E1301" s="1">
        <v>13944100</v>
      </c>
      <c r="F1301" s="1">
        <v>709600</v>
      </c>
      <c r="G1301" s="1" t="s">
        <v>11</v>
      </c>
      <c r="H1301" s="1" t="s">
        <v>38</v>
      </c>
      <c r="I1301" t="s">
        <v>13</v>
      </c>
      <c r="J1301" t="s">
        <v>13</v>
      </c>
    </row>
    <row r="1302" spans="1:11" x14ac:dyDescent="0.35">
      <c r="A1302" t="s">
        <v>39</v>
      </c>
      <c r="B1302" t="s">
        <v>13</v>
      </c>
      <c r="C1302" t="s">
        <v>7</v>
      </c>
      <c r="D1302" t="s">
        <v>8</v>
      </c>
      <c r="E1302" s="1">
        <v>51303400</v>
      </c>
      <c r="F1302" s="1">
        <v>37339900</v>
      </c>
      <c r="G1302" s="1" t="s">
        <v>11</v>
      </c>
      <c r="H1302" s="1">
        <v>6270870100</v>
      </c>
      <c r="I1302" t="s">
        <v>13</v>
      </c>
      <c r="J1302" t="s">
        <v>13</v>
      </c>
      <c r="K1302">
        <v>0.6</v>
      </c>
    </row>
    <row r="1303" spans="1:11" x14ac:dyDescent="0.35">
      <c r="E1303" s="1"/>
      <c r="F1303" s="1"/>
      <c r="G1303" s="1"/>
      <c r="H1303" s="1"/>
    </row>
    <row r="1304" spans="1:11" x14ac:dyDescent="0.35">
      <c r="A1304" t="s">
        <v>286</v>
      </c>
      <c r="B1304" t="str">
        <f>"23161"</f>
        <v>23161</v>
      </c>
      <c r="C1304" t="str">
        <f>"003"</f>
        <v>003</v>
      </c>
      <c r="D1304">
        <v>2006</v>
      </c>
      <c r="E1304" s="1">
        <v>13517100</v>
      </c>
      <c r="F1304" s="1">
        <v>13497800</v>
      </c>
      <c r="G1304" s="1" t="s">
        <v>11</v>
      </c>
      <c r="H1304" s="1" t="s">
        <v>38</v>
      </c>
      <c r="I1304" t="s">
        <v>13</v>
      </c>
      <c r="J1304" t="s">
        <v>13</v>
      </c>
    </row>
    <row r="1305" spans="1:11" x14ac:dyDescent="0.35">
      <c r="A1305" t="s">
        <v>5</v>
      </c>
      <c r="B1305" t="str">
        <f>"23161"</f>
        <v>23161</v>
      </c>
      <c r="C1305" t="str">
        <f>"004"</f>
        <v>004</v>
      </c>
      <c r="D1305">
        <v>2015</v>
      </c>
      <c r="E1305" s="1">
        <v>20570800</v>
      </c>
      <c r="F1305" s="1">
        <v>5928200</v>
      </c>
      <c r="G1305" s="1" t="s">
        <v>11</v>
      </c>
      <c r="H1305" s="1" t="s">
        <v>38</v>
      </c>
      <c r="I1305" t="s">
        <v>13</v>
      </c>
      <c r="J1305" t="s">
        <v>13</v>
      </c>
    </row>
    <row r="1306" spans="1:11" x14ac:dyDescent="0.35">
      <c r="A1306" t="s">
        <v>39</v>
      </c>
      <c r="B1306" t="s">
        <v>13</v>
      </c>
      <c r="C1306" t="s">
        <v>7</v>
      </c>
      <c r="D1306" t="s">
        <v>8</v>
      </c>
      <c r="E1306" s="1">
        <v>34087900</v>
      </c>
      <c r="F1306" s="1">
        <v>19426000</v>
      </c>
      <c r="G1306" s="1" t="s">
        <v>11</v>
      </c>
      <c r="H1306" s="1">
        <v>228181800</v>
      </c>
      <c r="I1306" t="s">
        <v>13</v>
      </c>
      <c r="J1306" t="s">
        <v>13</v>
      </c>
      <c r="K1306">
        <v>8.51</v>
      </c>
    </row>
    <row r="1307" spans="1:11" x14ac:dyDescent="0.35">
      <c r="E1307" s="1"/>
      <c r="F1307" s="1"/>
      <c r="G1307" s="1"/>
      <c r="H1307" s="1"/>
    </row>
    <row r="1308" spans="1:11" x14ac:dyDescent="0.35">
      <c r="A1308" t="s">
        <v>287</v>
      </c>
      <c r="B1308" t="str">
        <f>"08261"</f>
        <v>08261</v>
      </c>
      <c r="C1308" t="str">
        <f>"004"</f>
        <v>004</v>
      </c>
      <c r="D1308">
        <v>2018</v>
      </c>
      <c r="E1308" s="1">
        <v>15045600</v>
      </c>
      <c r="F1308" s="1">
        <v>5480400</v>
      </c>
      <c r="G1308" s="1" t="s">
        <v>11</v>
      </c>
      <c r="H1308" s="1" t="s">
        <v>38</v>
      </c>
      <c r="I1308" t="s">
        <v>13</v>
      </c>
      <c r="J1308" t="s">
        <v>13</v>
      </c>
    </row>
    <row r="1309" spans="1:11" x14ac:dyDescent="0.35">
      <c r="A1309" t="s">
        <v>5</v>
      </c>
      <c r="B1309" t="str">
        <f>"08261"</f>
        <v>08261</v>
      </c>
      <c r="C1309" t="str">
        <f>"005"</f>
        <v>005</v>
      </c>
      <c r="D1309">
        <v>2018</v>
      </c>
      <c r="E1309" s="1">
        <v>2550000</v>
      </c>
      <c r="F1309" s="1">
        <v>1263100</v>
      </c>
      <c r="G1309" s="1" t="s">
        <v>11</v>
      </c>
      <c r="H1309" s="1" t="s">
        <v>38</v>
      </c>
      <c r="I1309" t="s">
        <v>13</v>
      </c>
      <c r="J1309" t="s">
        <v>13</v>
      </c>
    </row>
    <row r="1310" spans="1:11" x14ac:dyDescent="0.35">
      <c r="A1310" t="s">
        <v>39</v>
      </c>
      <c r="B1310" t="s">
        <v>13</v>
      </c>
      <c r="C1310" t="s">
        <v>7</v>
      </c>
      <c r="D1310" t="s">
        <v>8</v>
      </c>
      <c r="E1310" s="1">
        <v>17595600</v>
      </c>
      <c r="F1310" s="1">
        <v>6743500</v>
      </c>
      <c r="G1310" s="1" t="s">
        <v>11</v>
      </c>
      <c r="H1310" s="1">
        <v>218919400</v>
      </c>
      <c r="I1310" t="s">
        <v>13</v>
      </c>
      <c r="J1310" t="s">
        <v>13</v>
      </c>
      <c r="K1310">
        <v>3.08</v>
      </c>
    </row>
    <row r="1311" spans="1:11" x14ac:dyDescent="0.35">
      <c r="E1311" s="1"/>
      <c r="F1311" s="1"/>
      <c r="G1311" s="1"/>
      <c r="H1311" s="1"/>
    </row>
    <row r="1312" spans="1:11" x14ac:dyDescent="0.35">
      <c r="A1312" t="s">
        <v>288</v>
      </c>
      <c r="B1312" t="str">
        <f>"29261"</f>
        <v>29261</v>
      </c>
      <c r="C1312" t="str">
        <f>"009"</f>
        <v>009</v>
      </c>
      <c r="D1312">
        <v>1991</v>
      </c>
      <c r="E1312" s="1">
        <v>431900</v>
      </c>
      <c r="F1312" s="1">
        <v>423600</v>
      </c>
      <c r="G1312" s="1" t="s">
        <v>11</v>
      </c>
      <c r="H1312" s="1" t="s">
        <v>38</v>
      </c>
      <c r="I1312" t="s">
        <v>13</v>
      </c>
      <c r="J1312" t="s">
        <v>13</v>
      </c>
    </row>
    <row r="1313" spans="1:11" x14ac:dyDescent="0.35">
      <c r="A1313" t="s">
        <v>5</v>
      </c>
      <c r="B1313" t="str">
        <f>"29261"</f>
        <v>29261</v>
      </c>
      <c r="C1313" t="str">
        <f>"010"</f>
        <v>010</v>
      </c>
      <c r="D1313">
        <v>1991</v>
      </c>
      <c r="E1313" s="1">
        <v>319400</v>
      </c>
      <c r="F1313" s="1">
        <v>309500</v>
      </c>
      <c r="G1313" s="1" t="s">
        <v>11</v>
      </c>
      <c r="H1313" s="1" t="s">
        <v>38</v>
      </c>
      <c r="I1313" t="s">
        <v>13</v>
      </c>
      <c r="J1313" t="s">
        <v>13</v>
      </c>
    </row>
    <row r="1314" spans="1:11" x14ac:dyDescent="0.35">
      <c r="A1314" t="s">
        <v>5</v>
      </c>
      <c r="B1314" t="str">
        <f>"29261"</f>
        <v>29261</v>
      </c>
      <c r="C1314" t="str">
        <f>"012"</f>
        <v>012</v>
      </c>
      <c r="D1314">
        <v>2010</v>
      </c>
      <c r="E1314" s="1">
        <v>4095000</v>
      </c>
      <c r="F1314" s="1">
        <v>2954200</v>
      </c>
      <c r="G1314" s="1" t="s">
        <v>11</v>
      </c>
      <c r="H1314" s="1" t="s">
        <v>38</v>
      </c>
      <c r="I1314" t="s">
        <v>13</v>
      </c>
      <c r="J1314" t="s">
        <v>13</v>
      </c>
    </row>
    <row r="1315" spans="1:11" x14ac:dyDescent="0.35">
      <c r="A1315" t="s">
        <v>5</v>
      </c>
      <c r="B1315" t="str">
        <f>"29261"</f>
        <v>29261</v>
      </c>
      <c r="C1315" t="str">
        <f>"013"</f>
        <v>013</v>
      </c>
      <c r="D1315">
        <v>2010</v>
      </c>
      <c r="E1315" s="1">
        <v>213200</v>
      </c>
      <c r="F1315" s="1">
        <v>56000</v>
      </c>
      <c r="G1315" s="1" t="s">
        <v>11</v>
      </c>
      <c r="H1315" s="1" t="s">
        <v>38</v>
      </c>
      <c r="I1315" t="s">
        <v>13</v>
      </c>
      <c r="J1315" t="s">
        <v>13</v>
      </c>
    </row>
    <row r="1316" spans="1:11" x14ac:dyDescent="0.35">
      <c r="A1316" t="s">
        <v>39</v>
      </c>
      <c r="B1316" t="s">
        <v>13</v>
      </c>
      <c r="C1316" t="s">
        <v>7</v>
      </c>
      <c r="D1316" t="s">
        <v>8</v>
      </c>
      <c r="E1316" s="1">
        <v>5059500</v>
      </c>
      <c r="F1316" s="1">
        <v>3743300</v>
      </c>
      <c r="G1316" s="1" t="s">
        <v>11</v>
      </c>
      <c r="H1316" s="1">
        <v>95013100</v>
      </c>
      <c r="I1316" t="s">
        <v>13</v>
      </c>
      <c r="J1316" t="s">
        <v>13</v>
      </c>
      <c r="K1316">
        <v>3.94</v>
      </c>
    </row>
    <row r="1317" spans="1:11" x14ac:dyDescent="0.35">
      <c r="E1317" s="1"/>
      <c r="F1317" s="1"/>
      <c r="G1317" s="1"/>
      <c r="H1317" s="1"/>
    </row>
    <row r="1318" spans="1:11" x14ac:dyDescent="0.35">
      <c r="A1318" t="s">
        <v>289</v>
      </c>
      <c r="B1318" t="str">
        <f t="shared" ref="B1318:B1323" si="29">"55261"</f>
        <v>55261</v>
      </c>
      <c r="C1318" t="str">
        <f>"005"</f>
        <v>005</v>
      </c>
      <c r="D1318">
        <v>1987</v>
      </c>
      <c r="E1318" s="1">
        <v>20617700</v>
      </c>
      <c r="F1318" s="1">
        <v>20539800</v>
      </c>
      <c r="G1318" s="1" t="s">
        <v>11</v>
      </c>
      <c r="H1318" s="1" t="s">
        <v>38</v>
      </c>
      <c r="I1318" t="s">
        <v>13</v>
      </c>
      <c r="J1318" t="s">
        <v>13</v>
      </c>
    </row>
    <row r="1319" spans="1:11" x14ac:dyDescent="0.35">
      <c r="A1319" t="s">
        <v>5</v>
      </c>
      <c r="B1319" t="str">
        <f t="shared" si="29"/>
        <v>55261</v>
      </c>
      <c r="C1319" t="str">
        <f>"006"</f>
        <v>006</v>
      </c>
      <c r="D1319">
        <v>1995</v>
      </c>
      <c r="E1319" s="1">
        <v>29801000</v>
      </c>
      <c r="F1319" s="1">
        <v>29572500</v>
      </c>
      <c r="G1319" s="1" t="s">
        <v>11</v>
      </c>
      <c r="H1319" s="1" t="s">
        <v>38</v>
      </c>
      <c r="I1319" t="s">
        <v>13</v>
      </c>
      <c r="J1319" t="s">
        <v>13</v>
      </c>
    </row>
    <row r="1320" spans="1:11" x14ac:dyDescent="0.35">
      <c r="A1320" t="s">
        <v>5</v>
      </c>
      <c r="B1320" t="str">
        <f t="shared" si="29"/>
        <v>55261</v>
      </c>
      <c r="C1320" t="str">
        <f>"007"</f>
        <v>007</v>
      </c>
      <c r="D1320">
        <v>2003</v>
      </c>
      <c r="E1320" s="1">
        <v>6880000</v>
      </c>
      <c r="F1320" s="1">
        <v>4322200</v>
      </c>
      <c r="G1320" s="1" t="s">
        <v>11</v>
      </c>
      <c r="H1320" s="1" t="s">
        <v>38</v>
      </c>
      <c r="I1320" t="s">
        <v>13</v>
      </c>
      <c r="J1320" t="s">
        <v>13</v>
      </c>
    </row>
    <row r="1321" spans="1:11" x14ac:dyDescent="0.35">
      <c r="A1321" t="s">
        <v>5</v>
      </c>
      <c r="B1321" t="str">
        <f t="shared" si="29"/>
        <v>55261</v>
      </c>
      <c r="C1321" t="str">
        <f>"008"</f>
        <v>008</v>
      </c>
      <c r="D1321">
        <v>2005</v>
      </c>
      <c r="E1321" s="1">
        <v>33092100</v>
      </c>
      <c r="F1321" s="1">
        <v>17360800</v>
      </c>
      <c r="G1321" s="1" t="s">
        <v>11</v>
      </c>
      <c r="H1321" s="1" t="s">
        <v>38</v>
      </c>
      <c r="I1321" t="s">
        <v>13</v>
      </c>
      <c r="J1321" t="s">
        <v>13</v>
      </c>
    </row>
    <row r="1322" spans="1:11" x14ac:dyDescent="0.35">
      <c r="A1322" t="s">
        <v>5</v>
      </c>
      <c r="B1322" t="str">
        <f t="shared" si="29"/>
        <v>55261</v>
      </c>
      <c r="C1322" t="str">
        <f>"009"</f>
        <v>009</v>
      </c>
      <c r="D1322">
        <v>2008</v>
      </c>
      <c r="E1322" s="1">
        <v>8140200</v>
      </c>
      <c r="F1322" s="1">
        <v>1664100</v>
      </c>
      <c r="G1322" s="1" t="s">
        <v>11</v>
      </c>
      <c r="H1322" s="1" t="s">
        <v>38</v>
      </c>
      <c r="I1322" t="s">
        <v>13</v>
      </c>
      <c r="J1322" t="s">
        <v>13</v>
      </c>
    </row>
    <row r="1323" spans="1:11" x14ac:dyDescent="0.35">
      <c r="A1323" t="s">
        <v>5</v>
      </c>
      <c r="B1323" t="str">
        <f t="shared" si="29"/>
        <v>55261</v>
      </c>
      <c r="C1323" t="str">
        <f>"010"</f>
        <v>010</v>
      </c>
      <c r="D1323">
        <v>2014</v>
      </c>
      <c r="E1323" s="1">
        <v>9790800</v>
      </c>
      <c r="F1323" s="1">
        <v>5937000</v>
      </c>
      <c r="G1323" s="1" t="s">
        <v>11</v>
      </c>
      <c r="H1323" s="1" t="s">
        <v>38</v>
      </c>
      <c r="I1323" t="s">
        <v>13</v>
      </c>
      <c r="J1323" t="s">
        <v>13</v>
      </c>
    </row>
    <row r="1324" spans="1:11" x14ac:dyDescent="0.35">
      <c r="A1324" t="s">
        <v>39</v>
      </c>
      <c r="B1324" t="s">
        <v>13</v>
      </c>
      <c r="C1324" t="s">
        <v>7</v>
      </c>
      <c r="D1324" t="s">
        <v>8</v>
      </c>
      <c r="E1324" s="1">
        <v>108321800</v>
      </c>
      <c r="F1324" s="1">
        <v>79396400</v>
      </c>
      <c r="G1324" s="1" t="s">
        <v>11</v>
      </c>
      <c r="H1324" s="1">
        <v>1038564100</v>
      </c>
      <c r="I1324" t="s">
        <v>13</v>
      </c>
      <c r="J1324" t="s">
        <v>13</v>
      </c>
      <c r="K1324">
        <v>7.64</v>
      </c>
    </row>
    <row r="1325" spans="1:11" x14ac:dyDescent="0.35">
      <c r="E1325" s="1"/>
      <c r="F1325" s="1"/>
      <c r="G1325" s="1"/>
      <c r="H1325" s="1"/>
    </row>
    <row r="1326" spans="1:11" x14ac:dyDescent="0.35">
      <c r="A1326" t="s">
        <v>290</v>
      </c>
      <c r="B1326" t="str">
        <f>"38261"</f>
        <v>38261</v>
      </c>
      <c r="C1326" t="str">
        <f>"001"</f>
        <v>001</v>
      </c>
      <c r="D1326">
        <v>1995</v>
      </c>
      <c r="E1326" s="1">
        <v>676600</v>
      </c>
      <c r="F1326" s="1">
        <v>676600</v>
      </c>
      <c r="G1326" s="1" t="s">
        <v>11</v>
      </c>
      <c r="H1326" s="1" t="s">
        <v>38</v>
      </c>
      <c r="I1326" t="s">
        <v>13</v>
      </c>
      <c r="J1326" t="s">
        <v>13</v>
      </c>
    </row>
    <row r="1327" spans="1:11" x14ac:dyDescent="0.35">
      <c r="A1327" t="s">
        <v>5</v>
      </c>
      <c r="B1327" t="str">
        <f>"38261"</f>
        <v>38261</v>
      </c>
      <c r="C1327" t="str">
        <f>"002"</f>
        <v>002</v>
      </c>
      <c r="D1327">
        <v>1998</v>
      </c>
      <c r="E1327" s="1">
        <v>999700</v>
      </c>
      <c r="F1327" s="1">
        <v>971200</v>
      </c>
      <c r="G1327" s="1" t="s">
        <v>11</v>
      </c>
      <c r="H1327" s="1" t="s">
        <v>38</v>
      </c>
      <c r="I1327" t="s">
        <v>13</v>
      </c>
      <c r="J1327" t="s">
        <v>13</v>
      </c>
    </row>
    <row r="1328" spans="1:11" x14ac:dyDescent="0.35">
      <c r="A1328" t="s">
        <v>39</v>
      </c>
      <c r="B1328" t="s">
        <v>13</v>
      </c>
      <c r="C1328" t="s">
        <v>7</v>
      </c>
      <c r="D1328" t="s">
        <v>8</v>
      </c>
      <c r="E1328" s="1">
        <v>1676300</v>
      </c>
      <c r="F1328" s="1">
        <v>1647800</v>
      </c>
      <c r="G1328" s="1" t="s">
        <v>11</v>
      </c>
      <c r="H1328" s="1">
        <v>76358100</v>
      </c>
      <c r="I1328" t="s">
        <v>13</v>
      </c>
      <c r="J1328" t="s">
        <v>13</v>
      </c>
      <c r="K1328">
        <v>2.16</v>
      </c>
    </row>
    <row r="1329" spans="1:11" x14ac:dyDescent="0.35">
      <c r="E1329" s="1"/>
      <c r="F1329" s="1"/>
      <c r="G1329" s="1"/>
      <c r="H1329" s="1"/>
    </row>
    <row r="1330" spans="1:11" x14ac:dyDescent="0.35">
      <c r="A1330" t="s">
        <v>291</v>
      </c>
      <c r="B1330" t="str">
        <f>"20161"</f>
        <v>20161</v>
      </c>
      <c r="C1330" t="str">
        <f>"001"</f>
        <v>001</v>
      </c>
      <c r="D1330">
        <v>1999</v>
      </c>
      <c r="E1330" s="1">
        <v>25805000</v>
      </c>
      <c r="F1330" s="1">
        <v>25604500</v>
      </c>
      <c r="G1330" s="1" t="s">
        <v>11</v>
      </c>
      <c r="H1330" s="1" t="s">
        <v>38</v>
      </c>
      <c r="I1330" t="s">
        <v>13</v>
      </c>
      <c r="J1330" t="s">
        <v>13</v>
      </c>
    </row>
    <row r="1331" spans="1:11" x14ac:dyDescent="0.35">
      <c r="A1331" t="s">
        <v>5</v>
      </c>
      <c r="B1331" t="str">
        <f>"20161"</f>
        <v>20161</v>
      </c>
      <c r="C1331" t="str">
        <f>"002"</f>
        <v>002</v>
      </c>
      <c r="D1331">
        <v>2008</v>
      </c>
      <c r="E1331" s="1">
        <v>4348500</v>
      </c>
      <c r="F1331" s="1">
        <v>173400</v>
      </c>
      <c r="G1331" s="1" t="s">
        <v>11</v>
      </c>
      <c r="H1331" s="1" t="s">
        <v>38</v>
      </c>
      <c r="I1331" t="s">
        <v>13</v>
      </c>
      <c r="J1331" t="s">
        <v>13</v>
      </c>
    </row>
    <row r="1332" spans="1:11" x14ac:dyDescent="0.35">
      <c r="A1332" t="s">
        <v>39</v>
      </c>
      <c r="B1332" t="s">
        <v>13</v>
      </c>
      <c r="C1332" t="s">
        <v>7</v>
      </c>
      <c r="D1332" t="s">
        <v>8</v>
      </c>
      <c r="E1332" s="1">
        <v>30153500</v>
      </c>
      <c r="F1332" s="1">
        <v>25777900</v>
      </c>
      <c r="G1332" s="1" t="s">
        <v>11</v>
      </c>
      <c r="H1332" s="1">
        <v>236741000</v>
      </c>
      <c r="I1332" t="s">
        <v>13</v>
      </c>
      <c r="J1332" t="s">
        <v>13</v>
      </c>
      <c r="K1332">
        <v>10.89</v>
      </c>
    </row>
    <row r="1333" spans="1:11" x14ac:dyDescent="0.35">
      <c r="E1333" s="1"/>
      <c r="F1333" s="1"/>
      <c r="G1333" s="1"/>
      <c r="H1333" s="1"/>
    </row>
    <row r="1334" spans="1:11" x14ac:dyDescent="0.35">
      <c r="A1334" t="s">
        <v>292</v>
      </c>
      <c r="B1334" t="str">
        <f>"56161"</f>
        <v>56161</v>
      </c>
      <c r="C1334" t="str">
        <f>"001"</f>
        <v>001</v>
      </c>
      <c r="D1334">
        <v>1997</v>
      </c>
      <c r="E1334" s="1">
        <v>5947500</v>
      </c>
      <c r="F1334" s="1">
        <v>2919700</v>
      </c>
      <c r="G1334" s="1" t="s">
        <v>11</v>
      </c>
      <c r="H1334" s="1" t="s">
        <v>38</v>
      </c>
      <c r="I1334" t="s">
        <v>13</v>
      </c>
      <c r="J1334" t="s">
        <v>13</v>
      </c>
    </row>
    <row r="1335" spans="1:11" x14ac:dyDescent="0.35">
      <c r="A1335" t="s">
        <v>39</v>
      </c>
      <c r="B1335" t="s">
        <v>13</v>
      </c>
      <c r="C1335" t="s">
        <v>7</v>
      </c>
      <c r="D1335" t="s">
        <v>8</v>
      </c>
      <c r="E1335" s="1">
        <v>5947500</v>
      </c>
      <c r="F1335" s="1">
        <v>2919700</v>
      </c>
      <c r="G1335" s="1" t="s">
        <v>11</v>
      </c>
      <c r="H1335" s="1">
        <v>29143900</v>
      </c>
      <c r="I1335" t="s">
        <v>13</v>
      </c>
      <c r="J1335" t="s">
        <v>13</v>
      </c>
      <c r="K1335">
        <v>10.02</v>
      </c>
    </row>
    <row r="1336" spans="1:11" x14ac:dyDescent="0.35">
      <c r="E1336" s="1"/>
      <c r="F1336" s="1"/>
      <c r="G1336" s="1"/>
      <c r="H1336" s="1"/>
    </row>
    <row r="1337" spans="1:11" x14ac:dyDescent="0.35">
      <c r="A1337" t="s">
        <v>293</v>
      </c>
      <c r="B1337" t="str">
        <f t="shared" ref="B1337:B1346" si="30">"40265"</f>
        <v>40265</v>
      </c>
      <c r="C1337" t="str">
        <f>"006"</f>
        <v>006</v>
      </c>
      <c r="D1337">
        <v>2001</v>
      </c>
      <c r="E1337" s="1">
        <v>19648900</v>
      </c>
      <c r="F1337" s="1">
        <v>18271700</v>
      </c>
      <c r="G1337" s="1" t="s">
        <v>11</v>
      </c>
      <c r="H1337" s="1" t="s">
        <v>38</v>
      </c>
      <c r="I1337" t="s">
        <v>13</v>
      </c>
      <c r="J1337" t="s">
        <v>13</v>
      </c>
    </row>
    <row r="1338" spans="1:11" x14ac:dyDescent="0.35">
      <c r="A1338" t="s">
        <v>5</v>
      </c>
      <c r="B1338" t="str">
        <f t="shared" si="30"/>
        <v>40265</v>
      </c>
      <c r="C1338" t="str">
        <f>"007"</f>
        <v>007</v>
      </c>
      <c r="D1338">
        <v>2007</v>
      </c>
      <c r="E1338" s="1">
        <v>250633500</v>
      </c>
      <c r="F1338" s="1">
        <v>85580400</v>
      </c>
      <c r="G1338" s="1" t="s">
        <v>11</v>
      </c>
      <c r="H1338" s="1" t="s">
        <v>38</v>
      </c>
      <c r="I1338" t="s">
        <v>13</v>
      </c>
      <c r="J1338" t="s">
        <v>13</v>
      </c>
    </row>
    <row r="1339" spans="1:11" x14ac:dyDescent="0.35">
      <c r="A1339" t="s">
        <v>5</v>
      </c>
      <c r="B1339" t="str">
        <f t="shared" si="30"/>
        <v>40265</v>
      </c>
      <c r="C1339" t="str">
        <f>"008"</f>
        <v>008</v>
      </c>
      <c r="D1339">
        <v>2009</v>
      </c>
      <c r="E1339" s="1">
        <v>126197100</v>
      </c>
      <c r="F1339" s="1">
        <v>103140500</v>
      </c>
      <c r="G1339" s="1" t="s">
        <v>11</v>
      </c>
      <c r="H1339" s="1" t="s">
        <v>38</v>
      </c>
      <c r="I1339" t="s">
        <v>13</v>
      </c>
      <c r="J1339" t="s">
        <v>13</v>
      </c>
    </row>
    <row r="1340" spans="1:11" x14ac:dyDescent="0.35">
      <c r="A1340" t="s">
        <v>5</v>
      </c>
      <c r="B1340" t="str">
        <f t="shared" si="30"/>
        <v>40265</v>
      </c>
      <c r="C1340" t="str">
        <f>"010"</f>
        <v>010</v>
      </c>
      <c r="D1340">
        <v>2010</v>
      </c>
      <c r="E1340" s="1">
        <v>41146500</v>
      </c>
      <c r="F1340" s="1">
        <v>21922800</v>
      </c>
      <c r="G1340" s="1" t="s">
        <v>11</v>
      </c>
      <c r="H1340" s="1" t="s">
        <v>38</v>
      </c>
      <c r="I1340" t="s">
        <v>13</v>
      </c>
      <c r="J1340" t="s">
        <v>13</v>
      </c>
    </row>
    <row r="1341" spans="1:11" x14ac:dyDescent="0.35">
      <c r="A1341" t="s">
        <v>5</v>
      </c>
      <c r="B1341" t="str">
        <f t="shared" si="30"/>
        <v>40265</v>
      </c>
      <c r="C1341" t="str">
        <f>"011"</f>
        <v>011</v>
      </c>
      <c r="D1341">
        <v>2012</v>
      </c>
      <c r="E1341" s="1">
        <v>196816100</v>
      </c>
      <c r="F1341" s="1">
        <v>183954200</v>
      </c>
      <c r="G1341" s="1" t="s">
        <v>11</v>
      </c>
      <c r="H1341" s="1" t="s">
        <v>38</v>
      </c>
      <c r="I1341" t="s">
        <v>13</v>
      </c>
      <c r="J1341" t="s">
        <v>13</v>
      </c>
    </row>
    <row r="1342" spans="1:11" x14ac:dyDescent="0.35">
      <c r="A1342" t="s">
        <v>5</v>
      </c>
      <c r="B1342" t="str">
        <f t="shared" si="30"/>
        <v>40265</v>
      </c>
      <c r="C1342" t="str">
        <f>"012"</f>
        <v>012</v>
      </c>
      <c r="D1342">
        <v>2016</v>
      </c>
      <c r="E1342" s="1">
        <v>60003700</v>
      </c>
      <c r="F1342" s="1">
        <v>56265500</v>
      </c>
      <c r="G1342" s="1" t="s">
        <v>11</v>
      </c>
      <c r="H1342" s="1" t="s">
        <v>38</v>
      </c>
      <c r="I1342" t="s">
        <v>13</v>
      </c>
      <c r="J1342" t="s">
        <v>13</v>
      </c>
    </row>
    <row r="1343" spans="1:11" x14ac:dyDescent="0.35">
      <c r="A1343" t="s">
        <v>5</v>
      </c>
      <c r="B1343" t="str">
        <f t="shared" si="30"/>
        <v>40265</v>
      </c>
      <c r="C1343" t="str">
        <f>"013"</f>
        <v>013</v>
      </c>
      <c r="D1343">
        <v>2017</v>
      </c>
      <c r="E1343" s="1">
        <v>5469300</v>
      </c>
      <c r="F1343" s="1">
        <v>765800</v>
      </c>
      <c r="G1343" s="1" t="s">
        <v>11</v>
      </c>
      <c r="H1343" s="1" t="s">
        <v>38</v>
      </c>
      <c r="I1343" t="s">
        <v>13</v>
      </c>
      <c r="J1343" t="s">
        <v>13</v>
      </c>
    </row>
    <row r="1344" spans="1:11" x14ac:dyDescent="0.35">
      <c r="A1344" t="s">
        <v>5</v>
      </c>
      <c r="B1344" t="str">
        <f t="shared" si="30"/>
        <v>40265</v>
      </c>
      <c r="C1344" t="str">
        <f>"014"</f>
        <v>014</v>
      </c>
      <c r="D1344">
        <v>2018</v>
      </c>
      <c r="E1344" s="1">
        <v>9559200</v>
      </c>
      <c r="F1344" s="1">
        <v>8917900</v>
      </c>
      <c r="G1344" s="1" t="s">
        <v>11</v>
      </c>
      <c r="H1344" s="1" t="s">
        <v>38</v>
      </c>
      <c r="I1344" t="s">
        <v>13</v>
      </c>
      <c r="J1344" t="s">
        <v>13</v>
      </c>
    </row>
    <row r="1345" spans="1:11" x14ac:dyDescent="0.35">
      <c r="A1345" t="s">
        <v>5</v>
      </c>
      <c r="B1345" t="str">
        <f t="shared" si="30"/>
        <v>40265</v>
      </c>
      <c r="C1345" t="str">
        <f>"015"</f>
        <v>015</v>
      </c>
      <c r="D1345">
        <v>2018</v>
      </c>
      <c r="E1345" s="1">
        <v>6374800</v>
      </c>
      <c r="F1345" s="1">
        <v>4474900</v>
      </c>
      <c r="G1345" s="1" t="s">
        <v>11</v>
      </c>
      <c r="H1345" s="1" t="s">
        <v>38</v>
      </c>
      <c r="I1345" t="s">
        <v>13</v>
      </c>
      <c r="J1345" t="s">
        <v>13</v>
      </c>
    </row>
    <row r="1346" spans="1:11" x14ac:dyDescent="0.35">
      <c r="A1346" t="s">
        <v>5</v>
      </c>
      <c r="B1346" t="str">
        <f t="shared" si="30"/>
        <v>40265</v>
      </c>
      <c r="C1346" t="str">
        <f>"016"</f>
        <v>016</v>
      </c>
      <c r="D1346">
        <v>2018</v>
      </c>
      <c r="E1346" s="1">
        <v>178620300</v>
      </c>
      <c r="F1346" s="1">
        <v>177071100</v>
      </c>
      <c r="G1346" s="1" t="s">
        <v>11</v>
      </c>
      <c r="H1346" s="1" t="s">
        <v>38</v>
      </c>
      <c r="I1346" t="s">
        <v>13</v>
      </c>
      <c r="J1346" t="s">
        <v>13</v>
      </c>
    </row>
    <row r="1347" spans="1:11" x14ac:dyDescent="0.35">
      <c r="A1347" t="s">
        <v>39</v>
      </c>
      <c r="B1347" t="s">
        <v>13</v>
      </c>
      <c r="C1347" t="s">
        <v>7</v>
      </c>
      <c r="D1347" t="s">
        <v>8</v>
      </c>
      <c r="E1347" s="1">
        <v>894469400</v>
      </c>
      <c r="F1347" s="1">
        <v>660364800</v>
      </c>
      <c r="G1347" s="1" t="s">
        <v>11</v>
      </c>
      <c r="H1347" s="1">
        <v>4618317600</v>
      </c>
      <c r="I1347" t="s">
        <v>13</v>
      </c>
      <c r="J1347" t="s">
        <v>13</v>
      </c>
      <c r="K1347">
        <v>14.3</v>
      </c>
    </row>
    <row r="1348" spans="1:11" x14ac:dyDescent="0.35">
      <c r="E1348" s="1"/>
      <c r="F1348" s="1"/>
      <c r="G1348" s="1"/>
      <c r="H1348" s="1"/>
    </row>
    <row r="1349" spans="1:11" x14ac:dyDescent="0.35">
      <c r="A1349" t="s">
        <v>294</v>
      </c>
      <c r="B1349" t="str">
        <f>"20165"</f>
        <v>20165</v>
      </c>
      <c r="C1349" t="str">
        <f>"001"</f>
        <v>001</v>
      </c>
      <c r="D1349">
        <v>1995</v>
      </c>
      <c r="E1349" s="1">
        <v>11976700</v>
      </c>
      <c r="F1349" s="1">
        <v>10269200</v>
      </c>
      <c r="G1349" s="1" t="s">
        <v>11</v>
      </c>
      <c r="H1349" s="1" t="s">
        <v>38</v>
      </c>
      <c r="I1349" t="s">
        <v>13</v>
      </c>
      <c r="J1349" t="s">
        <v>13</v>
      </c>
    </row>
    <row r="1350" spans="1:11" x14ac:dyDescent="0.35">
      <c r="A1350" t="s">
        <v>5</v>
      </c>
      <c r="B1350" t="str">
        <f>"20165"</f>
        <v>20165</v>
      </c>
      <c r="C1350" t="str">
        <f>"002"</f>
        <v>002</v>
      </c>
      <c r="D1350">
        <v>1997</v>
      </c>
      <c r="E1350" s="1">
        <v>3965000</v>
      </c>
      <c r="F1350" s="1">
        <v>3076800</v>
      </c>
      <c r="G1350" s="1" t="s">
        <v>11</v>
      </c>
      <c r="H1350" s="1" t="s">
        <v>38</v>
      </c>
      <c r="I1350" t="s">
        <v>13</v>
      </c>
      <c r="J1350" t="s">
        <v>13</v>
      </c>
    </row>
    <row r="1351" spans="1:11" x14ac:dyDescent="0.35">
      <c r="A1351" t="s">
        <v>39</v>
      </c>
      <c r="B1351" t="s">
        <v>13</v>
      </c>
      <c r="C1351" t="s">
        <v>7</v>
      </c>
      <c r="D1351" t="s">
        <v>8</v>
      </c>
      <c r="E1351" s="1">
        <v>15941700</v>
      </c>
      <c r="F1351" s="1">
        <v>13346000</v>
      </c>
      <c r="G1351" s="1" t="s">
        <v>11</v>
      </c>
      <c r="H1351" s="1">
        <v>75374300</v>
      </c>
      <c r="I1351" t="s">
        <v>13</v>
      </c>
      <c r="J1351" t="s">
        <v>13</v>
      </c>
      <c r="K1351">
        <v>17.71</v>
      </c>
    </row>
    <row r="1352" spans="1:11" x14ac:dyDescent="0.35">
      <c r="E1352" s="1"/>
      <c r="F1352" s="1"/>
      <c r="G1352" s="1"/>
      <c r="H1352" s="1"/>
    </row>
    <row r="1353" spans="1:11" x14ac:dyDescent="0.35">
      <c r="A1353" t="s">
        <v>295</v>
      </c>
      <c r="B1353" t="str">
        <f>"67265"</f>
        <v>67265</v>
      </c>
      <c r="C1353" t="str">
        <f>"004"</f>
        <v>004</v>
      </c>
      <c r="D1353">
        <v>2003</v>
      </c>
      <c r="E1353" s="1">
        <v>79908700</v>
      </c>
      <c r="F1353" s="1">
        <v>29484300</v>
      </c>
      <c r="G1353" s="1" t="s">
        <v>11</v>
      </c>
      <c r="H1353" s="1" t="s">
        <v>38</v>
      </c>
      <c r="I1353" t="s">
        <v>13</v>
      </c>
      <c r="J1353" t="s">
        <v>13</v>
      </c>
    </row>
    <row r="1354" spans="1:11" x14ac:dyDescent="0.35">
      <c r="A1354" t="s">
        <v>5</v>
      </c>
      <c r="B1354" t="str">
        <f>"67265"</f>
        <v>67265</v>
      </c>
      <c r="C1354" t="str">
        <f>"005"</f>
        <v>005</v>
      </c>
      <c r="D1354">
        <v>2017</v>
      </c>
      <c r="E1354" s="1">
        <v>42291400</v>
      </c>
      <c r="F1354" s="1">
        <v>36271700</v>
      </c>
      <c r="G1354" s="1" t="s">
        <v>11</v>
      </c>
      <c r="H1354" s="1" t="s">
        <v>38</v>
      </c>
      <c r="I1354" t="s">
        <v>13</v>
      </c>
      <c r="J1354" t="s">
        <v>13</v>
      </c>
    </row>
    <row r="1355" spans="1:11" x14ac:dyDescent="0.35">
      <c r="A1355" t="s">
        <v>5</v>
      </c>
      <c r="B1355" t="str">
        <f>"67265"</f>
        <v>67265</v>
      </c>
      <c r="C1355" t="str">
        <f>"006"</f>
        <v>006</v>
      </c>
      <c r="D1355">
        <v>2017</v>
      </c>
      <c r="E1355" s="1">
        <v>23762300</v>
      </c>
      <c r="F1355" s="1">
        <v>21960500</v>
      </c>
      <c r="G1355" s="1" t="s">
        <v>11</v>
      </c>
      <c r="H1355" s="1" t="s">
        <v>38</v>
      </c>
      <c r="I1355" t="s">
        <v>13</v>
      </c>
      <c r="J1355" t="s">
        <v>13</v>
      </c>
    </row>
    <row r="1356" spans="1:11" x14ac:dyDescent="0.35">
      <c r="A1356" t="s">
        <v>39</v>
      </c>
      <c r="B1356" t="s">
        <v>13</v>
      </c>
      <c r="C1356" t="s">
        <v>7</v>
      </c>
      <c r="D1356" t="s">
        <v>8</v>
      </c>
      <c r="E1356" s="1">
        <v>145962400</v>
      </c>
      <c r="F1356" s="1">
        <v>87716500</v>
      </c>
      <c r="G1356" s="1" t="s">
        <v>11</v>
      </c>
      <c r="H1356" s="1">
        <v>2801915900</v>
      </c>
      <c r="I1356" t="s">
        <v>13</v>
      </c>
      <c r="J1356" t="s">
        <v>13</v>
      </c>
      <c r="K1356">
        <v>3.13</v>
      </c>
    </row>
    <row r="1357" spans="1:11" x14ac:dyDescent="0.35">
      <c r="E1357" s="1"/>
      <c r="F1357" s="1"/>
      <c r="G1357" s="1"/>
      <c r="H1357" s="1"/>
    </row>
    <row r="1358" spans="1:11" x14ac:dyDescent="0.35">
      <c r="A1358" t="s">
        <v>296</v>
      </c>
      <c r="B1358" t="str">
        <f>"42265"</f>
        <v>42265</v>
      </c>
      <c r="C1358" t="str">
        <f>"003"</f>
        <v>003</v>
      </c>
      <c r="D1358">
        <v>2007</v>
      </c>
      <c r="E1358" s="1">
        <v>15047400</v>
      </c>
      <c r="F1358" s="1">
        <v>1631200</v>
      </c>
      <c r="G1358" s="1" t="s">
        <v>11</v>
      </c>
      <c r="H1358" s="1" t="s">
        <v>38</v>
      </c>
      <c r="I1358" t="s">
        <v>13</v>
      </c>
      <c r="J1358" t="s">
        <v>13</v>
      </c>
    </row>
    <row r="1359" spans="1:11" x14ac:dyDescent="0.35">
      <c r="A1359" t="s">
        <v>5</v>
      </c>
      <c r="B1359" t="str">
        <f>"42265"</f>
        <v>42265</v>
      </c>
      <c r="C1359" t="str">
        <f>"004"</f>
        <v>004</v>
      </c>
      <c r="D1359">
        <v>2010</v>
      </c>
      <c r="E1359" s="1">
        <v>8656300</v>
      </c>
      <c r="F1359" s="1">
        <v>7227700</v>
      </c>
      <c r="G1359" s="1" t="s">
        <v>11</v>
      </c>
      <c r="H1359" s="1" t="s">
        <v>38</v>
      </c>
      <c r="I1359" t="s">
        <v>13</v>
      </c>
      <c r="J1359" t="s">
        <v>13</v>
      </c>
    </row>
    <row r="1360" spans="1:11" x14ac:dyDescent="0.35">
      <c r="A1360" t="s">
        <v>39</v>
      </c>
      <c r="B1360" t="s">
        <v>13</v>
      </c>
      <c r="C1360" t="s">
        <v>7</v>
      </c>
      <c r="D1360" t="s">
        <v>8</v>
      </c>
      <c r="E1360" s="1">
        <v>23703700</v>
      </c>
      <c r="F1360" s="1">
        <v>8858900</v>
      </c>
      <c r="G1360" s="1" t="s">
        <v>11</v>
      </c>
      <c r="H1360" s="1">
        <v>245203000</v>
      </c>
      <c r="I1360" t="s">
        <v>13</v>
      </c>
      <c r="J1360" t="s">
        <v>13</v>
      </c>
      <c r="K1360">
        <v>3.61</v>
      </c>
    </row>
    <row r="1361" spans="1:11" x14ac:dyDescent="0.35">
      <c r="E1361" s="1"/>
      <c r="F1361" s="1"/>
      <c r="G1361" s="1"/>
      <c r="H1361" s="1"/>
    </row>
    <row r="1362" spans="1:11" x14ac:dyDescent="0.35">
      <c r="A1362" t="s">
        <v>297</v>
      </c>
      <c r="B1362" t="str">
        <f>"70265"</f>
        <v>70265</v>
      </c>
      <c r="C1362" t="str">
        <f>"007"</f>
        <v>007</v>
      </c>
      <c r="D1362">
        <v>2017</v>
      </c>
      <c r="E1362" s="1">
        <v>8524800</v>
      </c>
      <c r="F1362" s="1">
        <v>4173100</v>
      </c>
      <c r="G1362" s="1" t="s">
        <v>11</v>
      </c>
      <c r="H1362" s="1" t="s">
        <v>38</v>
      </c>
      <c r="I1362" t="s">
        <v>13</v>
      </c>
      <c r="J1362" t="s">
        <v>13</v>
      </c>
    </row>
    <row r="1363" spans="1:11" x14ac:dyDescent="0.35">
      <c r="A1363" t="s">
        <v>39</v>
      </c>
      <c r="B1363" t="s">
        <v>13</v>
      </c>
      <c r="C1363" t="s">
        <v>7</v>
      </c>
      <c r="D1363" t="s">
        <v>8</v>
      </c>
      <c r="E1363" s="1">
        <v>8524800</v>
      </c>
      <c r="F1363" s="1">
        <v>4173100</v>
      </c>
      <c r="G1363" s="1" t="s">
        <v>11</v>
      </c>
      <c r="H1363" s="1">
        <v>221956000</v>
      </c>
      <c r="I1363" t="s">
        <v>13</v>
      </c>
      <c r="J1363" t="s">
        <v>13</v>
      </c>
      <c r="K1363">
        <v>1.88</v>
      </c>
    </row>
    <row r="1364" spans="1:11" x14ac:dyDescent="0.35">
      <c r="E1364" s="1"/>
      <c r="F1364" s="1"/>
      <c r="G1364" s="1"/>
      <c r="H1364" s="1"/>
    </row>
    <row r="1365" spans="1:11" x14ac:dyDescent="0.35">
      <c r="A1365" t="s">
        <v>298</v>
      </c>
      <c r="B1365" t="str">
        <f>"32265"</f>
        <v>32265</v>
      </c>
      <c r="C1365" t="str">
        <f>"005"</f>
        <v>005</v>
      </c>
      <c r="D1365">
        <v>2019</v>
      </c>
      <c r="E1365" s="1">
        <v>12429800</v>
      </c>
      <c r="F1365" s="1">
        <v>12429800</v>
      </c>
      <c r="G1365" s="1" t="s">
        <v>11</v>
      </c>
      <c r="H1365" s="1" t="s">
        <v>38</v>
      </c>
      <c r="I1365" t="s">
        <v>13</v>
      </c>
      <c r="J1365" t="s">
        <v>13</v>
      </c>
    </row>
    <row r="1366" spans="1:11" x14ac:dyDescent="0.35">
      <c r="A1366" t="s">
        <v>5</v>
      </c>
      <c r="B1366" t="str">
        <f>"32265"</f>
        <v>32265</v>
      </c>
      <c r="C1366" t="str">
        <f>"006"</f>
        <v>006</v>
      </c>
      <c r="D1366">
        <v>2020</v>
      </c>
      <c r="E1366" s="1">
        <v>16156200</v>
      </c>
      <c r="F1366" s="1">
        <v>621100</v>
      </c>
      <c r="G1366" s="1" t="s">
        <v>11</v>
      </c>
      <c r="H1366" s="1" t="s">
        <v>38</v>
      </c>
      <c r="I1366" t="s">
        <v>13</v>
      </c>
      <c r="J1366" t="s">
        <v>13</v>
      </c>
    </row>
    <row r="1367" spans="1:11" x14ac:dyDescent="0.35">
      <c r="A1367" t="s">
        <v>39</v>
      </c>
      <c r="B1367" t="s">
        <v>13</v>
      </c>
      <c r="C1367" t="s">
        <v>7</v>
      </c>
      <c r="D1367" t="s">
        <v>8</v>
      </c>
      <c r="E1367" s="1">
        <v>28586000</v>
      </c>
      <c r="F1367" s="1">
        <v>13050900</v>
      </c>
      <c r="G1367" s="1" t="s">
        <v>11</v>
      </c>
      <c r="H1367" s="1">
        <v>2408452900</v>
      </c>
      <c r="I1367" t="s">
        <v>13</v>
      </c>
      <c r="J1367" t="s">
        <v>13</v>
      </c>
      <c r="K1367">
        <v>0.54</v>
      </c>
    </row>
    <row r="1368" spans="1:11" x14ac:dyDescent="0.35">
      <c r="E1368" s="1"/>
      <c r="F1368" s="1"/>
      <c r="G1368" s="1"/>
      <c r="H1368" s="1"/>
    </row>
    <row r="1369" spans="1:11" x14ac:dyDescent="0.35">
      <c r="A1369" t="s">
        <v>299</v>
      </c>
      <c r="B1369" t="str">
        <f>"62165"</f>
        <v>62165</v>
      </c>
      <c r="C1369" t="str">
        <f>"001"</f>
        <v>001</v>
      </c>
      <c r="D1369">
        <v>1998</v>
      </c>
      <c r="E1369" s="1">
        <v>3680900</v>
      </c>
      <c r="F1369" s="1">
        <v>3194400</v>
      </c>
      <c r="G1369" s="1" t="s">
        <v>11</v>
      </c>
      <c r="H1369" s="1" t="s">
        <v>38</v>
      </c>
      <c r="I1369" t="s">
        <v>13</v>
      </c>
      <c r="J1369" t="s">
        <v>13</v>
      </c>
    </row>
    <row r="1370" spans="1:11" x14ac:dyDescent="0.35">
      <c r="A1370" t="s">
        <v>5</v>
      </c>
      <c r="B1370" t="str">
        <f>"62165"</f>
        <v>62165</v>
      </c>
      <c r="C1370" t="str">
        <f>"002"</f>
        <v>002</v>
      </c>
      <c r="D1370">
        <v>2020</v>
      </c>
      <c r="E1370" s="1">
        <v>882300</v>
      </c>
      <c r="F1370" s="1">
        <v>214300</v>
      </c>
      <c r="G1370" s="1" t="s">
        <v>11</v>
      </c>
      <c r="H1370" s="1" t="s">
        <v>38</v>
      </c>
      <c r="I1370" t="s">
        <v>13</v>
      </c>
      <c r="J1370" t="s">
        <v>13</v>
      </c>
    </row>
    <row r="1371" spans="1:11" x14ac:dyDescent="0.35">
      <c r="A1371" t="s">
        <v>39</v>
      </c>
      <c r="B1371" t="s">
        <v>13</v>
      </c>
      <c r="C1371" t="s">
        <v>7</v>
      </c>
      <c r="D1371" t="s">
        <v>8</v>
      </c>
      <c r="E1371" s="1">
        <v>4563200</v>
      </c>
      <c r="F1371" s="1">
        <v>3408700</v>
      </c>
      <c r="G1371" s="1" t="s">
        <v>11</v>
      </c>
      <c r="H1371" s="1">
        <v>21066900</v>
      </c>
      <c r="I1371" t="s">
        <v>13</v>
      </c>
      <c r="J1371" t="s">
        <v>13</v>
      </c>
      <c r="K1371">
        <v>16.18</v>
      </c>
    </row>
    <row r="1372" spans="1:11" x14ac:dyDescent="0.35">
      <c r="E1372" s="1"/>
      <c r="F1372" s="1"/>
      <c r="G1372" s="1"/>
      <c r="H1372" s="1"/>
    </row>
    <row r="1373" spans="1:11" x14ac:dyDescent="0.35">
      <c r="A1373" t="s">
        <v>300</v>
      </c>
      <c r="B1373" t="str">
        <f>"59165"</f>
        <v>59165</v>
      </c>
      <c r="C1373" t="str">
        <f>"001"</f>
        <v>001</v>
      </c>
      <c r="D1373">
        <v>1999</v>
      </c>
      <c r="E1373" s="1">
        <v>23499000</v>
      </c>
      <c r="F1373" s="1">
        <v>23095400</v>
      </c>
      <c r="G1373" s="1" t="s">
        <v>11</v>
      </c>
      <c r="H1373" s="1" t="s">
        <v>38</v>
      </c>
      <c r="I1373" t="s">
        <v>13</v>
      </c>
      <c r="J1373" t="s">
        <v>13</v>
      </c>
    </row>
    <row r="1374" spans="1:11" x14ac:dyDescent="0.35">
      <c r="A1374" t="s">
        <v>5</v>
      </c>
      <c r="B1374" t="str">
        <f>"59165"</f>
        <v>59165</v>
      </c>
      <c r="C1374" t="str">
        <f>"002"</f>
        <v>002</v>
      </c>
      <c r="D1374">
        <v>2001</v>
      </c>
      <c r="E1374" s="1">
        <v>19042100</v>
      </c>
      <c r="F1374" s="1">
        <v>13564300</v>
      </c>
      <c r="G1374" s="1" t="s">
        <v>11</v>
      </c>
      <c r="H1374" s="1" t="s">
        <v>38</v>
      </c>
      <c r="I1374" t="s">
        <v>13</v>
      </c>
      <c r="J1374" t="s">
        <v>13</v>
      </c>
    </row>
    <row r="1375" spans="1:11" x14ac:dyDescent="0.35">
      <c r="A1375" t="s">
        <v>5</v>
      </c>
      <c r="B1375" t="str">
        <f>"59165"</f>
        <v>59165</v>
      </c>
      <c r="C1375" t="str">
        <f>"003"</f>
        <v>003</v>
      </c>
      <c r="D1375">
        <v>2017</v>
      </c>
      <c r="E1375" s="1">
        <v>18849900</v>
      </c>
      <c r="F1375" s="1">
        <v>18141800</v>
      </c>
      <c r="G1375" s="1" t="s">
        <v>11</v>
      </c>
      <c r="H1375" s="1" t="s">
        <v>38</v>
      </c>
      <c r="I1375" t="s">
        <v>13</v>
      </c>
      <c r="J1375" t="s">
        <v>13</v>
      </c>
    </row>
    <row r="1376" spans="1:11" x14ac:dyDescent="0.35">
      <c r="A1376" t="s">
        <v>39</v>
      </c>
      <c r="B1376" t="s">
        <v>13</v>
      </c>
      <c r="C1376" t="s">
        <v>7</v>
      </c>
      <c r="D1376" t="s">
        <v>8</v>
      </c>
      <c r="E1376" s="1">
        <v>61391000</v>
      </c>
      <c r="F1376" s="1">
        <v>54801500</v>
      </c>
      <c r="G1376" s="1" t="s">
        <v>11</v>
      </c>
      <c r="H1376" s="1">
        <v>283970400</v>
      </c>
      <c r="I1376" t="s">
        <v>13</v>
      </c>
      <c r="J1376" t="s">
        <v>13</v>
      </c>
      <c r="K1376">
        <v>19.3</v>
      </c>
    </row>
    <row r="1377" spans="1:11" x14ac:dyDescent="0.35">
      <c r="E1377" s="1"/>
      <c r="F1377" s="1"/>
      <c r="G1377" s="1"/>
      <c r="H1377" s="1"/>
    </row>
    <row r="1378" spans="1:11" x14ac:dyDescent="0.35">
      <c r="A1378" t="s">
        <v>301</v>
      </c>
      <c r="B1378" t="str">
        <f>"13165"</f>
        <v>13165</v>
      </c>
      <c r="C1378" t="str">
        <f>"003"</f>
        <v>003</v>
      </c>
      <c r="D1378">
        <v>2005</v>
      </c>
      <c r="E1378" s="1">
        <v>26126300</v>
      </c>
      <c r="F1378" s="1">
        <v>10245500</v>
      </c>
      <c r="G1378" s="1" t="s">
        <v>11</v>
      </c>
      <c r="H1378" s="1" t="s">
        <v>38</v>
      </c>
      <c r="I1378" t="s">
        <v>13</v>
      </c>
      <c r="J1378" t="s">
        <v>13</v>
      </c>
    </row>
    <row r="1379" spans="1:11" x14ac:dyDescent="0.35">
      <c r="A1379" t="s">
        <v>5</v>
      </c>
      <c r="B1379" t="str">
        <f>"13165"</f>
        <v>13165</v>
      </c>
      <c r="C1379" t="str">
        <f>"004"</f>
        <v>004</v>
      </c>
      <c r="D1379">
        <v>2008</v>
      </c>
      <c r="E1379" s="1">
        <v>19646500</v>
      </c>
      <c r="F1379" s="1">
        <v>6828400</v>
      </c>
      <c r="G1379" s="1" t="s">
        <v>11</v>
      </c>
      <c r="H1379" s="1" t="s">
        <v>38</v>
      </c>
      <c r="I1379" t="s">
        <v>13</v>
      </c>
      <c r="J1379" t="s">
        <v>13</v>
      </c>
    </row>
    <row r="1380" spans="1:11" x14ac:dyDescent="0.35">
      <c r="A1380" t="s">
        <v>5</v>
      </c>
      <c r="B1380" t="str">
        <f>"13165"</f>
        <v>13165</v>
      </c>
      <c r="C1380" t="str">
        <f>"005"</f>
        <v>005</v>
      </c>
      <c r="D1380">
        <v>2017</v>
      </c>
      <c r="E1380" s="1">
        <v>69931400</v>
      </c>
      <c r="F1380" s="1">
        <v>16234700</v>
      </c>
      <c r="G1380" s="1" t="s">
        <v>11</v>
      </c>
      <c r="H1380" s="1" t="s">
        <v>38</v>
      </c>
      <c r="I1380" t="s">
        <v>13</v>
      </c>
      <c r="J1380" t="s">
        <v>13</v>
      </c>
    </row>
    <row r="1381" spans="1:11" x14ac:dyDescent="0.35">
      <c r="A1381" t="s">
        <v>39</v>
      </c>
      <c r="B1381" t="s">
        <v>13</v>
      </c>
      <c r="C1381" t="s">
        <v>7</v>
      </c>
      <c r="D1381" t="s">
        <v>8</v>
      </c>
      <c r="E1381" s="1">
        <v>115704200</v>
      </c>
      <c r="F1381" s="1">
        <v>33308600</v>
      </c>
      <c r="G1381" s="1" t="s">
        <v>11</v>
      </c>
      <c r="H1381" s="1">
        <v>1411777900</v>
      </c>
      <c r="I1381" t="s">
        <v>13</v>
      </c>
      <c r="J1381" t="s">
        <v>13</v>
      </c>
      <c r="K1381">
        <v>2.36</v>
      </c>
    </row>
    <row r="1382" spans="1:11" x14ac:dyDescent="0.35">
      <c r="E1382" s="1"/>
      <c r="F1382" s="1"/>
      <c r="G1382" s="1"/>
      <c r="H1382" s="1"/>
    </row>
    <row r="1383" spans="1:11" x14ac:dyDescent="0.35">
      <c r="A1383" t="s">
        <v>302</v>
      </c>
      <c r="B1383" t="str">
        <f>"53165"</f>
        <v>53165</v>
      </c>
      <c r="C1383" t="str">
        <f>"003"</f>
        <v>003</v>
      </c>
      <c r="D1383">
        <v>2000</v>
      </c>
      <c r="E1383" s="1">
        <v>9471000</v>
      </c>
      <c r="F1383" s="1">
        <v>8958300</v>
      </c>
      <c r="G1383" s="1" t="s">
        <v>11</v>
      </c>
      <c r="H1383" s="1" t="s">
        <v>38</v>
      </c>
      <c r="I1383" t="s">
        <v>13</v>
      </c>
      <c r="J1383" t="s">
        <v>13</v>
      </c>
    </row>
    <row r="1384" spans="1:11" x14ac:dyDescent="0.35">
      <c r="A1384" t="s">
        <v>39</v>
      </c>
      <c r="B1384" t="s">
        <v>13</v>
      </c>
      <c r="C1384" t="s">
        <v>7</v>
      </c>
      <c r="D1384" t="s">
        <v>8</v>
      </c>
      <c r="E1384" s="1">
        <v>9471000</v>
      </c>
      <c r="F1384" s="1">
        <v>8958300</v>
      </c>
      <c r="G1384" s="1" t="s">
        <v>11</v>
      </c>
      <c r="H1384" s="1">
        <v>95327500</v>
      </c>
      <c r="I1384" t="s">
        <v>13</v>
      </c>
      <c r="J1384" t="s">
        <v>13</v>
      </c>
      <c r="K1384">
        <v>9.4</v>
      </c>
    </row>
    <row r="1385" spans="1:11" x14ac:dyDescent="0.35">
      <c r="E1385" s="1"/>
      <c r="F1385" s="1"/>
      <c r="G1385" s="1"/>
      <c r="H1385" s="1"/>
    </row>
    <row r="1386" spans="1:11" x14ac:dyDescent="0.35">
      <c r="A1386" t="s">
        <v>303</v>
      </c>
      <c r="B1386" t="str">
        <f>"48165"</f>
        <v>48165</v>
      </c>
      <c r="C1386" t="str">
        <f>"002"</f>
        <v>002</v>
      </c>
      <c r="D1386">
        <v>1992</v>
      </c>
      <c r="E1386" s="1">
        <v>29485300</v>
      </c>
      <c r="F1386" s="1">
        <v>25733500</v>
      </c>
      <c r="G1386" s="1" t="s">
        <v>11</v>
      </c>
      <c r="H1386" s="1" t="s">
        <v>38</v>
      </c>
      <c r="I1386" t="s">
        <v>13</v>
      </c>
      <c r="J1386" t="s">
        <v>13</v>
      </c>
    </row>
    <row r="1387" spans="1:11" x14ac:dyDescent="0.35">
      <c r="A1387" t="s">
        <v>5</v>
      </c>
      <c r="B1387" t="str">
        <f>"48165"</f>
        <v>48165</v>
      </c>
      <c r="C1387" t="str">
        <f>"003"</f>
        <v>003</v>
      </c>
      <c r="D1387">
        <v>2020</v>
      </c>
      <c r="E1387" s="1">
        <v>6789800</v>
      </c>
      <c r="F1387" s="1">
        <v>3513000</v>
      </c>
      <c r="G1387" s="1" t="s">
        <v>11</v>
      </c>
      <c r="H1387" s="1" t="s">
        <v>38</v>
      </c>
      <c r="I1387" t="s">
        <v>13</v>
      </c>
      <c r="J1387" t="s">
        <v>13</v>
      </c>
    </row>
    <row r="1388" spans="1:11" x14ac:dyDescent="0.35">
      <c r="A1388" t="s">
        <v>39</v>
      </c>
      <c r="B1388" t="s">
        <v>13</v>
      </c>
      <c r="C1388" t="s">
        <v>7</v>
      </c>
      <c r="D1388" t="s">
        <v>8</v>
      </c>
      <c r="E1388" s="1">
        <v>36275100</v>
      </c>
      <c r="F1388" s="1">
        <v>29246500</v>
      </c>
      <c r="G1388" s="1" t="s">
        <v>11</v>
      </c>
      <c r="H1388" s="1">
        <v>261336800</v>
      </c>
      <c r="I1388" t="s">
        <v>13</v>
      </c>
      <c r="J1388" t="s">
        <v>13</v>
      </c>
      <c r="K1388">
        <v>11.19</v>
      </c>
    </row>
    <row r="1389" spans="1:11" x14ac:dyDescent="0.35">
      <c r="E1389" s="1"/>
      <c r="F1389" s="1"/>
      <c r="G1389" s="1"/>
      <c r="H1389" s="1"/>
    </row>
    <row r="1390" spans="1:11" x14ac:dyDescent="0.35">
      <c r="A1390" t="s">
        <v>304</v>
      </c>
      <c r="B1390" t="str">
        <f t="shared" ref="B1390:B1416" si="31">"70266"</f>
        <v>70266</v>
      </c>
      <c r="C1390" t="str">
        <f>"012"</f>
        <v>012</v>
      </c>
      <c r="D1390">
        <v>1997</v>
      </c>
      <c r="E1390" s="1">
        <v>7208400</v>
      </c>
      <c r="F1390" s="1">
        <v>5493000</v>
      </c>
      <c r="G1390" s="1" t="s">
        <v>11</v>
      </c>
      <c r="H1390" s="1" t="s">
        <v>38</v>
      </c>
      <c r="I1390" t="s">
        <v>13</v>
      </c>
      <c r="J1390" t="s">
        <v>13</v>
      </c>
    </row>
    <row r="1391" spans="1:11" x14ac:dyDescent="0.35">
      <c r="A1391" t="s">
        <v>5</v>
      </c>
      <c r="B1391" t="str">
        <f t="shared" si="31"/>
        <v>70266</v>
      </c>
      <c r="C1391" t="str">
        <f>"013"</f>
        <v>013</v>
      </c>
      <c r="D1391">
        <v>1998</v>
      </c>
      <c r="E1391" s="1">
        <v>17754500</v>
      </c>
      <c r="F1391" s="1">
        <v>11885400</v>
      </c>
      <c r="G1391" s="1" t="s">
        <v>11</v>
      </c>
      <c r="H1391" s="1" t="s">
        <v>38</v>
      </c>
      <c r="I1391" t="s">
        <v>13</v>
      </c>
      <c r="J1391" t="s">
        <v>13</v>
      </c>
    </row>
    <row r="1392" spans="1:11" x14ac:dyDescent="0.35">
      <c r="A1392" t="s">
        <v>5</v>
      </c>
      <c r="B1392" t="str">
        <f t="shared" si="31"/>
        <v>70266</v>
      </c>
      <c r="C1392" t="str">
        <f>"014"</f>
        <v>014</v>
      </c>
      <c r="D1392">
        <v>2000</v>
      </c>
      <c r="E1392" s="1">
        <v>22975300</v>
      </c>
      <c r="F1392" s="1">
        <v>22416900</v>
      </c>
      <c r="G1392" s="1" t="s">
        <v>11</v>
      </c>
      <c r="H1392" s="1" t="s">
        <v>38</v>
      </c>
      <c r="I1392" t="s">
        <v>13</v>
      </c>
      <c r="J1392" t="s">
        <v>13</v>
      </c>
    </row>
    <row r="1393" spans="1:10" x14ac:dyDescent="0.35">
      <c r="A1393" t="s">
        <v>5</v>
      </c>
      <c r="B1393" t="str">
        <f t="shared" si="31"/>
        <v>70266</v>
      </c>
      <c r="C1393" t="str">
        <f>"015"</f>
        <v>015</v>
      </c>
      <c r="D1393">
        <v>2001</v>
      </c>
      <c r="E1393" s="1">
        <v>9159900</v>
      </c>
      <c r="F1393" s="1">
        <v>8595000</v>
      </c>
      <c r="G1393" s="1" t="s">
        <v>11</v>
      </c>
      <c r="H1393" s="1" t="s">
        <v>38</v>
      </c>
      <c r="I1393" t="s">
        <v>13</v>
      </c>
      <c r="J1393" t="s">
        <v>13</v>
      </c>
    </row>
    <row r="1394" spans="1:10" x14ac:dyDescent="0.35">
      <c r="A1394" t="s">
        <v>5</v>
      </c>
      <c r="B1394" t="str">
        <f t="shared" si="31"/>
        <v>70266</v>
      </c>
      <c r="C1394" t="str">
        <f>"016"</f>
        <v>016</v>
      </c>
      <c r="D1394">
        <v>2001</v>
      </c>
      <c r="E1394" s="1">
        <v>5692000</v>
      </c>
      <c r="F1394" s="1">
        <v>5692000</v>
      </c>
      <c r="G1394" s="1" t="s">
        <v>11</v>
      </c>
      <c r="H1394" s="1" t="s">
        <v>38</v>
      </c>
      <c r="I1394" t="s">
        <v>13</v>
      </c>
      <c r="J1394" t="s">
        <v>13</v>
      </c>
    </row>
    <row r="1395" spans="1:10" x14ac:dyDescent="0.35">
      <c r="A1395" t="s">
        <v>5</v>
      </c>
      <c r="B1395" t="str">
        <f t="shared" si="31"/>
        <v>70266</v>
      </c>
      <c r="C1395" t="str">
        <f>"017"</f>
        <v>017</v>
      </c>
      <c r="D1395">
        <v>2001</v>
      </c>
      <c r="E1395" s="1">
        <v>14169800</v>
      </c>
      <c r="F1395" s="1">
        <v>11959200</v>
      </c>
      <c r="G1395" s="1" t="s">
        <v>11</v>
      </c>
      <c r="H1395" s="1" t="s">
        <v>38</v>
      </c>
      <c r="I1395" t="s">
        <v>13</v>
      </c>
      <c r="J1395" t="s">
        <v>13</v>
      </c>
    </row>
    <row r="1396" spans="1:10" x14ac:dyDescent="0.35">
      <c r="A1396" t="s">
        <v>5</v>
      </c>
      <c r="B1396" t="str">
        <f t="shared" si="31"/>
        <v>70266</v>
      </c>
      <c r="C1396" t="str">
        <f>"018"</f>
        <v>018</v>
      </c>
      <c r="D1396">
        <v>2002</v>
      </c>
      <c r="E1396" s="1">
        <v>21501600</v>
      </c>
      <c r="F1396" s="1">
        <v>21450300</v>
      </c>
      <c r="G1396" s="1" t="s">
        <v>11</v>
      </c>
      <c r="H1396" s="1" t="s">
        <v>38</v>
      </c>
      <c r="I1396" t="s">
        <v>13</v>
      </c>
      <c r="J1396" t="s">
        <v>13</v>
      </c>
    </row>
    <row r="1397" spans="1:10" x14ac:dyDescent="0.35">
      <c r="A1397" t="s">
        <v>5</v>
      </c>
      <c r="B1397" t="str">
        <f t="shared" si="31"/>
        <v>70266</v>
      </c>
      <c r="C1397" t="str">
        <f>"019"</f>
        <v>019</v>
      </c>
      <c r="D1397">
        <v>2003</v>
      </c>
      <c r="E1397" s="1">
        <v>10627200</v>
      </c>
      <c r="F1397" s="1">
        <v>10523000</v>
      </c>
      <c r="G1397" s="1" t="s">
        <v>11</v>
      </c>
      <c r="H1397" s="1" t="s">
        <v>38</v>
      </c>
      <c r="I1397" t="s">
        <v>13</v>
      </c>
      <c r="J1397" t="s">
        <v>13</v>
      </c>
    </row>
    <row r="1398" spans="1:10" x14ac:dyDescent="0.35">
      <c r="A1398" t="s">
        <v>5</v>
      </c>
      <c r="B1398" t="str">
        <f t="shared" si="31"/>
        <v>70266</v>
      </c>
      <c r="C1398" t="str">
        <f>"020"</f>
        <v>020</v>
      </c>
      <c r="D1398">
        <v>2005</v>
      </c>
      <c r="E1398" s="1">
        <v>15821700</v>
      </c>
      <c r="F1398" s="1">
        <v>-4993800</v>
      </c>
      <c r="G1398" s="1" t="s">
        <v>48</v>
      </c>
      <c r="H1398" s="1" t="s">
        <v>38</v>
      </c>
      <c r="I1398" t="s">
        <v>13</v>
      </c>
      <c r="J1398" t="s">
        <v>13</v>
      </c>
    </row>
    <row r="1399" spans="1:10" x14ac:dyDescent="0.35">
      <c r="A1399" t="s">
        <v>5</v>
      </c>
      <c r="B1399" t="str">
        <f t="shared" si="31"/>
        <v>70266</v>
      </c>
      <c r="C1399" t="str">
        <f>"021"</f>
        <v>021</v>
      </c>
      <c r="D1399">
        <v>2006</v>
      </c>
      <c r="E1399" s="1">
        <v>21329700</v>
      </c>
      <c r="F1399" s="1">
        <v>19374800</v>
      </c>
      <c r="G1399" s="1" t="s">
        <v>11</v>
      </c>
      <c r="H1399" s="1" t="s">
        <v>38</v>
      </c>
      <c r="I1399" t="s">
        <v>13</v>
      </c>
      <c r="J1399" t="s">
        <v>13</v>
      </c>
    </row>
    <row r="1400" spans="1:10" x14ac:dyDescent="0.35">
      <c r="A1400" t="s">
        <v>5</v>
      </c>
      <c r="B1400" t="str">
        <f t="shared" si="31"/>
        <v>70266</v>
      </c>
      <c r="C1400" t="str">
        <f>"023"</f>
        <v>023</v>
      </c>
      <c r="D1400">
        <v>2009</v>
      </c>
      <c r="E1400" s="1">
        <v>1071700</v>
      </c>
      <c r="F1400" s="1">
        <v>838000</v>
      </c>
      <c r="G1400" s="1" t="s">
        <v>11</v>
      </c>
      <c r="H1400" s="1" t="s">
        <v>38</v>
      </c>
      <c r="I1400" t="s">
        <v>13</v>
      </c>
      <c r="J1400" t="s">
        <v>13</v>
      </c>
    </row>
    <row r="1401" spans="1:10" x14ac:dyDescent="0.35">
      <c r="A1401" t="s">
        <v>5</v>
      </c>
      <c r="B1401" t="str">
        <f t="shared" si="31"/>
        <v>70266</v>
      </c>
      <c r="C1401" t="str">
        <f>"024"</f>
        <v>024</v>
      </c>
      <c r="D1401">
        <v>2010</v>
      </c>
      <c r="E1401" s="1">
        <v>18379000</v>
      </c>
      <c r="F1401" s="1">
        <v>9914100</v>
      </c>
      <c r="G1401" s="1" t="s">
        <v>11</v>
      </c>
      <c r="H1401" s="1" t="s">
        <v>38</v>
      </c>
      <c r="I1401" t="s">
        <v>13</v>
      </c>
      <c r="J1401" t="s">
        <v>13</v>
      </c>
    </row>
    <row r="1402" spans="1:10" x14ac:dyDescent="0.35">
      <c r="A1402" t="s">
        <v>5</v>
      </c>
      <c r="B1402" t="str">
        <f t="shared" si="31"/>
        <v>70266</v>
      </c>
      <c r="C1402" t="str">
        <f>"025"</f>
        <v>025</v>
      </c>
      <c r="D1402">
        <v>2012</v>
      </c>
      <c r="E1402" s="1">
        <v>11859400</v>
      </c>
      <c r="F1402" s="1">
        <v>10808600</v>
      </c>
      <c r="G1402" s="1" t="s">
        <v>11</v>
      </c>
      <c r="H1402" s="1" t="s">
        <v>38</v>
      </c>
      <c r="I1402" t="s">
        <v>13</v>
      </c>
      <c r="J1402" t="s">
        <v>13</v>
      </c>
    </row>
    <row r="1403" spans="1:10" x14ac:dyDescent="0.35">
      <c r="A1403" t="s">
        <v>5</v>
      </c>
      <c r="B1403" t="str">
        <f t="shared" si="31"/>
        <v>70266</v>
      </c>
      <c r="C1403" t="str">
        <f>"026"</f>
        <v>026</v>
      </c>
      <c r="D1403">
        <v>2013</v>
      </c>
      <c r="E1403" s="1">
        <v>0</v>
      </c>
      <c r="F1403" s="1">
        <v>-29400</v>
      </c>
      <c r="G1403" s="1" t="s">
        <v>48</v>
      </c>
      <c r="H1403" s="1" t="s">
        <v>38</v>
      </c>
      <c r="I1403" t="s">
        <v>13</v>
      </c>
      <c r="J1403" t="s">
        <v>13</v>
      </c>
    </row>
    <row r="1404" spans="1:10" x14ac:dyDescent="0.35">
      <c r="A1404" t="s">
        <v>5</v>
      </c>
      <c r="B1404" t="str">
        <f t="shared" si="31"/>
        <v>70266</v>
      </c>
      <c r="C1404" t="str">
        <f>"027"</f>
        <v>027</v>
      </c>
      <c r="D1404">
        <v>2014</v>
      </c>
      <c r="E1404" s="1">
        <v>67253600</v>
      </c>
      <c r="F1404" s="1">
        <v>9023300</v>
      </c>
      <c r="G1404" s="1" t="s">
        <v>11</v>
      </c>
      <c r="H1404" s="1" t="s">
        <v>38</v>
      </c>
      <c r="I1404" t="s">
        <v>13</v>
      </c>
      <c r="J1404" t="s">
        <v>13</v>
      </c>
    </row>
    <row r="1405" spans="1:10" x14ac:dyDescent="0.35">
      <c r="A1405" t="s">
        <v>5</v>
      </c>
      <c r="B1405" t="str">
        <f t="shared" si="31"/>
        <v>70266</v>
      </c>
      <c r="C1405" t="str">
        <f>"028"</f>
        <v>028</v>
      </c>
      <c r="D1405">
        <v>2016</v>
      </c>
      <c r="E1405" s="1">
        <v>2669000</v>
      </c>
      <c r="F1405" s="1">
        <v>2093300</v>
      </c>
      <c r="G1405" s="1" t="s">
        <v>11</v>
      </c>
      <c r="H1405" s="1" t="s">
        <v>38</v>
      </c>
      <c r="I1405" t="s">
        <v>13</v>
      </c>
      <c r="J1405" t="s">
        <v>13</v>
      </c>
    </row>
    <row r="1406" spans="1:10" x14ac:dyDescent="0.35">
      <c r="A1406" t="s">
        <v>5</v>
      </c>
      <c r="B1406" t="str">
        <f t="shared" si="31"/>
        <v>70266</v>
      </c>
      <c r="C1406" t="str">
        <f>"029"</f>
        <v>029</v>
      </c>
      <c r="D1406">
        <v>2016</v>
      </c>
      <c r="E1406" s="1">
        <v>1657700</v>
      </c>
      <c r="F1406" s="1">
        <v>389600</v>
      </c>
      <c r="G1406" s="1" t="s">
        <v>11</v>
      </c>
      <c r="H1406" s="1" t="s">
        <v>38</v>
      </c>
      <c r="I1406" t="s">
        <v>13</v>
      </c>
      <c r="J1406" t="s">
        <v>13</v>
      </c>
    </row>
    <row r="1407" spans="1:10" x14ac:dyDescent="0.35">
      <c r="A1407" t="s">
        <v>5</v>
      </c>
      <c r="B1407" t="str">
        <f t="shared" si="31"/>
        <v>70266</v>
      </c>
      <c r="C1407" t="str">
        <f>"030"</f>
        <v>030</v>
      </c>
      <c r="D1407">
        <v>2016</v>
      </c>
      <c r="E1407" s="1">
        <v>2643600</v>
      </c>
      <c r="F1407" s="1">
        <v>2073100</v>
      </c>
      <c r="G1407" s="1" t="s">
        <v>11</v>
      </c>
      <c r="H1407" s="1" t="s">
        <v>38</v>
      </c>
      <c r="I1407" t="s">
        <v>13</v>
      </c>
      <c r="J1407" t="s">
        <v>13</v>
      </c>
    </row>
    <row r="1408" spans="1:10" x14ac:dyDescent="0.35">
      <c r="A1408" t="s">
        <v>5</v>
      </c>
      <c r="B1408" t="str">
        <f t="shared" si="31"/>
        <v>70266</v>
      </c>
      <c r="C1408" t="str">
        <f>"031"</f>
        <v>031</v>
      </c>
      <c r="D1408">
        <v>2017</v>
      </c>
      <c r="E1408" s="1">
        <v>21577700</v>
      </c>
      <c r="F1408" s="1">
        <v>21434100</v>
      </c>
      <c r="G1408" s="1" t="s">
        <v>11</v>
      </c>
      <c r="H1408" s="1" t="s">
        <v>38</v>
      </c>
      <c r="I1408" t="s">
        <v>13</v>
      </c>
      <c r="J1408" t="s">
        <v>13</v>
      </c>
    </row>
    <row r="1409" spans="1:11" x14ac:dyDescent="0.35">
      <c r="A1409" t="s">
        <v>5</v>
      </c>
      <c r="B1409" t="str">
        <f t="shared" si="31"/>
        <v>70266</v>
      </c>
      <c r="C1409" t="str">
        <f>"032"</f>
        <v>032</v>
      </c>
      <c r="D1409">
        <v>2017</v>
      </c>
      <c r="E1409" s="1">
        <v>699200</v>
      </c>
      <c r="F1409" s="1">
        <v>583300</v>
      </c>
      <c r="G1409" s="1" t="s">
        <v>11</v>
      </c>
      <c r="H1409" s="1" t="s">
        <v>38</v>
      </c>
      <c r="I1409" t="s">
        <v>13</v>
      </c>
      <c r="J1409" t="s">
        <v>13</v>
      </c>
    </row>
    <row r="1410" spans="1:11" x14ac:dyDescent="0.35">
      <c r="A1410" t="s">
        <v>5</v>
      </c>
      <c r="B1410" t="str">
        <f t="shared" si="31"/>
        <v>70266</v>
      </c>
      <c r="C1410" t="str">
        <f>"033"</f>
        <v>033</v>
      </c>
      <c r="D1410">
        <v>2017</v>
      </c>
      <c r="E1410" s="1">
        <v>12726700</v>
      </c>
      <c r="F1410" s="1">
        <v>11980600</v>
      </c>
      <c r="G1410" s="1" t="s">
        <v>11</v>
      </c>
      <c r="H1410" s="1" t="s">
        <v>38</v>
      </c>
      <c r="I1410" t="s">
        <v>13</v>
      </c>
      <c r="J1410" t="s">
        <v>13</v>
      </c>
    </row>
    <row r="1411" spans="1:11" x14ac:dyDescent="0.35">
      <c r="A1411" t="s">
        <v>5</v>
      </c>
      <c r="B1411" t="str">
        <f t="shared" si="31"/>
        <v>70266</v>
      </c>
      <c r="C1411" t="str">
        <f>"034"</f>
        <v>034</v>
      </c>
      <c r="D1411">
        <v>2018</v>
      </c>
      <c r="E1411" s="1">
        <v>44958000</v>
      </c>
      <c r="F1411" s="1">
        <v>44958000</v>
      </c>
      <c r="G1411" s="1" t="s">
        <v>11</v>
      </c>
      <c r="H1411" s="1" t="s">
        <v>38</v>
      </c>
      <c r="I1411" t="s">
        <v>13</v>
      </c>
      <c r="J1411" t="s">
        <v>13</v>
      </c>
    </row>
    <row r="1412" spans="1:11" x14ac:dyDescent="0.35">
      <c r="A1412" t="s">
        <v>5</v>
      </c>
      <c r="B1412" t="str">
        <f t="shared" si="31"/>
        <v>70266</v>
      </c>
      <c r="C1412" t="str">
        <f>"035"</f>
        <v>035</v>
      </c>
      <c r="D1412">
        <v>2018</v>
      </c>
      <c r="E1412" s="1">
        <v>28236600</v>
      </c>
      <c r="F1412" s="1">
        <v>12591600</v>
      </c>
      <c r="G1412" s="1" t="s">
        <v>11</v>
      </c>
      <c r="H1412" s="1" t="s">
        <v>38</v>
      </c>
      <c r="I1412" t="s">
        <v>13</v>
      </c>
      <c r="J1412" t="s">
        <v>13</v>
      </c>
    </row>
    <row r="1413" spans="1:11" x14ac:dyDescent="0.35">
      <c r="A1413" t="s">
        <v>5</v>
      </c>
      <c r="B1413" t="str">
        <f t="shared" si="31"/>
        <v>70266</v>
      </c>
      <c r="C1413" t="str">
        <f>"036"</f>
        <v>036</v>
      </c>
      <c r="D1413">
        <v>2019</v>
      </c>
      <c r="E1413" s="1">
        <v>5007700</v>
      </c>
      <c r="F1413" s="1">
        <v>5007700</v>
      </c>
      <c r="G1413" s="1" t="s">
        <v>11</v>
      </c>
      <c r="H1413" s="1" t="s">
        <v>38</v>
      </c>
      <c r="I1413" t="s">
        <v>13</v>
      </c>
      <c r="J1413" t="s">
        <v>13</v>
      </c>
    </row>
    <row r="1414" spans="1:11" x14ac:dyDescent="0.35">
      <c r="A1414" t="s">
        <v>5</v>
      </c>
      <c r="B1414" t="str">
        <f t="shared" si="31"/>
        <v>70266</v>
      </c>
      <c r="C1414" t="str">
        <f>"037"</f>
        <v>037</v>
      </c>
      <c r="D1414">
        <v>2019</v>
      </c>
      <c r="E1414" s="1">
        <v>15489900</v>
      </c>
      <c r="F1414" s="1">
        <v>8679200</v>
      </c>
      <c r="G1414" s="1" t="s">
        <v>11</v>
      </c>
      <c r="H1414" s="1" t="s">
        <v>38</v>
      </c>
      <c r="I1414" t="s">
        <v>13</v>
      </c>
      <c r="J1414" t="s">
        <v>13</v>
      </c>
    </row>
    <row r="1415" spans="1:11" x14ac:dyDescent="0.35">
      <c r="A1415" t="s">
        <v>5</v>
      </c>
      <c r="B1415" t="str">
        <f t="shared" si="31"/>
        <v>70266</v>
      </c>
      <c r="C1415" t="str">
        <f>"038"</f>
        <v>038</v>
      </c>
      <c r="D1415">
        <v>2019</v>
      </c>
      <c r="E1415" s="1">
        <v>2345400</v>
      </c>
      <c r="F1415" s="1">
        <v>168700</v>
      </c>
      <c r="G1415" s="1" t="s">
        <v>11</v>
      </c>
      <c r="H1415" s="1" t="s">
        <v>38</v>
      </c>
      <c r="I1415" t="s">
        <v>13</v>
      </c>
      <c r="J1415" t="s">
        <v>13</v>
      </c>
    </row>
    <row r="1416" spans="1:11" x14ac:dyDescent="0.35">
      <c r="A1416" t="s">
        <v>5</v>
      </c>
      <c r="B1416" t="str">
        <f t="shared" si="31"/>
        <v>70266</v>
      </c>
      <c r="C1416" t="str">
        <f>"039"</f>
        <v>039</v>
      </c>
      <c r="D1416">
        <v>2020</v>
      </c>
      <c r="E1416" s="1">
        <v>476400</v>
      </c>
      <c r="F1416" s="1">
        <v>476400</v>
      </c>
      <c r="G1416" s="1" t="s">
        <v>11</v>
      </c>
      <c r="H1416" s="1" t="s">
        <v>38</v>
      </c>
      <c r="I1416" t="s">
        <v>13</v>
      </c>
      <c r="J1416" t="s">
        <v>13</v>
      </c>
    </row>
    <row r="1417" spans="1:11" x14ac:dyDescent="0.35">
      <c r="A1417" t="s">
        <v>39</v>
      </c>
      <c r="B1417" t="s">
        <v>13</v>
      </c>
      <c r="C1417" t="s">
        <v>7</v>
      </c>
      <c r="D1417" t="s">
        <v>8</v>
      </c>
      <c r="E1417" s="1">
        <v>383291700</v>
      </c>
      <c r="F1417" s="1">
        <v>258409200</v>
      </c>
      <c r="G1417" s="1" t="s">
        <v>11</v>
      </c>
      <c r="H1417" s="1">
        <v>4821112500</v>
      </c>
      <c r="I1417" t="s">
        <v>13</v>
      </c>
      <c r="J1417" t="s">
        <v>13</v>
      </c>
      <c r="K1417">
        <v>5.36</v>
      </c>
    </row>
    <row r="1418" spans="1:11" x14ac:dyDescent="0.35">
      <c r="E1418" s="1"/>
      <c r="F1418" s="1"/>
      <c r="G1418" s="1"/>
      <c r="H1418" s="1"/>
    </row>
    <row r="1419" spans="1:11" x14ac:dyDescent="0.35">
      <c r="A1419" t="s">
        <v>305</v>
      </c>
      <c r="B1419" t="str">
        <f>"61265"</f>
        <v>61265</v>
      </c>
      <c r="C1419" t="str">
        <f>"002"</f>
        <v>002</v>
      </c>
      <c r="D1419">
        <v>1994</v>
      </c>
      <c r="E1419" s="1">
        <v>38483800</v>
      </c>
      <c r="F1419" s="1">
        <v>38125800</v>
      </c>
      <c r="G1419" s="1" t="s">
        <v>11</v>
      </c>
      <c r="H1419" s="1" t="s">
        <v>38</v>
      </c>
      <c r="I1419" t="s">
        <v>13</v>
      </c>
      <c r="J1419" t="s">
        <v>13</v>
      </c>
    </row>
    <row r="1420" spans="1:11" x14ac:dyDescent="0.35">
      <c r="A1420" t="s">
        <v>5</v>
      </c>
      <c r="B1420" t="str">
        <f>"61265"</f>
        <v>61265</v>
      </c>
      <c r="C1420" t="str">
        <f>"003"</f>
        <v>003</v>
      </c>
      <c r="D1420">
        <v>2009</v>
      </c>
      <c r="E1420" s="1">
        <v>2837200</v>
      </c>
      <c r="F1420" s="1">
        <v>366700</v>
      </c>
      <c r="G1420" s="1" t="s">
        <v>11</v>
      </c>
      <c r="H1420" s="1" t="s">
        <v>38</v>
      </c>
      <c r="I1420" t="s">
        <v>13</v>
      </c>
      <c r="J1420" t="s">
        <v>13</v>
      </c>
    </row>
    <row r="1421" spans="1:11" x14ac:dyDescent="0.35">
      <c r="A1421" t="s">
        <v>39</v>
      </c>
      <c r="B1421" t="s">
        <v>13</v>
      </c>
      <c r="C1421" t="s">
        <v>7</v>
      </c>
      <c r="D1421" t="s">
        <v>8</v>
      </c>
      <c r="E1421" s="1">
        <v>41321000</v>
      </c>
      <c r="F1421" s="1">
        <v>38492500</v>
      </c>
      <c r="G1421" s="1" t="s">
        <v>11</v>
      </c>
      <c r="H1421" s="1">
        <v>169662800</v>
      </c>
      <c r="I1421" t="s">
        <v>13</v>
      </c>
      <c r="J1421" t="s">
        <v>13</v>
      </c>
      <c r="K1421">
        <v>22.69</v>
      </c>
    </row>
    <row r="1422" spans="1:11" x14ac:dyDescent="0.35">
      <c r="E1422" s="1"/>
      <c r="F1422" s="1"/>
      <c r="G1422" s="1"/>
      <c r="H1422" s="1"/>
    </row>
    <row r="1423" spans="1:11" x14ac:dyDescent="0.35">
      <c r="A1423" t="s">
        <v>306</v>
      </c>
      <c r="B1423" t="str">
        <f>"10265"</f>
        <v>10265</v>
      </c>
      <c r="C1423" t="str">
        <f>"003"</f>
        <v>003</v>
      </c>
      <c r="D1423">
        <v>1996</v>
      </c>
      <c r="E1423" s="1">
        <v>1049200</v>
      </c>
      <c r="F1423" s="1">
        <v>1043100</v>
      </c>
      <c r="G1423" s="1" t="s">
        <v>11</v>
      </c>
      <c r="H1423" s="1" t="s">
        <v>38</v>
      </c>
      <c r="I1423" t="s">
        <v>13</v>
      </c>
      <c r="J1423" t="s">
        <v>13</v>
      </c>
    </row>
    <row r="1424" spans="1:11" x14ac:dyDescent="0.35">
      <c r="A1424" t="s">
        <v>5</v>
      </c>
      <c r="B1424" t="str">
        <f>"10265"</f>
        <v>10265</v>
      </c>
      <c r="C1424" t="str">
        <f>"004"</f>
        <v>004</v>
      </c>
      <c r="D1424">
        <v>2004</v>
      </c>
      <c r="E1424" s="1">
        <v>16765100</v>
      </c>
      <c r="F1424" s="1">
        <v>14496700</v>
      </c>
      <c r="G1424" s="1" t="s">
        <v>11</v>
      </c>
      <c r="H1424" s="1" t="s">
        <v>38</v>
      </c>
      <c r="I1424" t="s">
        <v>13</v>
      </c>
      <c r="J1424" t="s">
        <v>13</v>
      </c>
    </row>
    <row r="1425" spans="1:11" x14ac:dyDescent="0.35">
      <c r="A1425" t="s">
        <v>39</v>
      </c>
      <c r="B1425" t="s">
        <v>13</v>
      </c>
      <c r="C1425" t="s">
        <v>7</v>
      </c>
      <c r="D1425" t="s">
        <v>8</v>
      </c>
      <c r="E1425" s="1">
        <v>17814300</v>
      </c>
      <c r="F1425" s="1">
        <v>15539800</v>
      </c>
      <c r="G1425" s="1" t="s">
        <v>11</v>
      </c>
      <c r="H1425" s="1">
        <v>58173300</v>
      </c>
      <c r="I1425" t="s">
        <v>13</v>
      </c>
      <c r="J1425" t="s">
        <v>13</v>
      </c>
      <c r="K1425">
        <v>26.71</v>
      </c>
    </row>
    <row r="1426" spans="1:11" x14ac:dyDescent="0.35">
      <c r="E1426" s="1"/>
      <c r="F1426" s="1"/>
      <c r="G1426" s="1"/>
      <c r="H1426" s="1"/>
    </row>
    <row r="1427" spans="1:11" x14ac:dyDescent="0.35">
      <c r="A1427" t="s">
        <v>307</v>
      </c>
      <c r="B1427" t="str">
        <f>"30171"</f>
        <v>30171</v>
      </c>
      <c r="C1427" t="str">
        <f>"001"</f>
        <v>001</v>
      </c>
      <c r="D1427">
        <v>2012</v>
      </c>
      <c r="E1427" s="1">
        <v>16634500</v>
      </c>
      <c r="F1427" s="1">
        <v>2500800</v>
      </c>
      <c r="G1427" s="1" t="s">
        <v>11</v>
      </c>
      <c r="H1427" s="1" t="s">
        <v>38</v>
      </c>
      <c r="I1427" t="s">
        <v>13</v>
      </c>
      <c r="J1427" t="s">
        <v>13</v>
      </c>
    </row>
    <row r="1428" spans="1:11" x14ac:dyDescent="0.35">
      <c r="A1428" t="s">
        <v>5</v>
      </c>
      <c r="B1428" t="str">
        <f>"30171"</f>
        <v>30171</v>
      </c>
      <c r="C1428" t="str">
        <f>"002"</f>
        <v>002</v>
      </c>
      <c r="D1428">
        <v>2017</v>
      </c>
      <c r="E1428" s="1">
        <v>21864700</v>
      </c>
      <c r="F1428" s="1">
        <v>6939400</v>
      </c>
      <c r="G1428" s="1" t="s">
        <v>11</v>
      </c>
      <c r="H1428" s="1" t="s">
        <v>38</v>
      </c>
      <c r="I1428" t="s">
        <v>13</v>
      </c>
      <c r="J1428" t="s">
        <v>13</v>
      </c>
    </row>
    <row r="1429" spans="1:11" x14ac:dyDescent="0.35">
      <c r="A1429" t="s">
        <v>39</v>
      </c>
      <c r="B1429" t="s">
        <v>13</v>
      </c>
      <c r="C1429" t="s">
        <v>7</v>
      </c>
      <c r="D1429" t="s">
        <v>8</v>
      </c>
      <c r="E1429" s="1">
        <v>38499200</v>
      </c>
      <c r="F1429" s="1">
        <v>9440200</v>
      </c>
      <c r="G1429" s="1" t="s">
        <v>11</v>
      </c>
      <c r="H1429" s="1">
        <v>306346700</v>
      </c>
      <c r="I1429" t="s">
        <v>13</v>
      </c>
      <c r="J1429" t="s">
        <v>13</v>
      </c>
      <c r="K1429">
        <v>3.08</v>
      </c>
    </row>
    <row r="1430" spans="1:11" x14ac:dyDescent="0.35">
      <c r="E1430" s="1"/>
      <c r="F1430" s="1"/>
      <c r="G1430" s="1"/>
      <c r="H1430" s="1"/>
    </row>
    <row r="1431" spans="1:11" x14ac:dyDescent="0.35">
      <c r="A1431" t="s">
        <v>308</v>
      </c>
      <c r="B1431" t="str">
        <f>"28171"</f>
        <v>28171</v>
      </c>
      <c r="C1431" t="str">
        <f>"003"</f>
        <v>003</v>
      </c>
      <c r="D1431">
        <v>2006</v>
      </c>
      <c r="E1431" s="1">
        <v>8998000</v>
      </c>
      <c r="F1431" s="1">
        <v>8555800</v>
      </c>
      <c r="G1431" s="1" t="s">
        <v>11</v>
      </c>
      <c r="H1431" s="1" t="s">
        <v>38</v>
      </c>
      <c r="I1431" t="s">
        <v>13</v>
      </c>
      <c r="J1431" t="s">
        <v>13</v>
      </c>
    </row>
    <row r="1432" spans="1:11" x14ac:dyDescent="0.35">
      <c r="A1432" t="s">
        <v>39</v>
      </c>
      <c r="B1432" t="s">
        <v>13</v>
      </c>
      <c r="C1432" t="s">
        <v>7</v>
      </c>
      <c r="D1432" t="s">
        <v>8</v>
      </c>
      <c r="E1432" s="1">
        <v>8998000</v>
      </c>
      <c r="F1432" s="1">
        <v>8555800</v>
      </c>
      <c r="G1432" s="1" t="s">
        <v>11</v>
      </c>
      <c r="H1432" s="1">
        <v>146105400</v>
      </c>
      <c r="I1432" t="s">
        <v>13</v>
      </c>
      <c r="J1432" t="s">
        <v>13</v>
      </c>
      <c r="K1432">
        <v>5.86</v>
      </c>
    </row>
    <row r="1433" spans="1:11" x14ac:dyDescent="0.35">
      <c r="E1433" s="1"/>
      <c r="F1433" s="1"/>
      <c r="G1433" s="1"/>
      <c r="H1433" s="1"/>
    </row>
    <row r="1434" spans="1:11" x14ac:dyDescent="0.35">
      <c r="A1434" t="s">
        <v>309</v>
      </c>
      <c r="B1434" t="str">
        <f>"50271"</f>
        <v>50271</v>
      </c>
      <c r="C1434" t="str">
        <f>"003"</f>
        <v>003</v>
      </c>
      <c r="D1434">
        <v>1994</v>
      </c>
      <c r="E1434" s="1">
        <v>6954500</v>
      </c>
      <c r="F1434" s="1">
        <v>5602700</v>
      </c>
      <c r="G1434" s="1" t="s">
        <v>11</v>
      </c>
      <c r="H1434" s="1" t="s">
        <v>38</v>
      </c>
      <c r="I1434" t="s">
        <v>13</v>
      </c>
      <c r="J1434" t="s">
        <v>13</v>
      </c>
    </row>
    <row r="1435" spans="1:11" x14ac:dyDescent="0.35">
      <c r="A1435" t="s">
        <v>5</v>
      </c>
      <c r="B1435" t="str">
        <f>"50271"</f>
        <v>50271</v>
      </c>
      <c r="C1435" t="str">
        <f>"005"</f>
        <v>005</v>
      </c>
      <c r="D1435">
        <v>2019</v>
      </c>
      <c r="E1435" s="1">
        <v>14389300</v>
      </c>
      <c r="F1435" s="1">
        <v>-384700</v>
      </c>
      <c r="G1435" s="1" t="s">
        <v>48</v>
      </c>
      <c r="H1435" s="1" t="s">
        <v>38</v>
      </c>
      <c r="I1435" t="s">
        <v>13</v>
      </c>
      <c r="J1435" t="s">
        <v>13</v>
      </c>
    </row>
    <row r="1436" spans="1:11" x14ac:dyDescent="0.35">
      <c r="A1436" t="s">
        <v>39</v>
      </c>
      <c r="B1436" t="s">
        <v>13</v>
      </c>
      <c r="C1436" t="s">
        <v>7</v>
      </c>
      <c r="D1436" t="s">
        <v>8</v>
      </c>
      <c r="E1436" s="1">
        <v>21343800</v>
      </c>
      <c r="F1436" s="1">
        <v>5602700</v>
      </c>
      <c r="G1436" s="1" t="s">
        <v>11</v>
      </c>
      <c r="H1436" s="1">
        <v>116218600</v>
      </c>
      <c r="I1436" t="s">
        <v>13</v>
      </c>
      <c r="J1436" t="s">
        <v>13</v>
      </c>
      <c r="K1436">
        <v>4.82</v>
      </c>
    </row>
    <row r="1437" spans="1:11" x14ac:dyDescent="0.35">
      <c r="E1437" s="1"/>
      <c r="F1437" s="1"/>
      <c r="G1437" s="1"/>
      <c r="H1437" s="1"/>
    </row>
    <row r="1438" spans="1:11" x14ac:dyDescent="0.35">
      <c r="A1438" t="s">
        <v>310</v>
      </c>
      <c r="B1438" t="str">
        <f>"46171"</f>
        <v>46171</v>
      </c>
      <c r="C1438" t="str">
        <f>"003"</f>
        <v>003</v>
      </c>
      <c r="D1438">
        <v>2011</v>
      </c>
      <c r="E1438" s="1">
        <v>13209200</v>
      </c>
      <c r="F1438" s="1">
        <v>8388500</v>
      </c>
      <c r="G1438" s="1" t="s">
        <v>11</v>
      </c>
      <c r="H1438" s="1" t="s">
        <v>38</v>
      </c>
      <c r="I1438" t="s">
        <v>13</v>
      </c>
      <c r="J1438" t="s">
        <v>13</v>
      </c>
    </row>
    <row r="1439" spans="1:11" x14ac:dyDescent="0.35">
      <c r="A1439" t="s">
        <v>39</v>
      </c>
      <c r="B1439" t="s">
        <v>13</v>
      </c>
      <c r="C1439" t="s">
        <v>7</v>
      </c>
      <c r="D1439" t="s">
        <v>8</v>
      </c>
      <c r="E1439" s="1">
        <v>13209200</v>
      </c>
      <c r="F1439" s="1">
        <v>8388500</v>
      </c>
      <c r="G1439" s="1" t="s">
        <v>11</v>
      </c>
      <c r="H1439" s="1">
        <v>75865300</v>
      </c>
      <c r="I1439" t="s">
        <v>13</v>
      </c>
      <c r="J1439" t="s">
        <v>13</v>
      </c>
      <c r="K1439">
        <v>11.06</v>
      </c>
    </row>
    <row r="1440" spans="1:11" x14ac:dyDescent="0.35">
      <c r="E1440" s="1"/>
      <c r="F1440" s="1"/>
      <c r="G1440" s="1"/>
      <c r="H1440" s="1"/>
    </row>
    <row r="1441" spans="1:11" x14ac:dyDescent="0.35">
      <c r="A1441" t="s">
        <v>311</v>
      </c>
      <c r="B1441" t="str">
        <f>"67171"</f>
        <v>67171</v>
      </c>
      <c r="C1441" t="str">
        <f>"002"</f>
        <v>002</v>
      </c>
      <c r="D1441">
        <v>2014</v>
      </c>
      <c r="E1441" s="1">
        <v>18142000</v>
      </c>
      <c r="F1441" s="1">
        <v>9482700</v>
      </c>
      <c r="G1441" s="1" t="s">
        <v>11</v>
      </c>
      <c r="H1441" s="1" t="s">
        <v>38</v>
      </c>
      <c r="I1441" t="s">
        <v>13</v>
      </c>
      <c r="J1441" t="s">
        <v>13</v>
      </c>
    </row>
    <row r="1442" spans="1:11" x14ac:dyDescent="0.35">
      <c r="A1442" t="s">
        <v>39</v>
      </c>
      <c r="B1442" t="s">
        <v>13</v>
      </c>
      <c r="C1442" t="s">
        <v>7</v>
      </c>
      <c r="D1442" t="s">
        <v>8</v>
      </c>
      <c r="E1442" s="1">
        <v>18142000</v>
      </c>
      <c r="F1442" s="1">
        <v>9482700</v>
      </c>
      <c r="G1442" s="1" t="s">
        <v>11</v>
      </c>
      <c r="H1442" s="1">
        <v>1128782800</v>
      </c>
      <c r="I1442" t="s">
        <v>13</v>
      </c>
      <c r="J1442" t="s">
        <v>13</v>
      </c>
      <c r="K1442">
        <v>0.84</v>
      </c>
    </row>
    <row r="1443" spans="1:11" x14ac:dyDescent="0.35">
      <c r="E1443" s="1"/>
      <c r="F1443" s="1"/>
      <c r="G1443" s="1"/>
      <c r="H1443" s="1"/>
    </row>
    <row r="1444" spans="1:11" x14ac:dyDescent="0.35">
      <c r="A1444" t="s">
        <v>312</v>
      </c>
      <c r="B1444" t="str">
        <f>"50272"</f>
        <v>50272</v>
      </c>
      <c r="C1444" t="str">
        <f>"002"</f>
        <v>002</v>
      </c>
      <c r="D1444">
        <v>1995</v>
      </c>
      <c r="E1444" s="1">
        <v>149800</v>
      </c>
      <c r="F1444" s="1">
        <v>49800</v>
      </c>
      <c r="G1444" s="1" t="s">
        <v>11</v>
      </c>
      <c r="H1444" s="1" t="s">
        <v>38</v>
      </c>
      <c r="I1444" t="s">
        <v>13</v>
      </c>
      <c r="J1444" t="s">
        <v>13</v>
      </c>
    </row>
    <row r="1445" spans="1:11" x14ac:dyDescent="0.35">
      <c r="A1445" t="s">
        <v>5</v>
      </c>
      <c r="B1445" t="str">
        <f>"50272"</f>
        <v>50272</v>
      </c>
      <c r="C1445" t="str">
        <f>"003"</f>
        <v>003</v>
      </c>
      <c r="D1445">
        <v>1995</v>
      </c>
      <c r="E1445" s="1">
        <v>3906100</v>
      </c>
      <c r="F1445" s="1">
        <v>1729000</v>
      </c>
      <c r="G1445" s="1" t="s">
        <v>11</v>
      </c>
      <c r="H1445" s="1" t="s">
        <v>38</v>
      </c>
      <c r="I1445" t="s">
        <v>13</v>
      </c>
      <c r="J1445" t="s">
        <v>13</v>
      </c>
    </row>
    <row r="1446" spans="1:11" x14ac:dyDescent="0.35">
      <c r="A1446" t="s">
        <v>5</v>
      </c>
      <c r="B1446" t="str">
        <f>"50272"</f>
        <v>50272</v>
      </c>
      <c r="C1446" t="str">
        <f>"004"</f>
        <v>004</v>
      </c>
      <c r="D1446">
        <v>1995</v>
      </c>
      <c r="E1446" s="1">
        <v>15532700</v>
      </c>
      <c r="F1446" s="1">
        <v>14779200</v>
      </c>
      <c r="G1446" s="1" t="s">
        <v>11</v>
      </c>
      <c r="H1446" s="1" t="s">
        <v>38</v>
      </c>
      <c r="I1446" t="s">
        <v>13</v>
      </c>
      <c r="J1446" t="s">
        <v>13</v>
      </c>
    </row>
    <row r="1447" spans="1:11" x14ac:dyDescent="0.35">
      <c r="A1447" t="s">
        <v>39</v>
      </c>
      <c r="B1447" t="s">
        <v>13</v>
      </c>
      <c r="C1447" t="s">
        <v>7</v>
      </c>
      <c r="D1447" t="s">
        <v>8</v>
      </c>
      <c r="E1447" s="1">
        <v>19588600</v>
      </c>
      <c r="F1447" s="1">
        <v>16558000</v>
      </c>
      <c r="G1447" s="1" t="s">
        <v>11</v>
      </c>
      <c r="H1447" s="1">
        <v>98426000</v>
      </c>
      <c r="I1447" t="s">
        <v>13</v>
      </c>
      <c r="J1447" t="s">
        <v>13</v>
      </c>
      <c r="K1447">
        <v>16.82</v>
      </c>
    </row>
    <row r="1448" spans="1:11" x14ac:dyDescent="0.35">
      <c r="E1448" s="1"/>
      <c r="F1448" s="1"/>
      <c r="G1448" s="1"/>
      <c r="H1448" s="1"/>
    </row>
    <row r="1449" spans="1:11" x14ac:dyDescent="0.35">
      <c r="A1449" t="s">
        <v>313</v>
      </c>
      <c r="B1449" t="str">
        <f>"71271"</f>
        <v>71271</v>
      </c>
      <c r="C1449" t="str">
        <f>"003"</f>
        <v>003</v>
      </c>
      <c r="D1449">
        <v>1995</v>
      </c>
      <c r="E1449" s="1">
        <v>40359000</v>
      </c>
      <c r="F1449" s="1">
        <v>37817000</v>
      </c>
      <c r="G1449" s="1" t="s">
        <v>11</v>
      </c>
      <c r="H1449" s="1" t="s">
        <v>38</v>
      </c>
      <c r="I1449" t="s">
        <v>13</v>
      </c>
      <c r="J1449" t="s">
        <v>13</v>
      </c>
    </row>
    <row r="1450" spans="1:11" x14ac:dyDescent="0.35">
      <c r="A1450" t="s">
        <v>39</v>
      </c>
      <c r="B1450" t="s">
        <v>13</v>
      </c>
      <c r="C1450" t="s">
        <v>7</v>
      </c>
      <c r="D1450" t="s">
        <v>8</v>
      </c>
      <c r="E1450" s="1">
        <v>40359000</v>
      </c>
      <c r="F1450" s="1">
        <v>37817000</v>
      </c>
      <c r="G1450" s="1" t="s">
        <v>11</v>
      </c>
      <c r="H1450" s="1">
        <v>68430000</v>
      </c>
      <c r="I1450" t="s">
        <v>13</v>
      </c>
      <c r="J1450" t="s">
        <v>13</v>
      </c>
      <c r="K1450">
        <v>55.26</v>
      </c>
    </row>
    <row r="1451" spans="1:11" x14ac:dyDescent="0.35">
      <c r="E1451" s="1"/>
      <c r="F1451" s="1"/>
      <c r="G1451" s="1"/>
      <c r="H1451" s="1"/>
    </row>
    <row r="1452" spans="1:11" x14ac:dyDescent="0.35">
      <c r="A1452" t="s">
        <v>314</v>
      </c>
      <c r="B1452" t="str">
        <f>"56171"</f>
        <v>56171</v>
      </c>
      <c r="C1452" t="str">
        <f>"002"</f>
        <v>002</v>
      </c>
      <c r="D1452">
        <v>2006</v>
      </c>
      <c r="E1452" s="1">
        <v>3886000</v>
      </c>
      <c r="F1452" s="1">
        <v>3716500</v>
      </c>
      <c r="G1452" s="1" t="s">
        <v>11</v>
      </c>
      <c r="H1452" s="1" t="s">
        <v>38</v>
      </c>
      <c r="I1452" t="s">
        <v>13</v>
      </c>
      <c r="J1452" t="s">
        <v>13</v>
      </c>
    </row>
    <row r="1453" spans="1:11" x14ac:dyDescent="0.35">
      <c r="A1453" t="s">
        <v>39</v>
      </c>
      <c r="B1453" t="s">
        <v>13</v>
      </c>
      <c r="C1453" t="s">
        <v>7</v>
      </c>
      <c r="D1453" t="s">
        <v>8</v>
      </c>
      <c r="E1453" s="1">
        <v>3886000</v>
      </c>
      <c r="F1453" s="1">
        <v>3716500</v>
      </c>
      <c r="G1453" s="1" t="s">
        <v>11</v>
      </c>
      <c r="H1453" s="1">
        <v>74328500</v>
      </c>
      <c r="I1453" t="s">
        <v>13</v>
      </c>
      <c r="J1453" t="s">
        <v>13</v>
      </c>
      <c r="K1453">
        <v>5</v>
      </c>
    </row>
    <row r="1454" spans="1:11" x14ac:dyDescent="0.35">
      <c r="E1454" s="1"/>
      <c r="F1454" s="1"/>
      <c r="G1454" s="1"/>
      <c r="H1454" s="1"/>
    </row>
    <row r="1455" spans="1:11" x14ac:dyDescent="0.35">
      <c r="A1455" t="s">
        <v>315</v>
      </c>
      <c r="B1455" t="str">
        <f>"69171"</f>
        <v>69171</v>
      </c>
      <c r="C1455" t="str">
        <f>"001"</f>
        <v>001</v>
      </c>
      <c r="D1455">
        <v>2015</v>
      </c>
      <c r="E1455" s="1">
        <v>4271200</v>
      </c>
      <c r="F1455" s="1">
        <v>2318300</v>
      </c>
      <c r="G1455" s="1" t="s">
        <v>11</v>
      </c>
      <c r="H1455" s="1" t="s">
        <v>38</v>
      </c>
      <c r="I1455" t="s">
        <v>13</v>
      </c>
      <c r="J1455" t="s">
        <v>13</v>
      </c>
    </row>
    <row r="1456" spans="1:11" x14ac:dyDescent="0.35">
      <c r="A1456" t="s">
        <v>39</v>
      </c>
      <c r="B1456" t="s">
        <v>13</v>
      </c>
      <c r="C1456" t="s">
        <v>7</v>
      </c>
      <c r="D1456" t="s">
        <v>8</v>
      </c>
      <c r="E1456" s="1">
        <v>4271200</v>
      </c>
      <c r="F1456" s="1">
        <v>2318300</v>
      </c>
      <c r="G1456" s="1" t="s">
        <v>11</v>
      </c>
      <c r="H1456" s="1">
        <v>40279400</v>
      </c>
      <c r="I1456" t="s">
        <v>13</v>
      </c>
      <c r="J1456" t="s">
        <v>13</v>
      </c>
      <c r="K1456">
        <v>5.76</v>
      </c>
    </row>
    <row r="1457" spans="1:11" x14ac:dyDescent="0.35">
      <c r="E1457" s="1"/>
      <c r="F1457" s="1"/>
      <c r="G1457" s="1"/>
      <c r="H1457" s="1"/>
    </row>
    <row r="1458" spans="1:11" x14ac:dyDescent="0.35">
      <c r="A1458" t="s">
        <v>316</v>
      </c>
      <c r="B1458" t="str">
        <f>"22271"</f>
        <v>22271</v>
      </c>
      <c r="C1458" t="str">
        <f>"005"</f>
        <v>005</v>
      </c>
      <c r="D1458">
        <v>2005</v>
      </c>
      <c r="E1458" s="1">
        <v>45422900</v>
      </c>
      <c r="F1458" s="1">
        <v>45393400</v>
      </c>
      <c r="G1458" s="1" t="s">
        <v>11</v>
      </c>
      <c r="H1458" s="1" t="s">
        <v>38</v>
      </c>
      <c r="I1458" t="s">
        <v>13</v>
      </c>
      <c r="J1458" t="s">
        <v>13</v>
      </c>
    </row>
    <row r="1459" spans="1:11" x14ac:dyDescent="0.35">
      <c r="A1459" t="s">
        <v>5</v>
      </c>
      <c r="B1459" t="str">
        <f>"22271"</f>
        <v>22271</v>
      </c>
      <c r="C1459" t="str">
        <f>"006"</f>
        <v>006</v>
      </c>
      <c r="D1459">
        <v>2006</v>
      </c>
      <c r="E1459" s="1">
        <v>37354200</v>
      </c>
      <c r="F1459" s="1">
        <v>29613800</v>
      </c>
      <c r="G1459" s="1" t="s">
        <v>11</v>
      </c>
      <c r="H1459" s="1" t="s">
        <v>38</v>
      </c>
      <c r="I1459" t="s">
        <v>13</v>
      </c>
      <c r="J1459" t="s">
        <v>13</v>
      </c>
    </row>
    <row r="1460" spans="1:11" x14ac:dyDescent="0.35">
      <c r="A1460" t="s">
        <v>5</v>
      </c>
      <c r="B1460" t="str">
        <f>"22271"</f>
        <v>22271</v>
      </c>
      <c r="C1460" t="str">
        <f>"007"</f>
        <v>007</v>
      </c>
      <c r="D1460">
        <v>2006</v>
      </c>
      <c r="E1460" s="1">
        <v>51724300</v>
      </c>
      <c r="F1460" s="1">
        <v>22209300</v>
      </c>
      <c r="G1460" s="1" t="s">
        <v>11</v>
      </c>
      <c r="H1460" s="1" t="s">
        <v>38</v>
      </c>
      <c r="I1460" t="s">
        <v>13</v>
      </c>
      <c r="J1460" t="s">
        <v>13</v>
      </c>
    </row>
    <row r="1461" spans="1:11" x14ac:dyDescent="0.35">
      <c r="A1461" t="s">
        <v>39</v>
      </c>
      <c r="B1461" t="s">
        <v>13</v>
      </c>
      <c r="C1461" t="s">
        <v>7</v>
      </c>
      <c r="D1461" t="s">
        <v>8</v>
      </c>
      <c r="E1461" s="1">
        <v>134501400</v>
      </c>
      <c r="F1461" s="1">
        <v>97216500</v>
      </c>
      <c r="G1461" s="1" t="s">
        <v>11</v>
      </c>
      <c r="H1461" s="1">
        <v>761224200</v>
      </c>
      <c r="I1461" t="s">
        <v>13</v>
      </c>
      <c r="J1461" t="s">
        <v>13</v>
      </c>
      <c r="K1461">
        <v>12.77</v>
      </c>
    </row>
    <row r="1462" spans="1:11" x14ac:dyDescent="0.35">
      <c r="E1462" s="1"/>
      <c r="F1462" s="1"/>
      <c r="G1462" s="1"/>
      <c r="H1462" s="1"/>
    </row>
    <row r="1463" spans="1:11" x14ac:dyDescent="0.35">
      <c r="A1463" t="s">
        <v>317</v>
      </c>
      <c r="B1463" t="str">
        <f>"30174"</f>
        <v>30174</v>
      </c>
      <c r="C1463" t="str">
        <f>"002"</f>
        <v>002</v>
      </c>
      <c r="D1463">
        <v>1999</v>
      </c>
      <c r="E1463" s="1">
        <v>1012834800</v>
      </c>
      <c r="F1463" s="1">
        <v>928704700</v>
      </c>
      <c r="G1463" s="1" t="s">
        <v>11</v>
      </c>
      <c r="H1463" s="1" t="s">
        <v>38</v>
      </c>
      <c r="I1463" t="s">
        <v>13</v>
      </c>
      <c r="J1463" t="s">
        <v>13</v>
      </c>
    </row>
    <row r="1464" spans="1:11" x14ac:dyDescent="0.35">
      <c r="A1464" t="s">
        <v>5</v>
      </c>
      <c r="B1464" t="str">
        <f>"30174"</f>
        <v>30174</v>
      </c>
      <c r="C1464" t="str">
        <f>"004"</f>
        <v>004</v>
      </c>
      <c r="D1464">
        <v>2007</v>
      </c>
      <c r="E1464" s="1">
        <v>3242900</v>
      </c>
      <c r="F1464" s="1">
        <v>3076800</v>
      </c>
      <c r="G1464" s="1" t="s">
        <v>11</v>
      </c>
      <c r="H1464" s="1" t="s">
        <v>38</v>
      </c>
      <c r="I1464" t="s">
        <v>13</v>
      </c>
      <c r="J1464" t="s">
        <v>13</v>
      </c>
    </row>
    <row r="1465" spans="1:11" x14ac:dyDescent="0.35">
      <c r="A1465" t="s">
        <v>5</v>
      </c>
      <c r="B1465" t="str">
        <f>"30174"</f>
        <v>30174</v>
      </c>
      <c r="C1465" t="str">
        <f>"005"</f>
        <v>005</v>
      </c>
      <c r="D1465">
        <v>2017</v>
      </c>
      <c r="E1465" s="1">
        <v>189593700</v>
      </c>
      <c r="F1465" s="1">
        <v>164523800</v>
      </c>
      <c r="G1465" s="1" t="s">
        <v>11</v>
      </c>
      <c r="H1465" s="1" t="s">
        <v>38</v>
      </c>
      <c r="I1465" t="s">
        <v>13</v>
      </c>
      <c r="J1465" t="s">
        <v>13</v>
      </c>
    </row>
    <row r="1466" spans="1:11" x14ac:dyDescent="0.35">
      <c r="A1466" t="s">
        <v>5</v>
      </c>
      <c r="B1466" t="str">
        <f>"30174"</f>
        <v>30174</v>
      </c>
      <c r="C1466" t="str">
        <f>"006"</f>
        <v>006</v>
      </c>
      <c r="D1466">
        <v>2018</v>
      </c>
      <c r="E1466" s="1">
        <v>17487800</v>
      </c>
      <c r="F1466" s="1">
        <v>17398900</v>
      </c>
      <c r="G1466" s="1" t="s">
        <v>11</v>
      </c>
      <c r="H1466" s="1" t="s">
        <v>38</v>
      </c>
      <c r="I1466" t="s">
        <v>13</v>
      </c>
      <c r="J1466" t="s">
        <v>13</v>
      </c>
    </row>
    <row r="1467" spans="1:11" x14ac:dyDescent="0.35">
      <c r="A1467" t="s">
        <v>5</v>
      </c>
      <c r="B1467" t="str">
        <f>"30174"</f>
        <v>30174</v>
      </c>
      <c r="C1467" t="str">
        <f>"007"</f>
        <v>007</v>
      </c>
      <c r="D1467">
        <v>2018</v>
      </c>
      <c r="E1467" s="1">
        <v>35350800</v>
      </c>
      <c r="F1467" s="1">
        <v>34518300</v>
      </c>
      <c r="G1467" s="1" t="s">
        <v>11</v>
      </c>
      <c r="H1467" s="1" t="s">
        <v>38</v>
      </c>
      <c r="I1467" t="s">
        <v>13</v>
      </c>
      <c r="J1467" t="s">
        <v>13</v>
      </c>
    </row>
    <row r="1468" spans="1:11" x14ac:dyDescent="0.35">
      <c r="A1468" t="s">
        <v>39</v>
      </c>
      <c r="B1468" t="s">
        <v>13</v>
      </c>
      <c r="C1468" t="s">
        <v>7</v>
      </c>
      <c r="D1468" t="s">
        <v>8</v>
      </c>
      <c r="E1468" s="1">
        <v>1258510000</v>
      </c>
      <c r="F1468" s="1">
        <v>1148222500</v>
      </c>
      <c r="G1468" s="1" t="s">
        <v>11</v>
      </c>
      <c r="H1468" s="1">
        <v>4854697900</v>
      </c>
      <c r="I1468" t="s">
        <v>13</v>
      </c>
      <c r="J1468" t="s">
        <v>13</v>
      </c>
      <c r="K1468">
        <v>23.65</v>
      </c>
    </row>
    <row r="1469" spans="1:11" x14ac:dyDescent="0.35">
      <c r="E1469" s="1"/>
      <c r="F1469" s="1"/>
      <c r="G1469" s="1"/>
      <c r="H1469" s="1"/>
    </row>
    <row r="1470" spans="1:11" x14ac:dyDescent="0.35">
      <c r="A1470" t="s">
        <v>318</v>
      </c>
      <c r="B1470" t="str">
        <f>"49173"</f>
        <v>49173</v>
      </c>
      <c r="C1470" t="str">
        <f>"003"</f>
        <v>003</v>
      </c>
      <c r="D1470">
        <v>2003</v>
      </c>
      <c r="E1470" s="1">
        <v>24349400</v>
      </c>
      <c r="F1470" s="1">
        <v>23817300</v>
      </c>
      <c r="G1470" s="1" t="s">
        <v>11</v>
      </c>
      <c r="H1470" s="1" t="s">
        <v>38</v>
      </c>
      <c r="I1470" t="s">
        <v>13</v>
      </c>
      <c r="J1470" t="s">
        <v>13</v>
      </c>
    </row>
    <row r="1471" spans="1:11" x14ac:dyDescent="0.35">
      <c r="A1471" t="s">
        <v>5</v>
      </c>
      <c r="B1471" t="str">
        <f>"49173"</f>
        <v>49173</v>
      </c>
      <c r="C1471" t="str">
        <f>"004"</f>
        <v>004</v>
      </c>
      <c r="D1471">
        <v>2004</v>
      </c>
      <c r="E1471" s="1">
        <v>69987800</v>
      </c>
      <c r="F1471" s="1">
        <v>53207800</v>
      </c>
      <c r="G1471" s="1" t="s">
        <v>11</v>
      </c>
      <c r="H1471" s="1" t="s">
        <v>38</v>
      </c>
      <c r="I1471" t="s">
        <v>13</v>
      </c>
      <c r="J1471" t="s">
        <v>13</v>
      </c>
    </row>
    <row r="1472" spans="1:11" x14ac:dyDescent="0.35">
      <c r="A1472" t="s">
        <v>5</v>
      </c>
      <c r="B1472" t="str">
        <f>"49173"</f>
        <v>49173</v>
      </c>
      <c r="C1472" t="str">
        <f>"005"</f>
        <v>005</v>
      </c>
      <c r="D1472">
        <v>2005</v>
      </c>
      <c r="E1472" s="1">
        <v>47686300</v>
      </c>
      <c r="F1472" s="1">
        <v>44734800</v>
      </c>
      <c r="G1472" s="1" t="s">
        <v>11</v>
      </c>
      <c r="H1472" s="1" t="s">
        <v>38</v>
      </c>
      <c r="I1472" t="s">
        <v>13</v>
      </c>
      <c r="J1472" t="s">
        <v>13</v>
      </c>
    </row>
    <row r="1473" spans="1:11" x14ac:dyDescent="0.35">
      <c r="A1473" t="s">
        <v>5</v>
      </c>
      <c r="B1473" t="str">
        <f>"49173"</f>
        <v>49173</v>
      </c>
      <c r="C1473" t="str">
        <f>"006"</f>
        <v>006</v>
      </c>
      <c r="D1473">
        <v>2010</v>
      </c>
      <c r="E1473" s="1">
        <v>12507900</v>
      </c>
      <c r="F1473" s="1">
        <v>12504600</v>
      </c>
      <c r="G1473" s="1" t="s">
        <v>11</v>
      </c>
      <c r="H1473" s="1" t="s">
        <v>38</v>
      </c>
      <c r="I1473" t="s">
        <v>13</v>
      </c>
      <c r="J1473" t="s">
        <v>13</v>
      </c>
    </row>
    <row r="1474" spans="1:11" x14ac:dyDescent="0.35">
      <c r="A1474" t="s">
        <v>5</v>
      </c>
      <c r="B1474" t="str">
        <f>"49173"</f>
        <v>49173</v>
      </c>
      <c r="C1474" t="str">
        <f>"007"</f>
        <v>007</v>
      </c>
      <c r="D1474">
        <v>2013</v>
      </c>
      <c r="E1474" s="1">
        <v>5564500</v>
      </c>
      <c r="F1474" s="1">
        <v>2927200</v>
      </c>
      <c r="G1474" s="1" t="s">
        <v>11</v>
      </c>
      <c r="H1474" s="1" t="s">
        <v>38</v>
      </c>
      <c r="I1474" t="s">
        <v>13</v>
      </c>
      <c r="J1474" t="s">
        <v>13</v>
      </c>
    </row>
    <row r="1475" spans="1:11" x14ac:dyDescent="0.35">
      <c r="A1475" t="s">
        <v>39</v>
      </c>
      <c r="B1475" t="s">
        <v>13</v>
      </c>
      <c r="C1475" t="s">
        <v>7</v>
      </c>
      <c r="D1475" t="s">
        <v>8</v>
      </c>
      <c r="E1475" s="1">
        <v>160095900</v>
      </c>
      <c r="F1475" s="1">
        <v>137191700</v>
      </c>
      <c r="G1475" s="1" t="s">
        <v>11</v>
      </c>
      <c r="H1475" s="1">
        <v>1385745700</v>
      </c>
      <c r="I1475" t="s">
        <v>13</v>
      </c>
      <c r="J1475" t="s">
        <v>13</v>
      </c>
      <c r="K1475">
        <v>9.9</v>
      </c>
    </row>
    <row r="1476" spans="1:11" x14ac:dyDescent="0.35">
      <c r="E1476" s="1"/>
      <c r="F1476" s="1"/>
      <c r="G1476" s="1"/>
      <c r="H1476" s="1"/>
    </row>
    <row r="1477" spans="1:11" x14ac:dyDescent="0.35">
      <c r="A1477" t="s">
        <v>319</v>
      </c>
      <c r="B1477" t="str">
        <f>"59271"</f>
        <v>59271</v>
      </c>
      <c r="C1477" t="str">
        <f>"004"</f>
        <v>004</v>
      </c>
      <c r="D1477">
        <v>2001</v>
      </c>
      <c r="E1477" s="1">
        <v>161676200</v>
      </c>
      <c r="F1477" s="1">
        <v>144172900</v>
      </c>
      <c r="G1477" s="1" t="s">
        <v>11</v>
      </c>
      <c r="H1477" s="1" t="s">
        <v>38</v>
      </c>
      <c r="I1477" t="s">
        <v>13</v>
      </c>
      <c r="J1477" t="s">
        <v>13</v>
      </c>
    </row>
    <row r="1478" spans="1:11" x14ac:dyDescent="0.35">
      <c r="A1478" t="s">
        <v>5</v>
      </c>
      <c r="B1478" t="str">
        <f>"59271"</f>
        <v>59271</v>
      </c>
      <c r="C1478" t="str">
        <f>"005"</f>
        <v>005</v>
      </c>
      <c r="D1478">
        <v>2008</v>
      </c>
      <c r="E1478" s="1">
        <v>33189000</v>
      </c>
      <c r="F1478" s="1">
        <v>16588500</v>
      </c>
      <c r="G1478" s="1" t="s">
        <v>11</v>
      </c>
      <c r="H1478" s="1" t="s">
        <v>38</v>
      </c>
      <c r="I1478" t="s">
        <v>13</v>
      </c>
      <c r="J1478" t="s">
        <v>13</v>
      </c>
    </row>
    <row r="1479" spans="1:11" x14ac:dyDescent="0.35">
      <c r="A1479" t="s">
        <v>5</v>
      </c>
      <c r="B1479" t="str">
        <f>"59271"</f>
        <v>59271</v>
      </c>
      <c r="C1479" t="str">
        <f>"006"</f>
        <v>006</v>
      </c>
      <c r="D1479">
        <v>2011</v>
      </c>
      <c r="E1479" s="1">
        <v>7954700</v>
      </c>
      <c r="F1479" s="1">
        <v>7912100</v>
      </c>
      <c r="G1479" s="1" t="s">
        <v>11</v>
      </c>
      <c r="H1479" s="1" t="s">
        <v>38</v>
      </c>
      <c r="I1479" t="s">
        <v>13</v>
      </c>
      <c r="J1479" t="s">
        <v>13</v>
      </c>
    </row>
    <row r="1480" spans="1:11" x14ac:dyDescent="0.35">
      <c r="A1480" t="s">
        <v>39</v>
      </c>
      <c r="B1480" t="s">
        <v>13</v>
      </c>
      <c r="C1480" t="s">
        <v>7</v>
      </c>
      <c r="D1480" t="s">
        <v>8</v>
      </c>
      <c r="E1480" s="1">
        <v>202819900</v>
      </c>
      <c r="F1480" s="1">
        <v>168673500</v>
      </c>
      <c r="G1480" s="1" t="s">
        <v>11</v>
      </c>
      <c r="H1480" s="1">
        <v>910514600</v>
      </c>
      <c r="I1480" t="s">
        <v>13</v>
      </c>
      <c r="J1480" t="s">
        <v>13</v>
      </c>
      <c r="K1480">
        <v>18.53</v>
      </c>
    </row>
    <row r="1481" spans="1:11" x14ac:dyDescent="0.35">
      <c r="E1481" s="1"/>
      <c r="F1481" s="1"/>
      <c r="G1481" s="1"/>
      <c r="H1481" s="1"/>
    </row>
    <row r="1482" spans="1:11" x14ac:dyDescent="0.35">
      <c r="A1482" t="s">
        <v>320</v>
      </c>
      <c r="B1482" t="str">
        <f>"71171"</f>
        <v>71171</v>
      </c>
      <c r="C1482" t="str">
        <f>"002"</f>
        <v>002</v>
      </c>
      <c r="D1482">
        <v>2009</v>
      </c>
      <c r="E1482" s="1">
        <v>18757900</v>
      </c>
      <c r="F1482" s="1">
        <v>9373700</v>
      </c>
      <c r="G1482" s="1" t="s">
        <v>11</v>
      </c>
      <c r="H1482" s="1" t="s">
        <v>38</v>
      </c>
      <c r="I1482" t="s">
        <v>13</v>
      </c>
      <c r="J1482" t="s">
        <v>13</v>
      </c>
    </row>
    <row r="1483" spans="1:11" x14ac:dyDescent="0.35">
      <c r="A1483" t="s">
        <v>39</v>
      </c>
      <c r="B1483" t="s">
        <v>13</v>
      </c>
      <c r="C1483" t="s">
        <v>7</v>
      </c>
      <c r="D1483" t="s">
        <v>8</v>
      </c>
      <c r="E1483" s="1">
        <v>18757900</v>
      </c>
      <c r="F1483" s="1">
        <v>9373700</v>
      </c>
      <c r="G1483" s="1" t="s">
        <v>11</v>
      </c>
      <c r="H1483" s="1">
        <v>116730100</v>
      </c>
      <c r="I1483" t="s">
        <v>13</v>
      </c>
      <c r="J1483" t="s">
        <v>13</v>
      </c>
      <c r="K1483">
        <v>8.0299999999999994</v>
      </c>
    </row>
    <row r="1484" spans="1:11" x14ac:dyDescent="0.35">
      <c r="E1484" s="1"/>
      <c r="F1484" s="1"/>
      <c r="G1484" s="1"/>
      <c r="H1484" s="1"/>
    </row>
    <row r="1485" spans="1:11" x14ac:dyDescent="0.35">
      <c r="A1485" t="s">
        <v>321</v>
      </c>
      <c r="B1485" t="str">
        <f>"45271"</f>
        <v>45271</v>
      </c>
      <c r="C1485" t="str">
        <f>"002"</f>
        <v>002</v>
      </c>
      <c r="D1485">
        <v>2010</v>
      </c>
      <c r="E1485" s="1">
        <v>38270200</v>
      </c>
      <c r="F1485" s="1">
        <v>23482400</v>
      </c>
      <c r="G1485" s="1" t="s">
        <v>11</v>
      </c>
      <c r="H1485" s="1" t="s">
        <v>38</v>
      </c>
      <c r="I1485" t="s">
        <v>13</v>
      </c>
      <c r="J1485" t="s">
        <v>13</v>
      </c>
    </row>
    <row r="1486" spans="1:11" x14ac:dyDescent="0.35">
      <c r="A1486" t="s">
        <v>5</v>
      </c>
      <c r="B1486" t="str">
        <f>"45271"</f>
        <v>45271</v>
      </c>
      <c r="C1486" t="str">
        <f>"003"</f>
        <v>003</v>
      </c>
      <c r="D1486">
        <v>2015</v>
      </c>
      <c r="E1486" s="1">
        <v>11473000</v>
      </c>
      <c r="F1486" s="1">
        <v>2600300</v>
      </c>
      <c r="G1486" s="1" t="s">
        <v>11</v>
      </c>
      <c r="H1486" s="1" t="s">
        <v>38</v>
      </c>
      <c r="I1486" t="s">
        <v>13</v>
      </c>
      <c r="J1486" t="s">
        <v>13</v>
      </c>
    </row>
    <row r="1487" spans="1:11" x14ac:dyDescent="0.35">
      <c r="A1487" t="s">
        <v>5</v>
      </c>
      <c r="B1487" t="str">
        <f>"45271"</f>
        <v>45271</v>
      </c>
      <c r="C1487" t="str">
        <f>"004"</f>
        <v>004</v>
      </c>
      <c r="D1487">
        <v>2020</v>
      </c>
      <c r="E1487" s="1">
        <v>2751200</v>
      </c>
      <c r="F1487" s="1">
        <v>2751200</v>
      </c>
      <c r="G1487" s="1" t="s">
        <v>11</v>
      </c>
      <c r="H1487" s="1" t="s">
        <v>38</v>
      </c>
      <c r="I1487" t="s">
        <v>13</v>
      </c>
      <c r="J1487" t="s">
        <v>13</v>
      </c>
    </row>
    <row r="1488" spans="1:11" x14ac:dyDescent="0.35">
      <c r="A1488" t="s">
        <v>39</v>
      </c>
      <c r="B1488" t="s">
        <v>13</v>
      </c>
      <c r="C1488" t="s">
        <v>7</v>
      </c>
      <c r="D1488" t="s">
        <v>8</v>
      </c>
      <c r="E1488" s="1">
        <v>52494400</v>
      </c>
      <c r="F1488" s="1">
        <v>28833900</v>
      </c>
      <c r="G1488" s="1" t="s">
        <v>11</v>
      </c>
      <c r="H1488" s="1">
        <v>1290473800</v>
      </c>
      <c r="I1488" t="s">
        <v>13</v>
      </c>
      <c r="J1488" t="s">
        <v>13</v>
      </c>
      <c r="K1488">
        <v>2.23</v>
      </c>
    </row>
    <row r="1489" spans="1:11" x14ac:dyDescent="0.35">
      <c r="E1489" s="1"/>
      <c r="F1489" s="1"/>
      <c r="G1489" s="1"/>
      <c r="H1489" s="1"/>
    </row>
    <row r="1490" spans="1:11" x14ac:dyDescent="0.35">
      <c r="A1490" t="s">
        <v>322</v>
      </c>
      <c r="B1490" t="str">
        <f t="shared" ref="B1490:B1496" si="32">"11271"</f>
        <v>11271</v>
      </c>
      <c r="C1490" t="str">
        <f>"004"</f>
        <v>004</v>
      </c>
      <c r="D1490">
        <v>2003</v>
      </c>
      <c r="E1490" s="1">
        <v>2841700</v>
      </c>
      <c r="F1490" s="1">
        <v>2629800</v>
      </c>
      <c r="G1490" s="1" t="s">
        <v>11</v>
      </c>
      <c r="H1490" s="1" t="s">
        <v>38</v>
      </c>
      <c r="I1490" t="s">
        <v>13</v>
      </c>
      <c r="J1490" t="s">
        <v>13</v>
      </c>
    </row>
    <row r="1491" spans="1:11" x14ac:dyDescent="0.35">
      <c r="A1491" t="s">
        <v>5</v>
      </c>
      <c r="B1491" t="str">
        <f t="shared" si="32"/>
        <v>11271</v>
      </c>
      <c r="C1491" t="str">
        <f>"005"</f>
        <v>005</v>
      </c>
      <c r="D1491">
        <v>2004</v>
      </c>
      <c r="E1491" s="1">
        <v>5870200</v>
      </c>
      <c r="F1491" s="1">
        <v>4608700</v>
      </c>
      <c r="G1491" s="1" t="s">
        <v>11</v>
      </c>
      <c r="H1491" s="1" t="s">
        <v>38</v>
      </c>
      <c r="I1491" t="s">
        <v>13</v>
      </c>
      <c r="J1491" t="s">
        <v>13</v>
      </c>
    </row>
    <row r="1492" spans="1:11" x14ac:dyDescent="0.35">
      <c r="A1492" t="s">
        <v>5</v>
      </c>
      <c r="B1492" t="str">
        <f t="shared" si="32"/>
        <v>11271</v>
      </c>
      <c r="C1492" t="str">
        <f>"006"</f>
        <v>006</v>
      </c>
      <c r="D1492">
        <v>2008</v>
      </c>
      <c r="E1492" s="1">
        <v>13265400</v>
      </c>
      <c r="F1492" s="1">
        <v>-520100</v>
      </c>
      <c r="G1492" s="1" t="s">
        <v>48</v>
      </c>
      <c r="H1492" s="1" t="s">
        <v>38</v>
      </c>
      <c r="I1492" t="s">
        <v>13</v>
      </c>
      <c r="J1492" t="s">
        <v>13</v>
      </c>
    </row>
    <row r="1493" spans="1:11" x14ac:dyDescent="0.35">
      <c r="A1493" t="s">
        <v>5</v>
      </c>
      <c r="B1493" t="str">
        <f t="shared" si="32"/>
        <v>11271</v>
      </c>
      <c r="C1493" t="str">
        <f>"007"</f>
        <v>007</v>
      </c>
      <c r="D1493">
        <v>2010</v>
      </c>
      <c r="E1493" s="1">
        <v>24108600</v>
      </c>
      <c r="F1493" s="1">
        <v>3519000</v>
      </c>
      <c r="G1493" s="1" t="s">
        <v>11</v>
      </c>
      <c r="H1493" s="1" t="s">
        <v>38</v>
      </c>
      <c r="I1493" t="s">
        <v>13</v>
      </c>
      <c r="J1493" t="s">
        <v>13</v>
      </c>
    </row>
    <row r="1494" spans="1:11" x14ac:dyDescent="0.35">
      <c r="A1494" t="s">
        <v>5</v>
      </c>
      <c r="B1494" t="str">
        <f t="shared" si="32"/>
        <v>11271</v>
      </c>
      <c r="C1494" t="str">
        <f>"008"</f>
        <v>008</v>
      </c>
      <c r="D1494">
        <v>2014</v>
      </c>
      <c r="E1494" s="1">
        <v>3159300</v>
      </c>
      <c r="F1494" s="1">
        <v>2504900</v>
      </c>
      <c r="G1494" s="1" t="s">
        <v>11</v>
      </c>
      <c r="H1494" s="1" t="s">
        <v>38</v>
      </c>
      <c r="I1494" t="s">
        <v>13</v>
      </c>
      <c r="J1494" t="s">
        <v>13</v>
      </c>
    </row>
    <row r="1495" spans="1:11" x14ac:dyDescent="0.35">
      <c r="A1495" t="s">
        <v>5</v>
      </c>
      <c r="B1495" t="str">
        <f t="shared" si="32"/>
        <v>11271</v>
      </c>
      <c r="C1495" t="str">
        <f>"009"</f>
        <v>009</v>
      </c>
      <c r="D1495">
        <v>2017</v>
      </c>
      <c r="E1495" s="1">
        <v>28500</v>
      </c>
      <c r="F1495" s="1">
        <v>-200</v>
      </c>
      <c r="G1495" s="1" t="s">
        <v>48</v>
      </c>
      <c r="H1495" s="1" t="s">
        <v>38</v>
      </c>
      <c r="I1495" t="s">
        <v>13</v>
      </c>
      <c r="J1495" t="s">
        <v>13</v>
      </c>
    </row>
    <row r="1496" spans="1:11" x14ac:dyDescent="0.35">
      <c r="A1496" t="s">
        <v>5</v>
      </c>
      <c r="B1496" t="str">
        <f t="shared" si="32"/>
        <v>11271</v>
      </c>
      <c r="C1496" t="str">
        <f>"010"</f>
        <v>010</v>
      </c>
      <c r="D1496">
        <v>2019</v>
      </c>
      <c r="E1496" s="1">
        <v>1974300</v>
      </c>
      <c r="F1496" s="1">
        <v>1064200</v>
      </c>
      <c r="G1496" s="1" t="s">
        <v>11</v>
      </c>
      <c r="H1496" s="1" t="s">
        <v>38</v>
      </c>
      <c r="I1496" t="s">
        <v>13</v>
      </c>
      <c r="J1496" t="s">
        <v>13</v>
      </c>
    </row>
    <row r="1497" spans="1:11" x14ac:dyDescent="0.35">
      <c r="A1497" t="s">
        <v>39</v>
      </c>
      <c r="B1497" t="s">
        <v>13</v>
      </c>
      <c r="C1497" t="s">
        <v>7</v>
      </c>
      <c r="D1497" t="s">
        <v>8</v>
      </c>
      <c r="E1497" s="1">
        <v>51248000</v>
      </c>
      <c r="F1497" s="1">
        <v>14326600</v>
      </c>
      <c r="G1497" s="1" t="s">
        <v>11</v>
      </c>
      <c r="H1497" s="1">
        <v>752147300</v>
      </c>
      <c r="I1497" t="s">
        <v>13</v>
      </c>
      <c r="J1497" t="s">
        <v>13</v>
      </c>
      <c r="K1497">
        <v>1.9</v>
      </c>
    </row>
    <row r="1498" spans="1:11" x14ac:dyDescent="0.35">
      <c r="E1498" s="1"/>
      <c r="F1498" s="1"/>
      <c r="G1498" s="1"/>
      <c r="H1498" s="1"/>
    </row>
    <row r="1499" spans="1:11" x14ac:dyDescent="0.35">
      <c r="A1499" t="s">
        <v>323</v>
      </c>
      <c r="B1499" t="str">
        <f>"38171"</f>
        <v>38171</v>
      </c>
      <c r="C1499" t="str">
        <f>"001"</f>
        <v>001</v>
      </c>
      <c r="D1499">
        <v>2015</v>
      </c>
      <c r="E1499" s="1">
        <v>571300</v>
      </c>
      <c r="F1499" s="1">
        <v>567200</v>
      </c>
      <c r="G1499" s="1" t="s">
        <v>11</v>
      </c>
      <c r="H1499" s="1" t="s">
        <v>38</v>
      </c>
      <c r="I1499" t="s">
        <v>13</v>
      </c>
      <c r="J1499" t="s">
        <v>13</v>
      </c>
    </row>
    <row r="1500" spans="1:11" x14ac:dyDescent="0.35">
      <c r="A1500" t="s">
        <v>39</v>
      </c>
      <c r="B1500" t="s">
        <v>13</v>
      </c>
      <c r="C1500" t="s">
        <v>7</v>
      </c>
      <c r="D1500" t="s">
        <v>8</v>
      </c>
      <c r="E1500" s="1">
        <v>571300</v>
      </c>
      <c r="F1500" s="1">
        <v>567200</v>
      </c>
      <c r="G1500" s="1" t="s">
        <v>11</v>
      </c>
      <c r="H1500" s="1">
        <v>15402100</v>
      </c>
      <c r="I1500" t="s">
        <v>13</v>
      </c>
      <c r="J1500" t="s">
        <v>13</v>
      </c>
      <c r="K1500">
        <v>3.68</v>
      </c>
    </row>
    <row r="1501" spans="1:11" x14ac:dyDescent="0.35">
      <c r="E1501" s="1"/>
      <c r="F1501" s="1"/>
      <c r="G1501" s="1"/>
      <c r="H1501" s="1"/>
    </row>
    <row r="1502" spans="1:11" x14ac:dyDescent="0.35">
      <c r="A1502" t="s">
        <v>324</v>
      </c>
      <c r="B1502" t="str">
        <f>"12271"</f>
        <v>12271</v>
      </c>
      <c r="C1502" t="str">
        <f>"005"</f>
        <v>005</v>
      </c>
      <c r="D1502">
        <v>1994</v>
      </c>
      <c r="E1502" s="1">
        <v>11157000</v>
      </c>
      <c r="F1502" s="1">
        <v>10908200</v>
      </c>
      <c r="G1502" s="1" t="s">
        <v>11</v>
      </c>
      <c r="H1502" s="1" t="s">
        <v>38</v>
      </c>
      <c r="I1502" t="s">
        <v>13</v>
      </c>
      <c r="J1502" t="s">
        <v>13</v>
      </c>
    </row>
    <row r="1503" spans="1:11" x14ac:dyDescent="0.35">
      <c r="A1503" t="s">
        <v>39</v>
      </c>
      <c r="B1503" t="s">
        <v>13</v>
      </c>
      <c r="C1503" t="s">
        <v>7</v>
      </c>
      <c r="D1503" t="s">
        <v>8</v>
      </c>
      <c r="E1503" s="1">
        <v>11157000</v>
      </c>
      <c r="F1503" s="1">
        <v>10908200</v>
      </c>
      <c r="G1503" s="1" t="s">
        <v>11</v>
      </c>
      <c r="H1503" s="1">
        <v>425727900</v>
      </c>
      <c r="I1503" t="s">
        <v>13</v>
      </c>
      <c r="J1503" t="s">
        <v>13</v>
      </c>
      <c r="K1503">
        <v>2.56</v>
      </c>
    </row>
    <row r="1504" spans="1:11" x14ac:dyDescent="0.35">
      <c r="E1504" s="1"/>
      <c r="F1504" s="1"/>
      <c r="G1504" s="1"/>
      <c r="H1504" s="1"/>
    </row>
    <row r="1505" spans="1:11" x14ac:dyDescent="0.35">
      <c r="A1505" t="s">
        <v>325</v>
      </c>
      <c r="B1505" t="str">
        <f>"56172"</f>
        <v>56172</v>
      </c>
      <c r="C1505" t="str">
        <f>"004"</f>
        <v>004</v>
      </c>
      <c r="D1505">
        <v>2008</v>
      </c>
      <c r="E1505" s="1">
        <v>18885600</v>
      </c>
      <c r="F1505" s="1">
        <v>18402300</v>
      </c>
      <c r="G1505" s="1" t="s">
        <v>11</v>
      </c>
      <c r="H1505" s="1" t="s">
        <v>38</v>
      </c>
      <c r="I1505" t="s">
        <v>13</v>
      </c>
      <c r="J1505" t="s">
        <v>13</v>
      </c>
    </row>
    <row r="1506" spans="1:11" x14ac:dyDescent="0.35">
      <c r="A1506" t="s">
        <v>5</v>
      </c>
      <c r="B1506" t="str">
        <f>"56172"</f>
        <v>56172</v>
      </c>
      <c r="C1506" t="str">
        <f>"005"</f>
        <v>005</v>
      </c>
      <c r="D1506">
        <v>2018</v>
      </c>
      <c r="E1506" s="1">
        <v>3990600</v>
      </c>
      <c r="F1506" s="1">
        <v>3848400</v>
      </c>
      <c r="G1506" s="1" t="s">
        <v>11</v>
      </c>
      <c r="H1506" s="1" t="s">
        <v>38</v>
      </c>
      <c r="I1506" t="s">
        <v>13</v>
      </c>
      <c r="J1506" t="s">
        <v>13</v>
      </c>
    </row>
    <row r="1507" spans="1:11" x14ac:dyDescent="0.35">
      <c r="A1507" t="s">
        <v>5</v>
      </c>
      <c r="B1507" t="str">
        <f>"56172"</f>
        <v>56172</v>
      </c>
      <c r="C1507" t="str">
        <f>"006"</f>
        <v>006</v>
      </c>
      <c r="D1507">
        <v>2018</v>
      </c>
      <c r="E1507" s="1">
        <v>15694500</v>
      </c>
      <c r="F1507" s="1">
        <v>4823500</v>
      </c>
      <c r="G1507" s="1" t="s">
        <v>11</v>
      </c>
      <c r="H1507" s="1" t="s">
        <v>38</v>
      </c>
      <c r="I1507" t="s">
        <v>13</v>
      </c>
      <c r="J1507" t="s">
        <v>13</v>
      </c>
    </row>
    <row r="1508" spans="1:11" x14ac:dyDescent="0.35">
      <c r="A1508" t="s">
        <v>39</v>
      </c>
      <c r="B1508" t="s">
        <v>13</v>
      </c>
      <c r="C1508" t="s">
        <v>7</v>
      </c>
      <c r="D1508" t="s">
        <v>8</v>
      </c>
      <c r="E1508" s="1">
        <v>38570700</v>
      </c>
      <c r="F1508" s="1">
        <v>27074200</v>
      </c>
      <c r="G1508" s="1" t="s">
        <v>11</v>
      </c>
      <c r="H1508" s="1">
        <v>524103000</v>
      </c>
      <c r="I1508" t="s">
        <v>13</v>
      </c>
      <c r="J1508" t="s">
        <v>13</v>
      </c>
      <c r="K1508">
        <v>5.17</v>
      </c>
    </row>
    <row r="1509" spans="1:11" x14ac:dyDescent="0.35">
      <c r="E1509" s="1"/>
      <c r="F1509" s="1"/>
      <c r="G1509" s="1"/>
      <c r="H1509" s="1"/>
    </row>
    <row r="1510" spans="1:11" x14ac:dyDescent="0.35">
      <c r="A1510" t="s">
        <v>326</v>
      </c>
      <c r="B1510" t="str">
        <f>"03171"</f>
        <v>03171</v>
      </c>
      <c r="C1510" t="str">
        <f>"001"</f>
        <v>001</v>
      </c>
      <c r="D1510">
        <v>2002</v>
      </c>
      <c r="E1510" s="1">
        <v>5387000</v>
      </c>
      <c r="F1510" s="1">
        <v>2128600</v>
      </c>
      <c r="G1510" s="1" t="s">
        <v>11</v>
      </c>
      <c r="H1510" s="1" t="s">
        <v>38</v>
      </c>
      <c r="I1510" t="s">
        <v>13</v>
      </c>
      <c r="J1510" t="s">
        <v>13</v>
      </c>
    </row>
    <row r="1511" spans="1:11" x14ac:dyDescent="0.35">
      <c r="A1511" t="s">
        <v>39</v>
      </c>
      <c r="B1511" t="s">
        <v>13</v>
      </c>
      <c r="C1511" t="s">
        <v>7</v>
      </c>
      <c r="D1511" t="s">
        <v>8</v>
      </c>
      <c r="E1511" s="1">
        <v>5387000</v>
      </c>
      <c r="F1511" s="1">
        <v>2128600</v>
      </c>
      <c r="G1511" s="1" t="s">
        <v>11</v>
      </c>
      <c r="H1511" s="1">
        <v>24092400</v>
      </c>
      <c r="I1511" t="s">
        <v>13</v>
      </c>
      <c r="J1511" t="s">
        <v>13</v>
      </c>
      <c r="K1511">
        <v>8.84</v>
      </c>
    </row>
    <row r="1512" spans="1:11" x14ac:dyDescent="0.35">
      <c r="E1512" s="1"/>
      <c r="F1512" s="1"/>
      <c r="G1512" s="1"/>
      <c r="H1512" s="1"/>
    </row>
    <row r="1513" spans="1:11" x14ac:dyDescent="0.35">
      <c r="A1513" t="s">
        <v>327</v>
      </c>
      <c r="B1513" t="str">
        <f>"50171"</f>
        <v>50171</v>
      </c>
      <c r="C1513" t="str">
        <f>"003"</f>
        <v>003</v>
      </c>
      <c r="D1513">
        <v>2011</v>
      </c>
      <c r="E1513" s="1">
        <v>87300</v>
      </c>
      <c r="F1513" s="1">
        <v>25300</v>
      </c>
      <c r="G1513" s="1" t="s">
        <v>11</v>
      </c>
      <c r="H1513" s="1" t="s">
        <v>38</v>
      </c>
      <c r="I1513" t="s">
        <v>13</v>
      </c>
      <c r="J1513" t="s">
        <v>13</v>
      </c>
    </row>
    <row r="1514" spans="1:11" x14ac:dyDescent="0.35">
      <c r="A1514" t="s">
        <v>39</v>
      </c>
      <c r="B1514" t="s">
        <v>13</v>
      </c>
      <c r="C1514" t="s">
        <v>7</v>
      </c>
      <c r="D1514" t="s">
        <v>8</v>
      </c>
      <c r="E1514" s="1">
        <v>87300</v>
      </c>
      <c r="F1514" s="1">
        <v>25300</v>
      </c>
      <c r="G1514" s="1" t="s">
        <v>11</v>
      </c>
      <c r="H1514" s="1">
        <v>30463700</v>
      </c>
      <c r="I1514" t="s">
        <v>13</v>
      </c>
      <c r="J1514" t="s">
        <v>13</v>
      </c>
      <c r="K1514">
        <v>0.08</v>
      </c>
    </row>
    <row r="1515" spans="1:11" x14ac:dyDescent="0.35">
      <c r="E1515" s="1"/>
      <c r="F1515" s="1"/>
      <c r="G1515" s="1"/>
      <c r="H1515" s="1"/>
    </row>
    <row r="1516" spans="1:11" x14ac:dyDescent="0.35">
      <c r="A1516" t="s">
        <v>328</v>
      </c>
      <c r="B1516" t="str">
        <f>"47271"</f>
        <v>47271</v>
      </c>
      <c r="C1516" t="str">
        <f>"004"</f>
        <v>004</v>
      </c>
      <c r="D1516">
        <v>2003</v>
      </c>
      <c r="E1516" s="1">
        <v>27065300</v>
      </c>
      <c r="F1516" s="1">
        <v>17484000</v>
      </c>
      <c r="G1516" s="1" t="s">
        <v>11</v>
      </c>
      <c r="H1516" s="1" t="s">
        <v>38</v>
      </c>
      <c r="I1516" t="s">
        <v>13</v>
      </c>
      <c r="J1516" t="s">
        <v>13</v>
      </c>
    </row>
    <row r="1517" spans="1:11" x14ac:dyDescent="0.35">
      <c r="A1517" t="s">
        <v>5</v>
      </c>
      <c r="B1517" t="str">
        <f>"47271"</f>
        <v>47271</v>
      </c>
      <c r="C1517" t="str">
        <f>"005"</f>
        <v>005</v>
      </c>
      <c r="D1517">
        <v>2006</v>
      </c>
      <c r="E1517" s="1">
        <v>45998000</v>
      </c>
      <c r="F1517" s="1">
        <v>43272200</v>
      </c>
      <c r="G1517" s="1" t="s">
        <v>11</v>
      </c>
      <c r="H1517" s="1" t="s">
        <v>38</v>
      </c>
      <c r="I1517" t="s">
        <v>13</v>
      </c>
      <c r="J1517" t="s">
        <v>13</v>
      </c>
    </row>
    <row r="1518" spans="1:11" x14ac:dyDescent="0.35">
      <c r="A1518" t="s">
        <v>39</v>
      </c>
      <c r="B1518" t="s">
        <v>13</v>
      </c>
      <c r="C1518" t="s">
        <v>7</v>
      </c>
      <c r="D1518" t="s">
        <v>8</v>
      </c>
      <c r="E1518" s="1">
        <v>73063300</v>
      </c>
      <c r="F1518" s="1">
        <v>60756200</v>
      </c>
      <c r="G1518" s="1" t="s">
        <v>11</v>
      </c>
      <c r="H1518" s="1">
        <v>428610500</v>
      </c>
      <c r="I1518" t="s">
        <v>13</v>
      </c>
      <c r="J1518" t="s">
        <v>13</v>
      </c>
      <c r="K1518">
        <v>14.18</v>
      </c>
    </row>
    <row r="1519" spans="1:11" x14ac:dyDescent="0.35">
      <c r="E1519" s="1"/>
      <c r="F1519" s="1"/>
      <c r="G1519" s="1"/>
      <c r="H1519" s="1"/>
    </row>
    <row r="1520" spans="1:11" x14ac:dyDescent="0.35">
      <c r="A1520" t="s">
        <v>329</v>
      </c>
      <c r="B1520" t="str">
        <f>"24271"</f>
        <v>24271</v>
      </c>
      <c r="C1520" t="str">
        <f>"002"</f>
        <v>002</v>
      </c>
      <c r="D1520">
        <v>2001</v>
      </c>
      <c r="E1520" s="1">
        <v>8281700</v>
      </c>
      <c r="F1520" s="1">
        <v>3171100</v>
      </c>
      <c r="G1520" s="1" t="s">
        <v>11</v>
      </c>
      <c r="H1520" s="1" t="s">
        <v>38</v>
      </c>
      <c r="I1520" t="s">
        <v>13</v>
      </c>
      <c r="J1520" t="s">
        <v>13</v>
      </c>
    </row>
    <row r="1521" spans="1:11" x14ac:dyDescent="0.35">
      <c r="A1521" t="s">
        <v>39</v>
      </c>
      <c r="B1521" t="s">
        <v>13</v>
      </c>
      <c r="C1521" t="s">
        <v>7</v>
      </c>
      <c r="D1521" t="s">
        <v>8</v>
      </c>
      <c r="E1521" s="1">
        <v>8281700</v>
      </c>
      <c r="F1521" s="1">
        <v>3171100</v>
      </c>
      <c r="G1521" s="1" t="s">
        <v>11</v>
      </c>
      <c r="H1521" s="1">
        <v>58142300</v>
      </c>
      <c r="I1521" t="s">
        <v>13</v>
      </c>
      <c r="J1521" t="s">
        <v>13</v>
      </c>
      <c r="K1521">
        <v>5.45</v>
      </c>
    </row>
    <row r="1522" spans="1:11" x14ac:dyDescent="0.35">
      <c r="E1522" s="1"/>
      <c r="F1522" s="1"/>
      <c r="G1522" s="1"/>
      <c r="H1522" s="1"/>
    </row>
    <row r="1523" spans="1:11" x14ac:dyDescent="0.35">
      <c r="A1523" t="s">
        <v>330</v>
      </c>
      <c r="B1523" t="str">
        <f>"05171"</f>
        <v>05171</v>
      </c>
      <c r="C1523" t="str">
        <f>"002"</f>
        <v>002</v>
      </c>
      <c r="D1523">
        <v>2005</v>
      </c>
      <c r="E1523" s="1">
        <v>23163400</v>
      </c>
      <c r="F1523" s="1">
        <v>12802300</v>
      </c>
      <c r="G1523" s="1" t="s">
        <v>11</v>
      </c>
      <c r="H1523" s="1" t="s">
        <v>38</v>
      </c>
      <c r="I1523" t="s">
        <v>13</v>
      </c>
      <c r="J1523" t="s">
        <v>13</v>
      </c>
    </row>
    <row r="1524" spans="1:11" x14ac:dyDescent="0.35">
      <c r="A1524" t="s">
        <v>5</v>
      </c>
      <c r="B1524" t="str">
        <f>"05171"</f>
        <v>05171</v>
      </c>
      <c r="C1524" t="str">
        <f>"003"</f>
        <v>003</v>
      </c>
      <c r="D1524">
        <v>2014</v>
      </c>
      <c r="E1524" s="1">
        <v>6087700</v>
      </c>
      <c r="F1524" s="1">
        <v>87700</v>
      </c>
      <c r="G1524" s="1" t="s">
        <v>11</v>
      </c>
      <c r="H1524" s="1" t="s">
        <v>38</v>
      </c>
      <c r="I1524" t="s">
        <v>13</v>
      </c>
      <c r="J1524" t="s">
        <v>13</v>
      </c>
    </row>
    <row r="1525" spans="1:11" x14ac:dyDescent="0.35">
      <c r="A1525" t="s">
        <v>5</v>
      </c>
      <c r="B1525" t="str">
        <f>"05171"</f>
        <v>05171</v>
      </c>
      <c r="C1525" t="str">
        <f>"004"</f>
        <v>004</v>
      </c>
      <c r="D1525">
        <v>2015</v>
      </c>
      <c r="E1525" s="1">
        <v>28331100</v>
      </c>
      <c r="F1525" s="1">
        <v>26428800</v>
      </c>
      <c r="G1525" s="1" t="s">
        <v>11</v>
      </c>
      <c r="H1525" s="1" t="s">
        <v>38</v>
      </c>
      <c r="I1525" t="s">
        <v>13</v>
      </c>
      <c r="J1525" t="s">
        <v>13</v>
      </c>
    </row>
    <row r="1526" spans="1:11" x14ac:dyDescent="0.35">
      <c r="A1526" t="s">
        <v>39</v>
      </c>
      <c r="B1526" t="s">
        <v>13</v>
      </c>
      <c r="C1526" t="s">
        <v>7</v>
      </c>
      <c r="D1526" t="s">
        <v>8</v>
      </c>
      <c r="E1526" s="1">
        <v>57582200</v>
      </c>
      <c r="F1526" s="1">
        <v>39318800</v>
      </c>
      <c r="G1526" s="1" t="s">
        <v>11</v>
      </c>
      <c r="H1526" s="1">
        <v>267481100</v>
      </c>
      <c r="I1526" t="s">
        <v>13</v>
      </c>
      <c r="J1526" t="s">
        <v>13</v>
      </c>
      <c r="K1526">
        <v>14.7</v>
      </c>
    </row>
    <row r="1527" spans="1:11" x14ac:dyDescent="0.35">
      <c r="E1527" s="1"/>
      <c r="F1527" s="1"/>
      <c r="G1527" s="1"/>
      <c r="H1527" s="1"/>
    </row>
    <row r="1528" spans="1:11" x14ac:dyDescent="0.35">
      <c r="A1528" t="s">
        <v>331</v>
      </c>
      <c r="B1528" t="str">
        <f t="shared" ref="B1528:B1544" si="33">"51276"</f>
        <v>51276</v>
      </c>
      <c r="C1528" t="str">
        <f>"002"</f>
        <v>002</v>
      </c>
      <c r="D1528">
        <v>1983</v>
      </c>
      <c r="E1528" s="1">
        <v>31244700</v>
      </c>
      <c r="F1528" s="1">
        <v>28850000</v>
      </c>
      <c r="G1528" s="1" t="s">
        <v>11</v>
      </c>
      <c r="H1528" s="1" t="s">
        <v>38</v>
      </c>
      <c r="I1528" t="s">
        <v>13</v>
      </c>
      <c r="J1528" t="s">
        <v>13</v>
      </c>
    </row>
    <row r="1529" spans="1:11" x14ac:dyDescent="0.35">
      <c r="A1529" t="s">
        <v>5</v>
      </c>
      <c r="B1529" t="str">
        <f t="shared" si="33"/>
        <v>51276</v>
      </c>
      <c r="C1529" t="str">
        <f>"009"</f>
        <v>009</v>
      </c>
      <c r="D1529">
        <v>2000</v>
      </c>
      <c r="E1529" s="1">
        <v>34267600</v>
      </c>
      <c r="F1529" s="1">
        <v>33601900</v>
      </c>
      <c r="G1529" s="1" t="s">
        <v>11</v>
      </c>
      <c r="H1529" s="1" t="s">
        <v>38</v>
      </c>
      <c r="I1529" t="s">
        <v>13</v>
      </c>
      <c r="J1529" t="s">
        <v>13</v>
      </c>
    </row>
    <row r="1530" spans="1:11" x14ac:dyDescent="0.35">
      <c r="A1530" t="s">
        <v>5</v>
      </c>
      <c r="B1530" t="str">
        <f t="shared" si="33"/>
        <v>51276</v>
      </c>
      <c r="C1530" t="str">
        <f>"010"</f>
        <v>010</v>
      </c>
      <c r="D1530">
        <v>2003</v>
      </c>
      <c r="E1530" s="1">
        <v>999100</v>
      </c>
      <c r="F1530" s="1">
        <v>-181300</v>
      </c>
      <c r="G1530" s="1" t="s">
        <v>48</v>
      </c>
      <c r="H1530" s="1" t="s">
        <v>38</v>
      </c>
      <c r="I1530" t="s">
        <v>13</v>
      </c>
      <c r="J1530" t="s">
        <v>13</v>
      </c>
    </row>
    <row r="1531" spans="1:11" x14ac:dyDescent="0.35">
      <c r="A1531" t="s">
        <v>5</v>
      </c>
      <c r="B1531" t="str">
        <f t="shared" si="33"/>
        <v>51276</v>
      </c>
      <c r="C1531" t="str">
        <f>"011"</f>
        <v>011</v>
      </c>
      <c r="D1531">
        <v>2005</v>
      </c>
      <c r="E1531" s="1">
        <v>6792100</v>
      </c>
      <c r="F1531" s="1">
        <v>3612400</v>
      </c>
      <c r="G1531" s="1" t="s">
        <v>11</v>
      </c>
      <c r="H1531" s="1" t="s">
        <v>38</v>
      </c>
      <c r="I1531" t="s">
        <v>13</v>
      </c>
      <c r="J1531" t="s">
        <v>13</v>
      </c>
    </row>
    <row r="1532" spans="1:11" x14ac:dyDescent="0.35">
      <c r="A1532" t="s">
        <v>5</v>
      </c>
      <c r="B1532" t="str">
        <f t="shared" si="33"/>
        <v>51276</v>
      </c>
      <c r="C1532" t="str">
        <f>"012"</f>
        <v>012</v>
      </c>
      <c r="D1532">
        <v>2006</v>
      </c>
      <c r="E1532" s="1">
        <v>7485100</v>
      </c>
      <c r="F1532" s="1">
        <v>7107100</v>
      </c>
      <c r="G1532" s="1" t="s">
        <v>11</v>
      </c>
      <c r="H1532" s="1" t="s">
        <v>38</v>
      </c>
      <c r="I1532" t="s">
        <v>13</v>
      </c>
      <c r="J1532" t="s">
        <v>13</v>
      </c>
    </row>
    <row r="1533" spans="1:11" x14ac:dyDescent="0.35">
      <c r="A1533" t="s">
        <v>5</v>
      </c>
      <c r="B1533" t="str">
        <f t="shared" si="33"/>
        <v>51276</v>
      </c>
      <c r="C1533" t="str">
        <f>"013"</f>
        <v>013</v>
      </c>
      <c r="D1533">
        <v>2006</v>
      </c>
      <c r="E1533" s="1">
        <v>11508700</v>
      </c>
      <c r="F1533" s="1">
        <v>11196400</v>
      </c>
      <c r="G1533" s="1" t="s">
        <v>11</v>
      </c>
      <c r="H1533" s="1" t="s">
        <v>38</v>
      </c>
      <c r="I1533" t="s">
        <v>13</v>
      </c>
      <c r="J1533" t="s">
        <v>13</v>
      </c>
    </row>
    <row r="1534" spans="1:11" x14ac:dyDescent="0.35">
      <c r="A1534" t="s">
        <v>5</v>
      </c>
      <c r="B1534" t="str">
        <f t="shared" si="33"/>
        <v>51276</v>
      </c>
      <c r="C1534" t="str">
        <f>"014"</f>
        <v>014</v>
      </c>
      <c r="D1534">
        <v>2006</v>
      </c>
      <c r="E1534" s="1">
        <v>5346200</v>
      </c>
      <c r="F1534" s="1">
        <v>1243000</v>
      </c>
      <c r="G1534" s="1" t="s">
        <v>11</v>
      </c>
      <c r="H1534" s="1" t="s">
        <v>38</v>
      </c>
      <c r="I1534" t="s">
        <v>13</v>
      </c>
      <c r="J1534" t="s">
        <v>13</v>
      </c>
    </row>
    <row r="1535" spans="1:11" x14ac:dyDescent="0.35">
      <c r="A1535" t="s">
        <v>5</v>
      </c>
      <c r="B1535" t="str">
        <f t="shared" si="33"/>
        <v>51276</v>
      </c>
      <c r="C1535" t="str">
        <f>"016"</f>
        <v>016</v>
      </c>
      <c r="D1535">
        <v>2009</v>
      </c>
      <c r="E1535" s="1">
        <v>36204700</v>
      </c>
      <c r="F1535" s="1">
        <v>-2012700</v>
      </c>
      <c r="G1535" s="1" t="s">
        <v>48</v>
      </c>
      <c r="H1535" s="1" t="s">
        <v>38</v>
      </c>
      <c r="I1535" t="s">
        <v>13</v>
      </c>
      <c r="J1535" t="s">
        <v>13</v>
      </c>
    </row>
    <row r="1536" spans="1:11" x14ac:dyDescent="0.35">
      <c r="A1536" t="s">
        <v>5</v>
      </c>
      <c r="B1536" t="str">
        <f t="shared" si="33"/>
        <v>51276</v>
      </c>
      <c r="C1536" t="str">
        <f>"017"</f>
        <v>017</v>
      </c>
      <c r="D1536">
        <v>2012</v>
      </c>
      <c r="E1536" s="1">
        <v>454800</v>
      </c>
      <c r="F1536" s="1">
        <v>89900</v>
      </c>
      <c r="G1536" s="1" t="s">
        <v>11</v>
      </c>
      <c r="H1536" s="1" t="s">
        <v>38</v>
      </c>
      <c r="I1536" t="s">
        <v>13</v>
      </c>
      <c r="J1536" t="s">
        <v>13</v>
      </c>
    </row>
    <row r="1537" spans="1:11" x14ac:dyDescent="0.35">
      <c r="A1537" t="s">
        <v>5</v>
      </c>
      <c r="B1537" t="str">
        <f t="shared" si="33"/>
        <v>51276</v>
      </c>
      <c r="C1537" t="str">
        <f>"018"</f>
        <v>018</v>
      </c>
      <c r="D1537">
        <v>2014</v>
      </c>
      <c r="E1537" s="1">
        <v>3982700</v>
      </c>
      <c r="F1537" s="1">
        <v>937200</v>
      </c>
      <c r="G1537" s="1" t="s">
        <v>11</v>
      </c>
      <c r="H1537" s="1" t="s">
        <v>38</v>
      </c>
      <c r="I1537" t="s">
        <v>13</v>
      </c>
      <c r="J1537" t="s">
        <v>13</v>
      </c>
    </row>
    <row r="1538" spans="1:11" x14ac:dyDescent="0.35">
      <c r="A1538" t="s">
        <v>5</v>
      </c>
      <c r="B1538" t="str">
        <f t="shared" si="33"/>
        <v>51276</v>
      </c>
      <c r="C1538" t="str">
        <f>"019"</f>
        <v>019</v>
      </c>
      <c r="D1538">
        <v>2016</v>
      </c>
      <c r="E1538" s="1">
        <v>55795100</v>
      </c>
      <c r="F1538" s="1">
        <v>17600700</v>
      </c>
      <c r="G1538" s="1" t="s">
        <v>11</v>
      </c>
      <c r="H1538" s="1" t="s">
        <v>38</v>
      </c>
      <c r="I1538" t="s">
        <v>13</v>
      </c>
      <c r="J1538" t="s">
        <v>13</v>
      </c>
    </row>
    <row r="1539" spans="1:11" x14ac:dyDescent="0.35">
      <c r="A1539" t="s">
        <v>5</v>
      </c>
      <c r="B1539" t="str">
        <f t="shared" si="33"/>
        <v>51276</v>
      </c>
      <c r="C1539" t="str">
        <f>"020"</f>
        <v>020</v>
      </c>
      <c r="D1539">
        <v>2017</v>
      </c>
      <c r="E1539" s="1">
        <v>55198400</v>
      </c>
      <c r="F1539" s="1">
        <v>-4771600</v>
      </c>
      <c r="G1539" s="1" t="s">
        <v>48</v>
      </c>
      <c r="H1539" s="1" t="s">
        <v>38</v>
      </c>
      <c r="I1539" t="s">
        <v>13</v>
      </c>
      <c r="J1539" t="s">
        <v>13</v>
      </c>
    </row>
    <row r="1540" spans="1:11" x14ac:dyDescent="0.35">
      <c r="A1540" t="s">
        <v>5</v>
      </c>
      <c r="B1540" t="str">
        <f t="shared" si="33"/>
        <v>51276</v>
      </c>
      <c r="C1540" t="str">
        <f>"021"</f>
        <v>021</v>
      </c>
      <c r="D1540">
        <v>2019</v>
      </c>
      <c r="E1540" s="1">
        <v>0</v>
      </c>
      <c r="F1540" s="1">
        <v>0</v>
      </c>
      <c r="G1540" s="1" t="s">
        <v>11</v>
      </c>
      <c r="H1540" s="1" t="s">
        <v>38</v>
      </c>
      <c r="I1540" t="s">
        <v>13</v>
      </c>
      <c r="J1540" t="s">
        <v>13</v>
      </c>
    </row>
    <row r="1541" spans="1:11" x14ac:dyDescent="0.35">
      <c r="A1541" t="s">
        <v>5</v>
      </c>
      <c r="B1541" t="str">
        <f t="shared" si="33"/>
        <v>51276</v>
      </c>
      <c r="C1541" t="str">
        <f>"022"</f>
        <v>022</v>
      </c>
      <c r="D1541">
        <v>2019</v>
      </c>
      <c r="E1541" s="1">
        <v>404023200</v>
      </c>
      <c r="F1541" s="1">
        <v>74000300</v>
      </c>
      <c r="G1541" s="1" t="s">
        <v>11</v>
      </c>
      <c r="H1541" s="1" t="s">
        <v>38</v>
      </c>
      <c r="I1541" t="s">
        <v>13</v>
      </c>
      <c r="J1541" t="s">
        <v>13</v>
      </c>
    </row>
    <row r="1542" spans="1:11" x14ac:dyDescent="0.35">
      <c r="A1542" t="s">
        <v>5</v>
      </c>
      <c r="B1542" t="str">
        <f t="shared" si="33"/>
        <v>51276</v>
      </c>
      <c r="C1542" t="str">
        <f>"023"</f>
        <v>023</v>
      </c>
      <c r="D1542">
        <v>2019</v>
      </c>
      <c r="E1542" s="1">
        <v>122865800</v>
      </c>
      <c r="F1542" s="1">
        <v>17262500</v>
      </c>
      <c r="G1542" s="1" t="s">
        <v>11</v>
      </c>
      <c r="H1542" s="1" t="s">
        <v>38</v>
      </c>
      <c r="I1542" t="s">
        <v>13</v>
      </c>
      <c r="J1542" t="s">
        <v>13</v>
      </c>
    </row>
    <row r="1543" spans="1:11" x14ac:dyDescent="0.35">
      <c r="A1543" t="s">
        <v>5</v>
      </c>
      <c r="B1543" t="str">
        <f t="shared" si="33"/>
        <v>51276</v>
      </c>
      <c r="C1543" t="str">
        <f>"024"</f>
        <v>024</v>
      </c>
      <c r="D1543">
        <v>2020</v>
      </c>
      <c r="E1543" s="1">
        <v>0</v>
      </c>
      <c r="F1543" s="1">
        <v>-50600</v>
      </c>
      <c r="G1543" s="1" t="s">
        <v>48</v>
      </c>
      <c r="H1543" s="1" t="s">
        <v>38</v>
      </c>
      <c r="I1543" t="s">
        <v>13</v>
      </c>
      <c r="J1543" t="s">
        <v>13</v>
      </c>
    </row>
    <row r="1544" spans="1:11" x14ac:dyDescent="0.35">
      <c r="A1544" t="s">
        <v>5</v>
      </c>
      <c r="B1544" t="str">
        <f t="shared" si="33"/>
        <v>51276</v>
      </c>
      <c r="C1544" t="str">
        <f>"025"</f>
        <v>025</v>
      </c>
      <c r="D1544">
        <v>2020</v>
      </c>
      <c r="E1544" s="1">
        <v>480900</v>
      </c>
      <c r="F1544" s="1">
        <v>-5635800</v>
      </c>
      <c r="G1544" s="1" t="s">
        <v>48</v>
      </c>
      <c r="H1544" s="1" t="s">
        <v>38</v>
      </c>
      <c r="I1544" t="s">
        <v>13</v>
      </c>
      <c r="J1544" t="s">
        <v>13</v>
      </c>
    </row>
    <row r="1545" spans="1:11" x14ac:dyDescent="0.35">
      <c r="A1545" t="s">
        <v>39</v>
      </c>
      <c r="B1545" t="s">
        <v>13</v>
      </c>
      <c r="C1545" t="s">
        <v>7</v>
      </c>
      <c r="D1545" t="s">
        <v>8</v>
      </c>
      <c r="E1545" s="1">
        <v>776649100</v>
      </c>
      <c r="F1545" s="1">
        <v>195501400</v>
      </c>
      <c r="G1545" s="1" t="s">
        <v>11</v>
      </c>
      <c r="H1545" s="1">
        <v>4252000400</v>
      </c>
      <c r="I1545" t="s">
        <v>13</v>
      </c>
      <c r="J1545" t="s">
        <v>13</v>
      </c>
      <c r="K1545">
        <v>4.5999999999999996</v>
      </c>
    </row>
    <row r="1546" spans="1:11" x14ac:dyDescent="0.35">
      <c r="E1546" s="1"/>
      <c r="F1546" s="1"/>
      <c r="G1546" s="1"/>
      <c r="H1546" s="1"/>
    </row>
    <row r="1547" spans="1:11" x14ac:dyDescent="0.35">
      <c r="A1547" t="s">
        <v>332</v>
      </c>
      <c r="B1547" t="str">
        <f>"59176"</f>
        <v>59176</v>
      </c>
      <c r="C1547" t="str">
        <f>"003"</f>
        <v>003</v>
      </c>
      <c r="D1547">
        <v>2014</v>
      </c>
      <c r="E1547" s="1">
        <v>3144000</v>
      </c>
      <c r="F1547" s="1">
        <v>1746900</v>
      </c>
      <c r="G1547" s="1" t="s">
        <v>11</v>
      </c>
      <c r="H1547" s="1" t="s">
        <v>38</v>
      </c>
      <c r="I1547" t="s">
        <v>13</v>
      </c>
      <c r="J1547" t="s">
        <v>13</v>
      </c>
    </row>
    <row r="1548" spans="1:11" x14ac:dyDescent="0.35">
      <c r="A1548" t="s">
        <v>39</v>
      </c>
      <c r="B1548" t="s">
        <v>13</v>
      </c>
      <c r="C1548" t="s">
        <v>7</v>
      </c>
      <c r="D1548" t="s">
        <v>8</v>
      </c>
      <c r="E1548" s="1">
        <v>3144000</v>
      </c>
      <c r="F1548" s="1">
        <v>1746900</v>
      </c>
      <c r="G1548" s="1" t="s">
        <v>11</v>
      </c>
      <c r="H1548" s="1">
        <v>175701200</v>
      </c>
      <c r="I1548" t="s">
        <v>13</v>
      </c>
      <c r="J1548" t="s">
        <v>13</v>
      </c>
      <c r="K1548">
        <v>0.99</v>
      </c>
    </row>
    <row r="1549" spans="1:11" x14ac:dyDescent="0.35">
      <c r="E1549" s="1"/>
      <c r="F1549" s="1"/>
      <c r="G1549" s="1"/>
      <c r="H1549" s="1"/>
    </row>
    <row r="1550" spans="1:11" x14ac:dyDescent="0.35">
      <c r="A1550" t="s">
        <v>333</v>
      </c>
      <c r="B1550" t="str">
        <f>"69176"</f>
        <v>69176</v>
      </c>
      <c r="C1550" t="str">
        <f>"001"</f>
        <v>001</v>
      </c>
      <c r="D1550">
        <v>1997</v>
      </c>
      <c r="E1550" s="1">
        <v>12987000</v>
      </c>
      <c r="F1550" s="1">
        <v>11528000</v>
      </c>
      <c r="G1550" s="1" t="s">
        <v>11</v>
      </c>
      <c r="H1550" s="1" t="s">
        <v>38</v>
      </c>
      <c r="I1550" t="s">
        <v>13</v>
      </c>
      <c r="J1550" t="s">
        <v>13</v>
      </c>
    </row>
    <row r="1551" spans="1:11" x14ac:dyDescent="0.35">
      <c r="A1551" t="s">
        <v>5</v>
      </c>
      <c r="B1551" t="str">
        <f>"69176"</f>
        <v>69176</v>
      </c>
      <c r="C1551" t="str">
        <f>"002"</f>
        <v>002</v>
      </c>
      <c r="D1551">
        <v>1997</v>
      </c>
      <c r="E1551" s="1">
        <v>463600</v>
      </c>
      <c r="F1551" s="1">
        <v>417400</v>
      </c>
      <c r="G1551" s="1" t="s">
        <v>11</v>
      </c>
      <c r="H1551" s="1" t="s">
        <v>38</v>
      </c>
      <c r="I1551" t="s">
        <v>13</v>
      </c>
      <c r="J1551" t="s">
        <v>13</v>
      </c>
    </row>
    <row r="1552" spans="1:11" x14ac:dyDescent="0.35">
      <c r="A1552" t="s">
        <v>39</v>
      </c>
      <c r="B1552" t="s">
        <v>13</v>
      </c>
      <c r="C1552" t="s">
        <v>7</v>
      </c>
      <c r="D1552" t="s">
        <v>8</v>
      </c>
      <c r="E1552" s="1">
        <v>13450600</v>
      </c>
      <c r="F1552" s="1">
        <v>11945400</v>
      </c>
      <c r="G1552" s="1" t="s">
        <v>11</v>
      </c>
      <c r="H1552" s="1">
        <v>54180300</v>
      </c>
      <c r="I1552" t="s">
        <v>13</v>
      </c>
      <c r="J1552" t="s">
        <v>13</v>
      </c>
      <c r="K1552">
        <v>22.05</v>
      </c>
    </row>
    <row r="1553" spans="1:11" x14ac:dyDescent="0.35">
      <c r="E1553" s="1"/>
      <c r="F1553" s="1"/>
      <c r="G1553" s="1"/>
      <c r="H1553" s="1"/>
    </row>
    <row r="1554" spans="1:11" x14ac:dyDescent="0.35">
      <c r="A1554" t="s">
        <v>334</v>
      </c>
      <c r="B1554" t="str">
        <f>"56276"</f>
        <v>56276</v>
      </c>
      <c r="C1554" t="str">
        <f>"004"</f>
        <v>004</v>
      </c>
      <c r="D1554">
        <v>1998</v>
      </c>
      <c r="E1554" s="1">
        <v>18270400</v>
      </c>
      <c r="F1554" s="1">
        <v>14184500</v>
      </c>
      <c r="G1554" s="1" t="s">
        <v>11</v>
      </c>
      <c r="H1554" s="1" t="s">
        <v>38</v>
      </c>
      <c r="I1554" t="s">
        <v>13</v>
      </c>
      <c r="J1554" t="s">
        <v>13</v>
      </c>
    </row>
    <row r="1555" spans="1:11" x14ac:dyDescent="0.35">
      <c r="A1555" t="s">
        <v>5</v>
      </c>
      <c r="B1555" t="str">
        <f>"56276"</f>
        <v>56276</v>
      </c>
      <c r="C1555" t="str">
        <f>"006"</f>
        <v>006</v>
      </c>
      <c r="D1555">
        <v>2000</v>
      </c>
      <c r="E1555" s="1">
        <v>9067600</v>
      </c>
      <c r="F1555" s="1">
        <v>-1127700</v>
      </c>
      <c r="G1555" s="1" t="s">
        <v>48</v>
      </c>
      <c r="H1555" s="1" t="s">
        <v>38</v>
      </c>
      <c r="I1555" t="s">
        <v>13</v>
      </c>
      <c r="J1555" t="s">
        <v>13</v>
      </c>
    </row>
    <row r="1556" spans="1:11" x14ac:dyDescent="0.35">
      <c r="A1556" t="s">
        <v>5</v>
      </c>
      <c r="B1556" t="str">
        <f>"56276"</f>
        <v>56276</v>
      </c>
      <c r="C1556" t="str">
        <f>"008"</f>
        <v>008</v>
      </c>
      <c r="D1556">
        <v>2008</v>
      </c>
      <c r="E1556" s="1">
        <v>4441600</v>
      </c>
      <c r="F1556" s="1">
        <v>2821900</v>
      </c>
      <c r="G1556" s="1" t="s">
        <v>11</v>
      </c>
      <c r="H1556" s="1" t="s">
        <v>38</v>
      </c>
      <c r="I1556" t="s">
        <v>13</v>
      </c>
      <c r="J1556" t="s">
        <v>13</v>
      </c>
    </row>
    <row r="1557" spans="1:11" x14ac:dyDescent="0.35">
      <c r="A1557" t="s">
        <v>5</v>
      </c>
      <c r="B1557" t="str">
        <f>"56276"</f>
        <v>56276</v>
      </c>
      <c r="C1557" t="str">
        <f>"009"</f>
        <v>009</v>
      </c>
      <c r="D1557">
        <v>2016</v>
      </c>
      <c r="E1557" s="1">
        <v>58304800</v>
      </c>
      <c r="F1557" s="1">
        <v>22108200</v>
      </c>
      <c r="G1557" s="1" t="s">
        <v>11</v>
      </c>
      <c r="H1557" s="1" t="s">
        <v>38</v>
      </c>
      <c r="I1557" t="s">
        <v>13</v>
      </c>
      <c r="J1557" t="s">
        <v>13</v>
      </c>
    </row>
    <row r="1558" spans="1:11" x14ac:dyDescent="0.35">
      <c r="A1558" t="s">
        <v>39</v>
      </c>
      <c r="B1558" t="s">
        <v>13</v>
      </c>
      <c r="C1558" t="s">
        <v>7</v>
      </c>
      <c r="D1558" t="s">
        <v>8</v>
      </c>
      <c r="E1558" s="1">
        <v>90084400</v>
      </c>
      <c r="F1558" s="1">
        <v>39114600</v>
      </c>
      <c r="G1558" s="1" t="s">
        <v>11</v>
      </c>
      <c r="H1558" s="1">
        <v>724438100</v>
      </c>
      <c r="I1558" t="s">
        <v>13</v>
      </c>
      <c r="J1558" t="s">
        <v>13</v>
      </c>
      <c r="K1558">
        <v>5.4</v>
      </c>
    </row>
    <row r="1559" spans="1:11" x14ac:dyDescent="0.35">
      <c r="E1559" s="1"/>
      <c r="F1559" s="1"/>
      <c r="G1559" s="1"/>
      <c r="H1559" s="1"/>
    </row>
    <row r="1560" spans="1:11" x14ac:dyDescent="0.35">
      <c r="A1560" t="s">
        <v>335</v>
      </c>
      <c r="B1560" t="str">
        <f>"14177"</f>
        <v>14177</v>
      </c>
      <c r="C1560" t="str">
        <f>"003"</f>
        <v>003</v>
      </c>
      <c r="D1560">
        <v>2011</v>
      </c>
      <c r="E1560" s="1">
        <v>9680600</v>
      </c>
      <c r="F1560" s="1">
        <v>8767900</v>
      </c>
      <c r="G1560" s="1" t="s">
        <v>11</v>
      </c>
      <c r="H1560" s="1" t="s">
        <v>38</v>
      </c>
      <c r="I1560" t="s">
        <v>13</v>
      </c>
      <c r="J1560" t="s">
        <v>13</v>
      </c>
    </row>
    <row r="1561" spans="1:11" x14ac:dyDescent="0.35">
      <c r="A1561" t="s">
        <v>39</v>
      </c>
      <c r="B1561" t="s">
        <v>13</v>
      </c>
      <c r="C1561" t="s">
        <v>7</v>
      </c>
      <c r="D1561" t="s">
        <v>8</v>
      </c>
      <c r="E1561" s="1">
        <v>9680600</v>
      </c>
      <c r="F1561" s="1">
        <v>8767900</v>
      </c>
      <c r="G1561" s="1" t="s">
        <v>11</v>
      </c>
      <c r="H1561" s="1">
        <v>44847800</v>
      </c>
      <c r="I1561" t="s">
        <v>13</v>
      </c>
      <c r="J1561" t="s">
        <v>13</v>
      </c>
      <c r="K1561">
        <v>19.55</v>
      </c>
    </row>
    <row r="1562" spans="1:11" x14ac:dyDescent="0.35">
      <c r="E1562" s="1"/>
      <c r="F1562" s="1"/>
      <c r="G1562" s="1"/>
      <c r="H1562" s="1"/>
    </row>
    <row r="1563" spans="1:11" x14ac:dyDescent="0.35">
      <c r="A1563" t="s">
        <v>336</v>
      </c>
      <c r="B1563" t="str">
        <f>"43276"</f>
        <v>43276</v>
      </c>
      <c r="C1563" t="str">
        <f>"005"</f>
        <v>005</v>
      </c>
      <c r="D1563">
        <v>2000</v>
      </c>
      <c r="E1563" s="1">
        <v>1583900</v>
      </c>
      <c r="F1563" s="1">
        <v>617100</v>
      </c>
      <c r="G1563" s="1" t="s">
        <v>11</v>
      </c>
      <c r="H1563" s="1" t="s">
        <v>38</v>
      </c>
      <c r="I1563" t="s">
        <v>13</v>
      </c>
      <c r="J1563" t="s">
        <v>13</v>
      </c>
    </row>
    <row r="1564" spans="1:11" x14ac:dyDescent="0.35">
      <c r="A1564" t="s">
        <v>5</v>
      </c>
      <c r="B1564" t="str">
        <f>"43276"</f>
        <v>43276</v>
      </c>
      <c r="C1564" t="str">
        <f>"006"</f>
        <v>006</v>
      </c>
      <c r="D1564">
        <v>2002</v>
      </c>
      <c r="E1564" s="1">
        <v>11472700</v>
      </c>
      <c r="F1564" s="1">
        <v>488900</v>
      </c>
      <c r="G1564" s="1" t="s">
        <v>11</v>
      </c>
      <c r="H1564" s="1" t="s">
        <v>38</v>
      </c>
      <c r="I1564" t="s">
        <v>13</v>
      </c>
      <c r="J1564" t="s">
        <v>13</v>
      </c>
    </row>
    <row r="1565" spans="1:11" x14ac:dyDescent="0.35">
      <c r="A1565" t="s">
        <v>5</v>
      </c>
      <c r="B1565" t="str">
        <f>"43276"</f>
        <v>43276</v>
      </c>
      <c r="C1565" t="str">
        <f>"008"</f>
        <v>008</v>
      </c>
      <c r="D1565">
        <v>2010</v>
      </c>
      <c r="E1565" s="1">
        <v>46072900</v>
      </c>
      <c r="F1565" s="1">
        <v>-3119300</v>
      </c>
      <c r="G1565" s="1" t="s">
        <v>48</v>
      </c>
      <c r="H1565" s="1" t="s">
        <v>38</v>
      </c>
      <c r="I1565" t="s">
        <v>13</v>
      </c>
      <c r="J1565" t="s">
        <v>13</v>
      </c>
    </row>
    <row r="1566" spans="1:11" x14ac:dyDescent="0.35">
      <c r="A1566" t="s">
        <v>5</v>
      </c>
      <c r="B1566" t="str">
        <f>"43276"</f>
        <v>43276</v>
      </c>
      <c r="C1566" t="str">
        <f>"009"</f>
        <v>009</v>
      </c>
      <c r="D1566">
        <v>2012</v>
      </c>
      <c r="E1566" s="1">
        <v>25600400</v>
      </c>
      <c r="F1566" s="1">
        <v>25595500</v>
      </c>
      <c r="G1566" s="1" t="s">
        <v>11</v>
      </c>
      <c r="H1566" s="1" t="s">
        <v>38</v>
      </c>
      <c r="I1566" t="s">
        <v>13</v>
      </c>
      <c r="J1566" t="s">
        <v>13</v>
      </c>
    </row>
    <row r="1567" spans="1:11" x14ac:dyDescent="0.35">
      <c r="A1567" t="s">
        <v>5</v>
      </c>
      <c r="B1567" t="str">
        <f>"43276"</f>
        <v>43276</v>
      </c>
      <c r="C1567" t="str">
        <f>"010"</f>
        <v>010</v>
      </c>
      <c r="D1567">
        <v>2013</v>
      </c>
      <c r="E1567" s="1">
        <v>9736600</v>
      </c>
      <c r="F1567" s="1">
        <v>3945500</v>
      </c>
      <c r="G1567" s="1" t="s">
        <v>11</v>
      </c>
      <c r="H1567" s="1" t="s">
        <v>38</v>
      </c>
      <c r="I1567" t="s">
        <v>13</v>
      </c>
      <c r="J1567" t="s">
        <v>13</v>
      </c>
    </row>
    <row r="1568" spans="1:11" x14ac:dyDescent="0.35">
      <c r="A1568" t="s">
        <v>39</v>
      </c>
      <c r="B1568" t="s">
        <v>13</v>
      </c>
      <c r="C1568" t="s">
        <v>7</v>
      </c>
      <c r="D1568" t="s">
        <v>8</v>
      </c>
      <c r="E1568" s="1">
        <v>94466500</v>
      </c>
      <c r="F1568" s="1">
        <v>30647000</v>
      </c>
      <c r="G1568" s="1" t="s">
        <v>11</v>
      </c>
      <c r="H1568" s="1">
        <v>588747800</v>
      </c>
      <c r="I1568" t="s">
        <v>13</v>
      </c>
      <c r="J1568" t="s">
        <v>13</v>
      </c>
      <c r="K1568">
        <v>5.21</v>
      </c>
    </row>
    <row r="1569" spans="1:11" x14ac:dyDescent="0.35">
      <c r="E1569" s="1"/>
      <c r="F1569" s="1"/>
      <c r="G1569" s="1"/>
      <c r="H1569" s="1"/>
    </row>
    <row r="1570" spans="1:11" x14ac:dyDescent="0.35">
      <c r="A1570" t="s">
        <v>337</v>
      </c>
      <c r="B1570" t="str">
        <f>"60176"</f>
        <v>60176</v>
      </c>
      <c r="C1570" t="str">
        <f>"001"</f>
        <v>001</v>
      </c>
      <c r="D1570">
        <v>1995</v>
      </c>
      <c r="E1570" s="1">
        <v>2721500</v>
      </c>
      <c r="F1570" s="1">
        <v>1925300</v>
      </c>
      <c r="G1570" s="1" t="s">
        <v>11</v>
      </c>
      <c r="H1570" s="1" t="s">
        <v>38</v>
      </c>
      <c r="I1570" t="s">
        <v>13</v>
      </c>
      <c r="J1570" t="s">
        <v>13</v>
      </c>
    </row>
    <row r="1571" spans="1:11" x14ac:dyDescent="0.35">
      <c r="A1571" t="s">
        <v>39</v>
      </c>
      <c r="B1571" t="s">
        <v>13</v>
      </c>
      <c r="C1571" t="s">
        <v>7</v>
      </c>
      <c r="D1571" t="s">
        <v>8</v>
      </c>
      <c r="E1571" s="1">
        <v>2721500</v>
      </c>
      <c r="F1571" s="1">
        <v>1925300</v>
      </c>
      <c r="G1571" s="1" t="s">
        <v>11</v>
      </c>
      <c r="H1571" s="1">
        <v>39283900</v>
      </c>
      <c r="I1571" t="s">
        <v>13</v>
      </c>
      <c r="J1571" t="s">
        <v>13</v>
      </c>
      <c r="K1571">
        <v>4.9000000000000004</v>
      </c>
    </row>
    <row r="1572" spans="1:11" x14ac:dyDescent="0.35">
      <c r="E1572" s="1"/>
      <c r="F1572" s="1"/>
      <c r="G1572" s="1"/>
      <c r="H1572" s="1"/>
    </row>
    <row r="1573" spans="1:11" x14ac:dyDescent="0.35">
      <c r="A1573" t="s">
        <v>338</v>
      </c>
      <c r="B1573" t="str">
        <f>"37068"</f>
        <v>37068</v>
      </c>
      <c r="C1573" t="str">
        <f>"001A"</f>
        <v>001A</v>
      </c>
      <c r="D1573">
        <v>2020</v>
      </c>
      <c r="E1573" s="1">
        <v>24768500</v>
      </c>
      <c r="F1573" s="1">
        <v>4689600</v>
      </c>
      <c r="G1573" s="1" t="s">
        <v>11</v>
      </c>
      <c r="H1573" s="1" t="s">
        <v>38</v>
      </c>
      <c r="I1573" t="s">
        <v>13</v>
      </c>
      <c r="J1573" t="s">
        <v>13</v>
      </c>
    </row>
    <row r="1574" spans="1:11" x14ac:dyDescent="0.35">
      <c r="A1574" t="s">
        <v>39</v>
      </c>
      <c r="B1574" t="s">
        <v>13</v>
      </c>
      <c r="C1574" t="s">
        <v>7</v>
      </c>
      <c r="D1574" t="s">
        <v>8</v>
      </c>
      <c r="E1574" s="1">
        <v>24768500</v>
      </c>
      <c r="F1574" s="1">
        <v>4689600</v>
      </c>
      <c r="G1574" s="1" t="s">
        <v>11</v>
      </c>
      <c r="H1574" s="1">
        <v>971169600</v>
      </c>
      <c r="I1574" t="s">
        <v>13</v>
      </c>
      <c r="J1574" t="s">
        <v>13</v>
      </c>
      <c r="K1574">
        <v>0.48</v>
      </c>
    </row>
    <row r="1575" spans="1:11" x14ac:dyDescent="0.35">
      <c r="E1575" s="1"/>
      <c r="F1575" s="1"/>
      <c r="G1575" s="1"/>
      <c r="H1575" s="1"/>
    </row>
    <row r="1576" spans="1:11" x14ac:dyDescent="0.35">
      <c r="A1576" t="s">
        <v>339</v>
      </c>
      <c r="B1576" t="str">
        <f>"03276"</f>
        <v>03276</v>
      </c>
      <c r="C1576" t="str">
        <f>"003"</f>
        <v>003</v>
      </c>
      <c r="D1576">
        <v>2001</v>
      </c>
      <c r="E1576" s="1">
        <v>40237100</v>
      </c>
      <c r="F1576" s="1">
        <v>18878400</v>
      </c>
      <c r="G1576" s="1" t="s">
        <v>11</v>
      </c>
      <c r="H1576" s="1" t="s">
        <v>38</v>
      </c>
      <c r="I1576" t="s">
        <v>13</v>
      </c>
      <c r="J1576" t="s">
        <v>13</v>
      </c>
    </row>
    <row r="1577" spans="1:11" x14ac:dyDescent="0.35">
      <c r="A1577" t="s">
        <v>5</v>
      </c>
      <c r="B1577" t="str">
        <f>"03276"</f>
        <v>03276</v>
      </c>
      <c r="C1577" t="str">
        <f>"004"</f>
        <v>004</v>
      </c>
      <c r="D1577">
        <v>2007</v>
      </c>
      <c r="E1577" s="1">
        <v>39045800</v>
      </c>
      <c r="F1577" s="1">
        <v>35108700</v>
      </c>
      <c r="G1577" s="1" t="s">
        <v>11</v>
      </c>
      <c r="H1577" s="1" t="s">
        <v>38</v>
      </c>
      <c r="I1577" t="s">
        <v>13</v>
      </c>
      <c r="J1577" t="s">
        <v>13</v>
      </c>
    </row>
    <row r="1578" spans="1:11" x14ac:dyDescent="0.35">
      <c r="A1578" t="s">
        <v>5</v>
      </c>
      <c r="B1578" t="str">
        <f>"03276"</f>
        <v>03276</v>
      </c>
      <c r="C1578" t="str">
        <f>"005"</f>
        <v>005</v>
      </c>
      <c r="D1578">
        <v>2019</v>
      </c>
      <c r="E1578" s="1">
        <v>49452800</v>
      </c>
      <c r="F1578" s="1">
        <v>30100</v>
      </c>
      <c r="G1578" s="1" t="s">
        <v>11</v>
      </c>
      <c r="H1578" s="1" t="s">
        <v>38</v>
      </c>
      <c r="I1578" t="s">
        <v>13</v>
      </c>
      <c r="J1578" t="s">
        <v>13</v>
      </c>
    </row>
    <row r="1579" spans="1:11" x14ac:dyDescent="0.35">
      <c r="A1579" t="s">
        <v>39</v>
      </c>
      <c r="B1579" t="s">
        <v>13</v>
      </c>
      <c r="C1579" t="s">
        <v>7</v>
      </c>
      <c r="D1579" t="s">
        <v>8</v>
      </c>
      <c r="E1579" s="1">
        <v>128735700</v>
      </c>
      <c r="F1579" s="1">
        <v>54017200</v>
      </c>
      <c r="G1579" s="1" t="s">
        <v>11</v>
      </c>
      <c r="H1579" s="1">
        <v>812708400</v>
      </c>
      <c r="I1579" t="s">
        <v>13</v>
      </c>
      <c r="J1579" t="s">
        <v>13</v>
      </c>
      <c r="K1579">
        <v>6.65</v>
      </c>
    </row>
    <row r="1580" spans="1:11" x14ac:dyDescent="0.35">
      <c r="E1580" s="1"/>
      <c r="F1580" s="1"/>
      <c r="G1580" s="1"/>
      <c r="H1580" s="1"/>
    </row>
    <row r="1581" spans="1:11" x14ac:dyDescent="0.35">
      <c r="A1581" t="s">
        <v>340</v>
      </c>
      <c r="B1581" t="str">
        <f>"52276"</f>
        <v>52276</v>
      </c>
      <c r="C1581" t="str">
        <f>"004"</f>
        <v>004</v>
      </c>
      <c r="D1581">
        <v>1995</v>
      </c>
      <c r="E1581" s="1">
        <v>20968800</v>
      </c>
      <c r="F1581" s="1">
        <v>5877200</v>
      </c>
      <c r="G1581" s="1" t="s">
        <v>11</v>
      </c>
      <c r="H1581" s="1" t="s">
        <v>38</v>
      </c>
      <c r="I1581" t="s">
        <v>13</v>
      </c>
      <c r="J1581" t="s">
        <v>13</v>
      </c>
    </row>
    <row r="1582" spans="1:11" x14ac:dyDescent="0.35">
      <c r="A1582" t="s">
        <v>5</v>
      </c>
      <c r="B1582" t="str">
        <f>"52276"</f>
        <v>52276</v>
      </c>
      <c r="C1582" t="str">
        <f>"006"</f>
        <v>006</v>
      </c>
      <c r="D1582">
        <v>2017</v>
      </c>
      <c r="E1582" s="1">
        <v>5097700</v>
      </c>
      <c r="F1582" s="1">
        <v>5069400</v>
      </c>
      <c r="G1582" s="1" t="s">
        <v>11</v>
      </c>
      <c r="H1582" s="1" t="s">
        <v>38</v>
      </c>
      <c r="I1582" t="s">
        <v>13</v>
      </c>
      <c r="J1582" t="s">
        <v>13</v>
      </c>
    </row>
    <row r="1583" spans="1:11" x14ac:dyDescent="0.35">
      <c r="A1583" t="s">
        <v>39</v>
      </c>
      <c r="B1583" t="s">
        <v>13</v>
      </c>
      <c r="C1583" t="s">
        <v>7</v>
      </c>
      <c r="D1583" t="s">
        <v>8</v>
      </c>
      <c r="E1583" s="1">
        <v>26066500</v>
      </c>
      <c r="F1583" s="1">
        <v>10946600</v>
      </c>
      <c r="G1583" s="1" t="s">
        <v>11</v>
      </c>
      <c r="H1583" s="1">
        <v>343120200</v>
      </c>
      <c r="I1583" t="s">
        <v>13</v>
      </c>
      <c r="J1583" t="s">
        <v>13</v>
      </c>
      <c r="K1583">
        <v>3.19</v>
      </c>
    </row>
    <row r="1584" spans="1:11" x14ac:dyDescent="0.35">
      <c r="E1584" s="1"/>
      <c r="F1584" s="1"/>
      <c r="G1584" s="1"/>
      <c r="H1584" s="1"/>
    </row>
    <row r="1585" spans="1:11" x14ac:dyDescent="0.35">
      <c r="A1585" t="s">
        <v>341</v>
      </c>
      <c r="B1585" t="str">
        <f>"17176"</f>
        <v>17176</v>
      </c>
      <c r="C1585" t="str">
        <f>"001"</f>
        <v>001</v>
      </c>
      <c r="D1585">
        <v>2006</v>
      </c>
      <c r="E1585" s="1">
        <v>2805800</v>
      </c>
      <c r="F1585" s="1">
        <v>1191800</v>
      </c>
      <c r="G1585" s="1" t="s">
        <v>11</v>
      </c>
      <c r="H1585" s="1" t="s">
        <v>38</v>
      </c>
      <c r="I1585" t="s">
        <v>13</v>
      </c>
      <c r="J1585" t="s">
        <v>13</v>
      </c>
    </row>
    <row r="1586" spans="1:11" x14ac:dyDescent="0.35">
      <c r="A1586" t="s">
        <v>39</v>
      </c>
      <c r="B1586" t="s">
        <v>13</v>
      </c>
      <c r="C1586" t="s">
        <v>7</v>
      </c>
      <c r="D1586" t="s">
        <v>8</v>
      </c>
      <c r="E1586" s="1">
        <v>2805800</v>
      </c>
      <c r="F1586" s="1">
        <v>1191800</v>
      </c>
      <c r="G1586" s="1" t="s">
        <v>11</v>
      </c>
      <c r="H1586" s="1">
        <v>17351200</v>
      </c>
      <c r="I1586" t="s">
        <v>13</v>
      </c>
      <c r="J1586" t="s">
        <v>13</v>
      </c>
      <c r="K1586">
        <v>6.87</v>
      </c>
    </row>
    <row r="1587" spans="1:11" x14ac:dyDescent="0.35">
      <c r="E1587" s="1"/>
      <c r="F1587" s="1"/>
      <c r="G1587" s="1"/>
      <c r="H1587" s="1"/>
    </row>
    <row r="1588" spans="1:11" x14ac:dyDescent="0.35">
      <c r="A1588" t="s">
        <v>342</v>
      </c>
      <c r="B1588" t="str">
        <f>"25177"</f>
        <v>25177</v>
      </c>
      <c r="C1588" t="str">
        <f>"001"</f>
        <v>001</v>
      </c>
      <c r="D1588">
        <v>2007</v>
      </c>
      <c r="E1588" s="1">
        <v>7375600</v>
      </c>
      <c r="F1588" s="1">
        <v>4473500</v>
      </c>
      <c r="G1588" s="1" t="s">
        <v>11</v>
      </c>
      <c r="H1588" s="1" t="s">
        <v>38</v>
      </c>
      <c r="I1588" t="s">
        <v>13</v>
      </c>
      <c r="J1588" t="s">
        <v>13</v>
      </c>
    </row>
    <row r="1589" spans="1:11" x14ac:dyDescent="0.35">
      <c r="A1589" t="s">
        <v>39</v>
      </c>
      <c r="B1589" t="s">
        <v>13</v>
      </c>
      <c r="C1589" t="s">
        <v>7</v>
      </c>
      <c r="D1589" t="s">
        <v>8</v>
      </c>
      <c r="E1589" s="1">
        <v>7375600</v>
      </c>
      <c r="F1589" s="1">
        <v>4473500</v>
      </c>
      <c r="G1589" s="1" t="s">
        <v>11</v>
      </c>
      <c r="H1589" s="1">
        <v>45061500</v>
      </c>
      <c r="I1589" t="s">
        <v>13</v>
      </c>
      <c r="J1589" t="s">
        <v>13</v>
      </c>
      <c r="K1589">
        <v>9.93</v>
      </c>
    </row>
    <row r="1590" spans="1:11" x14ac:dyDescent="0.35">
      <c r="E1590" s="1"/>
      <c r="F1590" s="1"/>
      <c r="G1590" s="1"/>
      <c r="H1590" s="1"/>
    </row>
    <row r="1591" spans="1:11" x14ac:dyDescent="0.35">
      <c r="A1591" t="s">
        <v>343</v>
      </c>
      <c r="B1591" t="str">
        <f>"11177"</f>
        <v>11177</v>
      </c>
      <c r="C1591" t="str">
        <f>"001"</f>
        <v>001</v>
      </c>
      <c r="D1591">
        <v>1988</v>
      </c>
      <c r="E1591" s="1">
        <v>3243100</v>
      </c>
      <c r="F1591" s="1">
        <v>2691700</v>
      </c>
      <c r="G1591" s="1" t="s">
        <v>11</v>
      </c>
      <c r="H1591" s="1" t="s">
        <v>38</v>
      </c>
      <c r="I1591" t="s">
        <v>13</v>
      </c>
      <c r="J1591" t="s">
        <v>13</v>
      </c>
    </row>
    <row r="1592" spans="1:11" x14ac:dyDescent="0.35">
      <c r="A1592" t="s">
        <v>5</v>
      </c>
      <c r="B1592" t="str">
        <f>"11177"</f>
        <v>11177</v>
      </c>
      <c r="C1592" t="str">
        <f>"003"</f>
        <v>003</v>
      </c>
      <c r="D1592">
        <v>1996</v>
      </c>
      <c r="E1592" s="1">
        <v>10561000</v>
      </c>
      <c r="F1592" s="1">
        <v>9292900</v>
      </c>
      <c r="G1592" s="1" t="s">
        <v>11</v>
      </c>
      <c r="H1592" s="1" t="s">
        <v>38</v>
      </c>
      <c r="I1592" t="s">
        <v>13</v>
      </c>
      <c r="J1592" t="s">
        <v>13</v>
      </c>
    </row>
    <row r="1593" spans="1:11" x14ac:dyDescent="0.35">
      <c r="A1593" t="s">
        <v>39</v>
      </c>
      <c r="B1593" t="s">
        <v>13</v>
      </c>
      <c r="C1593" t="s">
        <v>7</v>
      </c>
      <c r="D1593" t="s">
        <v>8</v>
      </c>
      <c r="E1593" s="1">
        <v>13804100</v>
      </c>
      <c r="F1593" s="1">
        <v>11984600</v>
      </c>
      <c r="G1593" s="1" t="s">
        <v>11</v>
      </c>
      <c r="H1593" s="1">
        <v>80063900</v>
      </c>
      <c r="I1593" t="s">
        <v>13</v>
      </c>
      <c r="J1593" t="s">
        <v>13</v>
      </c>
      <c r="K1593">
        <v>14.97</v>
      </c>
    </row>
    <row r="1594" spans="1:11" x14ac:dyDescent="0.35">
      <c r="E1594" s="1"/>
      <c r="F1594" s="1"/>
      <c r="G1594" s="1"/>
      <c r="H1594" s="1"/>
    </row>
    <row r="1595" spans="1:11" x14ac:dyDescent="0.35">
      <c r="A1595" t="s">
        <v>344</v>
      </c>
      <c r="B1595" t="str">
        <f t="shared" ref="B1595:B1604" si="34">"20276"</f>
        <v>20276</v>
      </c>
      <c r="C1595" t="str">
        <f>"004"</f>
        <v>004</v>
      </c>
      <c r="D1595">
        <v>1994</v>
      </c>
      <c r="E1595" s="1">
        <v>20757500</v>
      </c>
      <c r="F1595" s="1">
        <v>13947300</v>
      </c>
      <c r="G1595" s="1" t="s">
        <v>11</v>
      </c>
      <c r="H1595" s="1" t="s">
        <v>38</v>
      </c>
      <c r="I1595" t="s">
        <v>13</v>
      </c>
      <c r="J1595" t="s">
        <v>13</v>
      </c>
    </row>
    <row r="1596" spans="1:11" x14ac:dyDescent="0.35">
      <c r="A1596" t="s">
        <v>5</v>
      </c>
      <c r="B1596" t="str">
        <f t="shared" si="34"/>
        <v>20276</v>
      </c>
      <c r="C1596" t="str">
        <f>"005"</f>
        <v>005</v>
      </c>
      <c r="D1596">
        <v>2000</v>
      </c>
      <c r="E1596" s="1">
        <v>7551600</v>
      </c>
      <c r="F1596" s="1">
        <v>7312300</v>
      </c>
      <c r="G1596" s="1" t="s">
        <v>11</v>
      </c>
      <c r="H1596" s="1" t="s">
        <v>38</v>
      </c>
      <c r="I1596" t="s">
        <v>13</v>
      </c>
      <c r="J1596" t="s">
        <v>13</v>
      </c>
    </row>
    <row r="1597" spans="1:11" x14ac:dyDescent="0.35">
      <c r="A1597" t="s">
        <v>5</v>
      </c>
      <c r="B1597" t="str">
        <f t="shared" si="34"/>
        <v>20276</v>
      </c>
      <c r="C1597" t="str">
        <f>"006"</f>
        <v>006</v>
      </c>
      <c r="D1597">
        <v>2005</v>
      </c>
      <c r="E1597" s="1">
        <v>39306700</v>
      </c>
      <c r="F1597" s="1">
        <v>14043400</v>
      </c>
      <c r="G1597" s="1" t="s">
        <v>11</v>
      </c>
      <c r="H1597" s="1" t="s">
        <v>38</v>
      </c>
      <c r="I1597" t="s">
        <v>13</v>
      </c>
      <c r="J1597" t="s">
        <v>13</v>
      </c>
    </row>
    <row r="1598" spans="1:11" x14ac:dyDescent="0.35">
      <c r="A1598" t="s">
        <v>5</v>
      </c>
      <c r="B1598" t="str">
        <f t="shared" si="34"/>
        <v>20276</v>
      </c>
      <c r="C1598" t="str">
        <f>"007"</f>
        <v>007</v>
      </c>
      <c r="D1598">
        <v>2007</v>
      </c>
      <c r="E1598" s="1">
        <v>6283100</v>
      </c>
      <c r="F1598" s="1">
        <v>5437500</v>
      </c>
      <c r="G1598" s="1" t="s">
        <v>11</v>
      </c>
      <c r="H1598" s="1" t="s">
        <v>38</v>
      </c>
      <c r="I1598" t="s">
        <v>13</v>
      </c>
      <c r="J1598" t="s">
        <v>13</v>
      </c>
    </row>
    <row r="1599" spans="1:11" x14ac:dyDescent="0.35">
      <c r="A1599" t="s">
        <v>5</v>
      </c>
      <c r="B1599" t="str">
        <f t="shared" si="34"/>
        <v>20276</v>
      </c>
      <c r="C1599" t="str">
        <f>"009"</f>
        <v>009</v>
      </c>
      <c r="D1599">
        <v>2009</v>
      </c>
      <c r="E1599" s="1">
        <v>4804300</v>
      </c>
      <c r="F1599" s="1">
        <v>4797200</v>
      </c>
      <c r="G1599" s="1" t="s">
        <v>11</v>
      </c>
      <c r="H1599" s="1" t="s">
        <v>38</v>
      </c>
      <c r="I1599" t="s">
        <v>13</v>
      </c>
      <c r="J1599" t="s">
        <v>13</v>
      </c>
    </row>
    <row r="1600" spans="1:11" x14ac:dyDescent="0.35">
      <c r="A1600" t="s">
        <v>5</v>
      </c>
      <c r="B1600" t="str">
        <f t="shared" si="34"/>
        <v>20276</v>
      </c>
      <c r="C1600" t="str">
        <f>"010"</f>
        <v>010</v>
      </c>
      <c r="D1600">
        <v>2009</v>
      </c>
      <c r="E1600" s="1">
        <v>8466000</v>
      </c>
      <c r="F1600" s="1">
        <v>8431600</v>
      </c>
      <c r="G1600" s="1" t="s">
        <v>11</v>
      </c>
      <c r="H1600" s="1" t="s">
        <v>38</v>
      </c>
      <c r="I1600" t="s">
        <v>13</v>
      </c>
      <c r="J1600" t="s">
        <v>13</v>
      </c>
    </row>
    <row r="1601" spans="1:11" x14ac:dyDescent="0.35">
      <c r="A1601" t="s">
        <v>5</v>
      </c>
      <c r="B1601" t="str">
        <f t="shared" si="34"/>
        <v>20276</v>
      </c>
      <c r="C1601" t="str">
        <f>"011"</f>
        <v>011</v>
      </c>
      <c r="D1601">
        <v>2009</v>
      </c>
      <c r="E1601" s="1">
        <v>8228700</v>
      </c>
      <c r="F1601" s="1">
        <v>1844400</v>
      </c>
      <c r="G1601" s="1" t="s">
        <v>11</v>
      </c>
      <c r="H1601" s="1" t="s">
        <v>38</v>
      </c>
      <c r="I1601" t="s">
        <v>13</v>
      </c>
      <c r="J1601" t="s">
        <v>13</v>
      </c>
    </row>
    <row r="1602" spans="1:11" x14ac:dyDescent="0.35">
      <c r="A1602" t="s">
        <v>5</v>
      </c>
      <c r="B1602" t="str">
        <f t="shared" si="34"/>
        <v>20276</v>
      </c>
      <c r="C1602" t="str">
        <f>"012"</f>
        <v>012</v>
      </c>
      <c r="D1602">
        <v>2014</v>
      </c>
      <c r="E1602" s="1">
        <v>5106600</v>
      </c>
      <c r="F1602" s="1">
        <v>4379500</v>
      </c>
      <c r="G1602" s="1" t="s">
        <v>11</v>
      </c>
      <c r="H1602" s="1" t="s">
        <v>38</v>
      </c>
      <c r="I1602" t="s">
        <v>13</v>
      </c>
      <c r="J1602" t="s">
        <v>13</v>
      </c>
    </row>
    <row r="1603" spans="1:11" x14ac:dyDescent="0.35">
      <c r="A1603" t="s">
        <v>5</v>
      </c>
      <c r="B1603" t="str">
        <f t="shared" si="34"/>
        <v>20276</v>
      </c>
      <c r="C1603" t="str">
        <f>"014"</f>
        <v>014</v>
      </c>
      <c r="D1603">
        <v>2016</v>
      </c>
      <c r="E1603" s="1">
        <v>11804200</v>
      </c>
      <c r="F1603" s="1">
        <v>11804200</v>
      </c>
      <c r="G1603" s="1" t="s">
        <v>11</v>
      </c>
      <c r="H1603" s="1" t="s">
        <v>38</v>
      </c>
      <c r="I1603" t="s">
        <v>13</v>
      </c>
      <c r="J1603" t="s">
        <v>13</v>
      </c>
    </row>
    <row r="1604" spans="1:11" x14ac:dyDescent="0.35">
      <c r="A1604" t="s">
        <v>5</v>
      </c>
      <c r="B1604" t="str">
        <f t="shared" si="34"/>
        <v>20276</v>
      </c>
      <c r="C1604" t="str">
        <f>"015"</f>
        <v>015</v>
      </c>
      <c r="D1604">
        <v>2017</v>
      </c>
      <c r="E1604" s="1">
        <v>1769800</v>
      </c>
      <c r="F1604" s="1">
        <v>1510800</v>
      </c>
      <c r="G1604" s="1" t="s">
        <v>11</v>
      </c>
      <c r="H1604" s="1" t="s">
        <v>38</v>
      </c>
      <c r="I1604" t="s">
        <v>13</v>
      </c>
      <c r="J1604" t="s">
        <v>13</v>
      </c>
    </row>
    <row r="1605" spans="1:11" x14ac:dyDescent="0.35">
      <c r="A1605" t="s">
        <v>39</v>
      </c>
      <c r="B1605" t="s">
        <v>13</v>
      </c>
      <c r="C1605" t="s">
        <v>7</v>
      </c>
      <c r="D1605" t="s">
        <v>8</v>
      </c>
      <c r="E1605" s="1">
        <v>114078500</v>
      </c>
      <c r="F1605" s="1">
        <v>73508200</v>
      </c>
      <c r="G1605" s="1" t="s">
        <v>11</v>
      </c>
      <c r="H1605" s="1">
        <v>495132100</v>
      </c>
      <c r="I1605" t="s">
        <v>13</v>
      </c>
      <c r="J1605" t="s">
        <v>13</v>
      </c>
      <c r="K1605">
        <v>14.85</v>
      </c>
    </row>
    <row r="1606" spans="1:11" x14ac:dyDescent="0.35">
      <c r="E1606" s="1"/>
      <c r="F1606" s="1"/>
      <c r="G1606" s="1"/>
      <c r="H1606" s="1"/>
    </row>
    <row r="1607" spans="1:11" x14ac:dyDescent="0.35">
      <c r="A1607" t="s">
        <v>345</v>
      </c>
      <c r="B1607" t="str">
        <f>"55276"</f>
        <v>55276</v>
      </c>
      <c r="C1607" t="str">
        <f>"005"</f>
        <v>005</v>
      </c>
      <c r="D1607">
        <v>1994</v>
      </c>
      <c r="E1607" s="1">
        <v>27114100</v>
      </c>
      <c r="F1607" s="1">
        <v>26646700</v>
      </c>
      <c r="G1607" s="1" t="s">
        <v>11</v>
      </c>
      <c r="H1607" s="1" t="s">
        <v>38</v>
      </c>
      <c r="I1607" t="s">
        <v>13</v>
      </c>
      <c r="J1607" t="s">
        <v>13</v>
      </c>
    </row>
    <row r="1608" spans="1:11" x14ac:dyDescent="0.35">
      <c r="A1608" t="s">
        <v>5</v>
      </c>
      <c r="B1608" t="str">
        <f>"47276"</f>
        <v>47276</v>
      </c>
      <c r="C1608" t="str">
        <f>"006"</f>
        <v>006</v>
      </c>
      <c r="D1608">
        <v>2005</v>
      </c>
      <c r="E1608" s="1">
        <v>10261600</v>
      </c>
      <c r="F1608" s="1">
        <v>9287000</v>
      </c>
      <c r="G1608" s="1" t="s">
        <v>11</v>
      </c>
      <c r="H1608" s="1" t="s">
        <v>38</v>
      </c>
      <c r="I1608" t="s">
        <v>13</v>
      </c>
      <c r="J1608" t="s">
        <v>13</v>
      </c>
    </row>
    <row r="1609" spans="1:11" x14ac:dyDescent="0.35">
      <c r="A1609" t="s">
        <v>5</v>
      </c>
      <c r="B1609" t="str">
        <f>"47276"</f>
        <v>47276</v>
      </c>
      <c r="C1609" t="str">
        <f>"008"</f>
        <v>008</v>
      </c>
      <c r="D1609">
        <v>2010</v>
      </c>
      <c r="E1609" s="1">
        <v>4954000</v>
      </c>
      <c r="F1609" s="1">
        <v>3627500</v>
      </c>
      <c r="G1609" s="1" t="s">
        <v>11</v>
      </c>
      <c r="H1609" s="1" t="s">
        <v>38</v>
      </c>
      <c r="I1609" t="s">
        <v>13</v>
      </c>
      <c r="J1609" t="s">
        <v>13</v>
      </c>
    </row>
    <row r="1610" spans="1:11" x14ac:dyDescent="0.35">
      <c r="A1610" t="s">
        <v>5</v>
      </c>
      <c r="B1610" t="str">
        <f>"47276"</f>
        <v>47276</v>
      </c>
      <c r="C1610" t="str">
        <f>"009"</f>
        <v>009</v>
      </c>
      <c r="D1610">
        <v>2012</v>
      </c>
      <c r="E1610" s="1">
        <v>9048800</v>
      </c>
      <c r="F1610" s="1">
        <v>4336500</v>
      </c>
      <c r="G1610" s="1" t="s">
        <v>11</v>
      </c>
      <c r="H1610" s="1" t="s">
        <v>38</v>
      </c>
      <c r="I1610" t="s">
        <v>13</v>
      </c>
      <c r="J1610" t="s">
        <v>13</v>
      </c>
    </row>
    <row r="1611" spans="1:11" x14ac:dyDescent="0.35">
      <c r="A1611" t="s">
        <v>5</v>
      </c>
      <c r="B1611" t="str">
        <f>"55276"</f>
        <v>55276</v>
      </c>
      <c r="C1611" t="str">
        <f>"010"</f>
        <v>010</v>
      </c>
      <c r="D1611">
        <v>2014</v>
      </c>
      <c r="E1611" s="1">
        <v>38998600</v>
      </c>
      <c r="F1611" s="1">
        <v>38865300</v>
      </c>
      <c r="G1611" s="1" t="s">
        <v>11</v>
      </c>
      <c r="H1611" s="1" t="s">
        <v>38</v>
      </c>
      <c r="I1611" t="s">
        <v>13</v>
      </c>
      <c r="J1611" t="s">
        <v>13</v>
      </c>
    </row>
    <row r="1612" spans="1:11" x14ac:dyDescent="0.35">
      <c r="A1612" t="s">
        <v>5</v>
      </c>
      <c r="B1612" t="str">
        <f>"55276"</f>
        <v>55276</v>
      </c>
      <c r="C1612" t="str">
        <f>"011"</f>
        <v>011</v>
      </c>
      <c r="D1612">
        <v>2016</v>
      </c>
      <c r="E1612" s="1">
        <v>8238400</v>
      </c>
      <c r="F1612" s="1">
        <v>377900</v>
      </c>
      <c r="G1612" s="1" t="s">
        <v>11</v>
      </c>
      <c r="H1612" s="1" t="s">
        <v>38</v>
      </c>
      <c r="I1612" t="s">
        <v>13</v>
      </c>
      <c r="J1612" t="s">
        <v>13</v>
      </c>
    </row>
    <row r="1613" spans="1:11" x14ac:dyDescent="0.35">
      <c r="A1613" t="s">
        <v>5</v>
      </c>
      <c r="B1613" t="str">
        <f>"55276"</f>
        <v>55276</v>
      </c>
      <c r="C1613" t="str">
        <f>"012"</f>
        <v>012</v>
      </c>
      <c r="D1613">
        <v>2016</v>
      </c>
      <c r="E1613" s="1">
        <v>2189100</v>
      </c>
      <c r="F1613" s="1">
        <v>2189100</v>
      </c>
      <c r="G1613" s="1" t="s">
        <v>11</v>
      </c>
      <c r="H1613" s="1" t="s">
        <v>38</v>
      </c>
      <c r="I1613" t="s">
        <v>13</v>
      </c>
      <c r="J1613" t="s">
        <v>13</v>
      </c>
    </row>
    <row r="1614" spans="1:11" x14ac:dyDescent="0.35">
      <c r="A1614" t="s">
        <v>5</v>
      </c>
      <c r="B1614" t="str">
        <f>"55276"</f>
        <v>55276</v>
      </c>
      <c r="C1614" t="str">
        <f>"013"</f>
        <v>013</v>
      </c>
      <c r="D1614">
        <v>2018</v>
      </c>
      <c r="E1614" s="1">
        <v>10585400</v>
      </c>
      <c r="F1614" s="1">
        <v>3881900</v>
      </c>
      <c r="G1614" s="1" t="s">
        <v>11</v>
      </c>
      <c r="H1614" s="1" t="s">
        <v>38</v>
      </c>
      <c r="I1614" t="s">
        <v>13</v>
      </c>
      <c r="J1614" t="s">
        <v>13</v>
      </c>
    </row>
    <row r="1615" spans="1:11" x14ac:dyDescent="0.35">
      <c r="A1615" t="s">
        <v>5</v>
      </c>
      <c r="B1615" t="str">
        <f>"47276"</f>
        <v>47276</v>
      </c>
      <c r="C1615" t="str">
        <f>"014"</f>
        <v>014</v>
      </c>
      <c r="D1615">
        <v>2018</v>
      </c>
      <c r="E1615" s="1">
        <v>4898200</v>
      </c>
      <c r="F1615" s="1">
        <v>4825100</v>
      </c>
      <c r="G1615" s="1" t="s">
        <v>11</v>
      </c>
      <c r="H1615" s="1" t="s">
        <v>38</v>
      </c>
      <c r="I1615" t="s">
        <v>13</v>
      </c>
      <c r="J1615" t="s">
        <v>13</v>
      </c>
    </row>
    <row r="1616" spans="1:11" x14ac:dyDescent="0.35">
      <c r="A1616" t="s">
        <v>5</v>
      </c>
      <c r="B1616" t="str">
        <f>"47276"</f>
        <v>47276</v>
      </c>
      <c r="C1616" t="str">
        <f>"015"</f>
        <v>015</v>
      </c>
      <c r="D1616">
        <v>2020</v>
      </c>
      <c r="E1616" s="1">
        <v>189000</v>
      </c>
      <c r="F1616" s="1">
        <v>-56200</v>
      </c>
      <c r="G1616" s="1" t="s">
        <v>48</v>
      </c>
      <c r="H1616" s="1" t="s">
        <v>38</v>
      </c>
      <c r="I1616" t="s">
        <v>13</v>
      </c>
      <c r="J1616" t="s">
        <v>13</v>
      </c>
    </row>
    <row r="1617" spans="1:11" x14ac:dyDescent="0.35">
      <c r="A1617" t="s">
        <v>5</v>
      </c>
      <c r="B1617" t="str">
        <f>"55276"</f>
        <v>55276</v>
      </c>
      <c r="C1617" t="str">
        <f>"016"</f>
        <v>016</v>
      </c>
      <c r="D1617">
        <v>2020</v>
      </c>
      <c r="E1617" s="1">
        <v>2800</v>
      </c>
      <c r="F1617" s="1">
        <v>-800</v>
      </c>
      <c r="G1617" s="1" t="s">
        <v>48</v>
      </c>
      <c r="H1617" s="1" t="s">
        <v>38</v>
      </c>
      <c r="I1617" t="s">
        <v>13</v>
      </c>
      <c r="J1617" t="s">
        <v>13</v>
      </c>
    </row>
    <row r="1618" spans="1:11" x14ac:dyDescent="0.35">
      <c r="A1618" t="s">
        <v>39</v>
      </c>
      <c r="B1618" t="s">
        <v>13</v>
      </c>
      <c r="C1618" t="s">
        <v>7</v>
      </c>
      <c r="D1618" t="s">
        <v>8</v>
      </c>
      <c r="E1618" s="1">
        <v>116480000</v>
      </c>
      <c r="F1618" s="1">
        <v>94037000</v>
      </c>
      <c r="G1618" s="1" t="s">
        <v>11</v>
      </c>
      <c r="H1618" s="1">
        <v>1315911000</v>
      </c>
      <c r="I1618" t="s">
        <v>13</v>
      </c>
      <c r="J1618" t="s">
        <v>13</v>
      </c>
      <c r="K1618">
        <v>7.15</v>
      </c>
    </row>
    <row r="1619" spans="1:11" x14ac:dyDescent="0.35">
      <c r="E1619" s="1"/>
      <c r="F1619" s="1"/>
      <c r="G1619" s="1"/>
      <c r="H1619" s="1"/>
    </row>
    <row r="1620" spans="1:11" x14ac:dyDescent="0.35">
      <c r="A1620" t="s">
        <v>346</v>
      </c>
      <c r="B1620" t="str">
        <f>"55176"</f>
        <v>55176</v>
      </c>
      <c r="C1620" t="str">
        <f>"002"</f>
        <v>002</v>
      </c>
      <c r="D1620">
        <v>2020</v>
      </c>
      <c r="E1620" s="1">
        <v>2472400</v>
      </c>
      <c r="F1620" s="1">
        <v>2431200</v>
      </c>
      <c r="G1620" s="1" t="s">
        <v>11</v>
      </c>
      <c r="H1620" s="1" t="s">
        <v>38</v>
      </c>
      <c r="I1620" t="s">
        <v>13</v>
      </c>
      <c r="J1620" t="s">
        <v>13</v>
      </c>
    </row>
    <row r="1621" spans="1:11" x14ac:dyDescent="0.35">
      <c r="A1621" t="s">
        <v>5</v>
      </c>
      <c r="B1621" t="str">
        <f>"55176"</f>
        <v>55176</v>
      </c>
      <c r="C1621" t="str">
        <f>"003"</f>
        <v>003</v>
      </c>
      <c r="D1621">
        <v>2020</v>
      </c>
      <c r="E1621" s="1">
        <v>1787000</v>
      </c>
      <c r="F1621" s="1">
        <v>1737200</v>
      </c>
      <c r="G1621" s="1" t="s">
        <v>11</v>
      </c>
      <c r="H1621" s="1" t="s">
        <v>38</v>
      </c>
      <c r="I1621" t="s">
        <v>13</v>
      </c>
      <c r="J1621" t="s">
        <v>13</v>
      </c>
    </row>
    <row r="1622" spans="1:11" x14ac:dyDescent="0.35">
      <c r="A1622" t="s">
        <v>39</v>
      </c>
      <c r="B1622" t="s">
        <v>13</v>
      </c>
      <c r="C1622" t="s">
        <v>7</v>
      </c>
      <c r="D1622" t="s">
        <v>8</v>
      </c>
      <c r="E1622" s="1">
        <v>4259400</v>
      </c>
      <c r="F1622" s="1">
        <v>4168400</v>
      </c>
      <c r="G1622" s="1" t="s">
        <v>11</v>
      </c>
      <c r="H1622" s="1">
        <v>189253900</v>
      </c>
      <c r="I1622" t="s">
        <v>13</v>
      </c>
      <c r="J1622" t="s">
        <v>13</v>
      </c>
      <c r="K1622">
        <v>2.2000000000000002</v>
      </c>
    </row>
    <row r="1623" spans="1:11" x14ac:dyDescent="0.35">
      <c r="E1623" s="1"/>
      <c r="F1623" s="1"/>
      <c r="G1623" s="1"/>
      <c r="H1623" s="1"/>
    </row>
    <row r="1624" spans="1:11" x14ac:dyDescent="0.35">
      <c r="A1624" t="s">
        <v>347</v>
      </c>
      <c r="B1624" t="str">
        <f>"56176"</f>
        <v>56176</v>
      </c>
      <c r="C1624" t="str">
        <f>"002"</f>
        <v>002</v>
      </c>
      <c r="D1624">
        <v>2020</v>
      </c>
      <c r="E1624" s="1">
        <v>1432400</v>
      </c>
      <c r="F1624" s="1">
        <v>203000</v>
      </c>
      <c r="G1624" s="1" t="s">
        <v>11</v>
      </c>
      <c r="H1624" s="1" t="s">
        <v>38</v>
      </c>
      <c r="I1624" t="s">
        <v>13</v>
      </c>
      <c r="J1624" t="s">
        <v>13</v>
      </c>
    </row>
    <row r="1625" spans="1:11" x14ac:dyDescent="0.35">
      <c r="A1625" t="s">
        <v>39</v>
      </c>
      <c r="B1625" t="s">
        <v>13</v>
      </c>
      <c r="C1625" t="s">
        <v>7</v>
      </c>
      <c r="D1625" t="s">
        <v>8</v>
      </c>
      <c r="E1625" s="1">
        <v>1432400</v>
      </c>
      <c r="F1625" s="1">
        <v>203000</v>
      </c>
      <c r="G1625" s="1" t="s">
        <v>11</v>
      </c>
      <c r="H1625" s="1">
        <v>24883900</v>
      </c>
      <c r="I1625" t="s">
        <v>13</v>
      </c>
      <c r="J1625" t="s">
        <v>13</v>
      </c>
      <c r="K1625">
        <v>0.82</v>
      </c>
    </row>
    <row r="1626" spans="1:11" x14ac:dyDescent="0.35">
      <c r="E1626" s="1"/>
      <c r="F1626" s="1"/>
      <c r="G1626" s="1"/>
      <c r="H1626" s="1"/>
    </row>
    <row r="1627" spans="1:11" x14ac:dyDescent="0.35">
      <c r="A1627" t="s">
        <v>348</v>
      </c>
      <c r="B1627" t="str">
        <f>"32176"</f>
        <v>32176</v>
      </c>
      <c r="C1627" t="str">
        <f>"001"</f>
        <v>001</v>
      </c>
      <c r="D1627">
        <v>2010</v>
      </c>
      <c r="E1627" s="1">
        <v>7414300</v>
      </c>
      <c r="F1627" s="1">
        <v>6238000</v>
      </c>
      <c r="G1627" s="1" t="s">
        <v>11</v>
      </c>
      <c r="H1627" s="1" t="s">
        <v>38</v>
      </c>
      <c r="I1627" t="s">
        <v>13</v>
      </c>
      <c r="J1627" t="s">
        <v>13</v>
      </c>
    </row>
    <row r="1628" spans="1:11" x14ac:dyDescent="0.35">
      <c r="A1628" t="s">
        <v>5</v>
      </c>
      <c r="B1628" t="str">
        <f>"41176"</f>
        <v>41176</v>
      </c>
      <c r="C1628" t="str">
        <f>"001"</f>
        <v>001</v>
      </c>
      <c r="D1628">
        <v>2010</v>
      </c>
      <c r="E1628" s="1">
        <v>3939400</v>
      </c>
      <c r="F1628" s="1">
        <v>2102000</v>
      </c>
      <c r="G1628" s="1" t="s">
        <v>11</v>
      </c>
      <c r="H1628" s="1" t="s">
        <v>38</v>
      </c>
      <c r="I1628" t="s">
        <v>13</v>
      </c>
      <c r="J1628" t="s">
        <v>13</v>
      </c>
    </row>
    <row r="1629" spans="1:11" x14ac:dyDescent="0.35">
      <c r="A1629" t="s">
        <v>39</v>
      </c>
      <c r="B1629" t="s">
        <v>13</v>
      </c>
      <c r="C1629" t="s">
        <v>7</v>
      </c>
      <c r="D1629" t="s">
        <v>8</v>
      </c>
      <c r="E1629" s="1">
        <v>11353700</v>
      </c>
      <c r="F1629" s="1">
        <v>8340000</v>
      </c>
      <c r="G1629" s="1" t="s">
        <v>11</v>
      </c>
      <c r="H1629" s="1">
        <v>54131900</v>
      </c>
      <c r="I1629" t="s">
        <v>13</v>
      </c>
      <c r="J1629" t="s">
        <v>13</v>
      </c>
      <c r="K1629">
        <v>15.41</v>
      </c>
    </row>
    <row r="1630" spans="1:11" x14ac:dyDescent="0.35">
      <c r="E1630" s="1"/>
      <c r="F1630" s="1"/>
      <c r="G1630" s="1"/>
      <c r="H1630" s="1"/>
    </row>
    <row r="1631" spans="1:11" x14ac:dyDescent="0.35">
      <c r="A1631" t="s">
        <v>349</v>
      </c>
      <c r="B1631" t="str">
        <f>"01030"</f>
        <v>01030</v>
      </c>
      <c r="C1631" t="str">
        <f>"001T"</f>
        <v>001T</v>
      </c>
      <c r="D1631">
        <v>2015</v>
      </c>
      <c r="E1631" s="1">
        <v>54718600</v>
      </c>
      <c r="F1631" s="1">
        <v>53469200</v>
      </c>
      <c r="G1631" s="1" t="s">
        <v>11</v>
      </c>
      <c r="H1631" s="1" t="s">
        <v>38</v>
      </c>
      <c r="I1631" t="s">
        <v>13</v>
      </c>
      <c r="J1631" t="s">
        <v>13</v>
      </c>
    </row>
    <row r="1632" spans="1:11" x14ac:dyDescent="0.35">
      <c r="A1632" t="s">
        <v>39</v>
      </c>
      <c r="B1632" t="s">
        <v>13</v>
      </c>
      <c r="C1632" t="s">
        <v>7</v>
      </c>
      <c r="D1632" t="s">
        <v>8</v>
      </c>
      <c r="E1632" s="1">
        <v>54718600</v>
      </c>
      <c r="F1632" s="1">
        <v>53469200</v>
      </c>
      <c r="G1632" s="1" t="s">
        <v>11</v>
      </c>
      <c r="H1632" s="1">
        <v>827953300</v>
      </c>
      <c r="I1632">
        <v>6.46</v>
      </c>
      <c r="J1632">
        <v>6.61</v>
      </c>
    </row>
    <row r="1633" spans="1:11" x14ac:dyDescent="0.35">
      <c r="E1633" s="1"/>
      <c r="F1633" s="1"/>
      <c r="G1633" s="1"/>
      <c r="H1633" s="1"/>
    </row>
    <row r="1634" spans="1:11" x14ac:dyDescent="0.35">
      <c r="A1634" t="s">
        <v>350</v>
      </c>
      <c r="B1634" t="str">
        <f>"20176"</f>
        <v>20176</v>
      </c>
      <c r="C1634" t="str">
        <f>"001"</f>
        <v>001</v>
      </c>
      <c r="D1634">
        <v>2011</v>
      </c>
      <c r="E1634" s="1">
        <v>4389500</v>
      </c>
      <c r="F1634" s="1">
        <v>925100</v>
      </c>
      <c r="G1634" s="1" t="s">
        <v>11</v>
      </c>
      <c r="H1634" s="1" t="s">
        <v>38</v>
      </c>
      <c r="I1634" t="s">
        <v>13</v>
      </c>
      <c r="J1634" t="s">
        <v>13</v>
      </c>
    </row>
    <row r="1635" spans="1:11" x14ac:dyDescent="0.35">
      <c r="A1635" t="s">
        <v>5</v>
      </c>
      <c r="B1635" t="str">
        <f>"20176"</f>
        <v>20176</v>
      </c>
      <c r="C1635" t="str">
        <f>"002"</f>
        <v>002</v>
      </c>
      <c r="D1635">
        <v>2019</v>
      </c>
      <c r="E1635" s="1">
        <v>4604900</v>
      </c>
      <c r="F1635" s="1">
        <v>954100</v>
      </c>
      <c r="G1635" s="1" t="s">
        <v>11</v>
      </c>
      <c r="H1635" s="1" t="s">
        <v>38</v>
      </c>
      <c r="I1635" t="s">
        <v>13</v>
      </c>
      <c r="J1635" t="s">
        <v>13</v>
      </c>
    </row>
    <row r="1636" spans="1:11" x14ac:dyDescent="0.35">
      <c r="A1636" t="s">
        <v>39</v>
      </c>
      <c r="B1636" t="s">
        <v>13</v>
      </c>
      <c r="C1636" t="s">
        <v>7</v>
      </c>
      <c r="D1636" t="s">
        <v>8</v>
      </c>
      <c r="E1636" s="1">
        <v>8994400</v>
      </c>
      <c r="F1636" s="1">
        <v>1879200</v>
      </c>
      <c r="G1636" s="1" t="s">
        <v>11</v>
      </c>
      <c r="H1636" s="1">
        <v>74632300</v>
      </c>
      <c r="I1636" t="s">
        <v>13</v>
      </c>
      <c r="J1636" t="s">
        <v>13</v>
      </c>
      <c r="K1636">
        <v>2.52</v>
      </c>
    </row>
    <row r="1637" spans="1:11" x14ac:dyDescent="0.35">
      <c r="E1637" s="1"/>
      <c r="F1637" s="1"/>
      <c r="G1637" s="1"/>
      <c r="H1637" s="1"/>
    </row>
    <row r="1638" spans="1:11" x14ac:dyDescent="0.35">
      <c r="A1638" t="s">
        <v>351</v>
      </c>
      <c r="B1638" t="str">
        <f>"37176"</f>
        <v>37176</v>
      </c>
      <c r="C1638" t="str">
        <f>"002"</f>
        <v>002</v>
      </c>
      <c r="D1638">
        <v>2013</v>
      </c>
      <c r="E1638" s="1">
        <v>54792500</v>
      </c>
      <c r="F1638" s="1">
        <v>9928100</v>
      </c>
      <c r="G1638" s="1" t="s">
        <v>11</v>
      </c>
      <c r="H1638" s="1" t="s">
        <v>38</v>
      </c>
      <c r="I1638" t="s">
        <v>13</v>
      </c>
      <c r="J1638" t="s">
        <v>13</v>
      </c>
    </row>
    <row r="1639" spans="1:11" x14ac:dyDescent="0.35">
      <c r="A1639" t="s">
        <v>39</v>
      </c>
      <c r="B1639" t="s">
        <v>13</v>
      </c>
      <c r="C1639" t="s">
        <v>7</v>
      </c>
      <c r="D1639" t="s">
        <v>8</v>
      </c>
      <c r="E1639" s="1">
        <v>54792500</v>
      </c>
      <c r="F1639" s="1">
        <v>9928100</v>
      </c>
      <c r="G1639" s="1" t="s">
        <v>11</v>
      </c>
      <c r="H1639" s="1">
        <v>533275000</v>
      </c>
      <c r="I1639" t="s">
        <v>13</v>
      </c>
      <c r="J1639" t="s">
        <v>13</v>
      </c>
      <c r="K1639">
        <v>1.86</v>
      </c>
    </row>
    <row r="1640" spans="1:11" x14ac:dyDescent="0.35">
      <c r="E1640" s="1"/>
      <c r="F1640" s="1"/>
      <c r="G1640" s="1"/>
      <c r="H1640" s="1"/>
    </row>
    <row r="1641" spans="1:11" x14ac:dyDescent="0.35">
      <c r="A1641" t="s">
        <v>352</v>
      </c>
      <c r="B1641" t="str">
        <f>"40281"</f>
        <v>40281</v>
      </c>
      <c r="C1641" t="str">
        <f>"003"</f>
        <v>003</v>
      </c>
      <c r="D1641">
        <v>2006</v>
      </c>
      <c r="E1641" s="1">
        <v>69940700</v>
      </c>
      <c r="F1641" s="1">
        <v>13809400</v>
      </c>
      <c r="G1641" s="1" t="s">
        <v>11</v>
      </c>
      <c r="H1641" s="1" t="s">
        <v>38</v>
      </c>
      <c r="I1641" t="s">
        <v>13</v>
      </c>
      <c r="J1641" t="s">
        <v>13</v>
      </c>
    </row>
    <row r="1642" spans="1:11" x14ac:dyDescent="0.35">
      <c r="A1642" t="s">
        <v>5</v>
      </c>
      <c r="B1642" t="str">
        <f>"40281"</f>
        <v>40281</v>
      </c>
      <c r="C1642" t="str">
        <f>"004"</f>
        <v>004</v>
      </c>
      <c r="D1642">
        <v>2012</v>
      </c>
      <c r="E1642" s="1">
        <v>57710600</v>
      </c>
      <c r="F1642" s="1">
        <v>9253500</v>
      </c>
      <c r="G1642" s="1" t="s">
        <v>11</v>
      </c>
      <c r="H1642" s="1" t="s">
        <v>38</v>
      </c>
      <c r="I1642" t="s">
        <v>13</v>
      </c>
      <c r="J1642" t="s">
        <v>13</v>
      </c>
    </row>
    <row r="1643" spans="1:11" x14ac:dyDescent="0.35">
      <c r="A1643" t="s">
        <v>5</v>
      </c>
      <c r="B1643" t="str">
        <f>"40281"</f>
        <v>40281</v>
      </c>
      <c r="C1643" t="str">
        <f>"005"</f>
        <v>005</v>
      </c>
      <c r="D1643">
        <v>2015</v>
      </c>
      <c r="E1643" s="1">
        <v>171576000</v>
      </c>
      <c r="F1643" s="1">
        <v>89932700</v>
      </c>
      <c r="G1643" s="1" t="s">
        <v>11</v>
      </c>
      <c r="H1643" s="1" t="s">
        <v>38</v>
      </c>
      <c r="I1643" t="s">
        <v>13</v>
      </c>
      <c r="J1643" t="s">
        <v>13</v>
      </c>
    </row>
    <row r="1644" spans="1:11" x14ac:dyDescent="0.35">
      <c r="A1644" t="s">
        <v>39</v>
      </c>
      <c r="B1644" t="s">
        <v>13</v>
      </c>
      <c r="C1644" t="s">
        <v>7</v>
      </c>
      <c r="D1644" t="s">
        <v>8</v>
      </c>
      <c r="E1644" s="1">
        <v>299227300</v>
      </c>
      <c r="F1644" s="1">
        <v>112995600</v>
      </c>
      <c r="G1644" s="1" t="s">
        <v>11</v>
      </c>
      <c r="H1644" s="1">
        <v>758465300</v>
      </c>
      <c r="I1644" t="s">
        <v>13</v>
      </c>
      <c r="J1644" t="s">
        <v>13</v>
      </c>
      <c r="K1644">
        <v>14.9</v>
      </c>
    </row>
    <row r="1645" spans="1:11" x14ac:dyDescent="0.35">
      <c r="E1645" s="1"/>
      <c r="F1645" s="1"/>
      <c r="G1645" s="1"/>
      <c r="H1645" s="1"/>
    </row>
    <row r="1646" spans="1:11" x14ac:dyDescent="0.35">
      <c r="A1646" t="s">
        <v>353</v>
      </c>
      <c r="B1646" t="str">
        <f>"30179"</f>
        <v>30179</v>
      </c>
      <c r="C1646" t="str">
        <f>"001"</f>
        <v>001</v>
      </c>
      <c r="D1646">
        <v>2015</v>
      </c>
      <c r="E1646" s="1">
        <v>17493700</v>
      </c>
      <c r="F1646" s="1">
        <v>17464200</v>
      </c>
      <c r="G1646" s="1" t="s">
        <v>11</v>
      </c>
      <c r="H1646" s="1" t="s">
        <v>38</v>
      </c>
      <c r="I1646" t="s">
        <v>13</v>
      </c>
      <c r="J1646" t="s">
        <v>13</v>
      </c>
    </row>
    <row r="1647" spans="1:11" x14ac:dyDescent="0.35">
      <c r="A1647" t="s">
        <v>39</v>
      </c>
      <c r="B1647" t="s">
        <v>13</v>
      </c>
      <c r="C1647" t="s">
        <v>7</v>
      </c>
      <c r="D1647" t="s">
        <v>8</v>
      </c>
      <c r="E1647" s="1">
        <v>17493700</v>
      </c>
      <c r="F1647" s="1">
        <v>17464200</v>
      </c>
      <c r="G1647" s="1" t="s">
        <v>11</v>
      </c>
      <c r="H1647" s="1">
        <v>1711259400</v>
      </c>
      <c r="I1647" t="s">
        <v>13</v>
      </c>
      <c r="J1647" t="s">
        <v>13</v>
      </c>
      <c r="K1647">
        <v>1.02</v>
      </c>
    </row>
    <row r="1648" spans="1:11" x14ac:dyDescent="0.35">
      <c r="E1648" s="1"/>
      <c r="F1648" s="1"/>
      <c r="G1648" s="1"/>
      <c r="H1648" s="1"/>
    </row>
    <row r="1649" spans="1:11" x14ac:dyDescent="0.35">
      <c r="A1649" t="s">
        <v>354</v>
      </c>
      <c r="B1649" t="str">
        <f>"56181"</f>
        <v>56181</v>
      </c>
      <c r="C1649" t="str">
        <f>"006"</f>
        <v>006</v>
      </c>
      <c r="D1649">
        <v>2002</v>
      </c>
      <c r="E1649" s="1">
        <v>9771900</v>
      </c>
      <c r="F1649" s="1">
        <v>8565600</v>
      </c>
      <c r="G1649" s="1" t="s">
        <v>11</v>
      </c>
      <c r="H1649" s="1" t="s">
        <v>38</v>
      </c>
      <c r="I1649" t="s">
        <v>13</v>
      </c>
      <c r="J1649" t="s">
        <v>13</v>
      </c>
    </row>
    <row r="1650" spans="1:11" x14ac:dyDescent="0.35">
      <c r="A1650" t="s">
        <v>5</v>
      </c>
      <c r="B1650" t="str">
        <f>"56181"</f>
        <v>56181</v>
      </c>
      <c r="C1650" t="str">
        <f>"007"</f>
        <v>007</v>
      </c>
      <c r="D1650">
        <v>2005</v>
      </c>
      <c r="E1650" s="1">
        <v>4339600</v>
      </c>
      <c r="F1650" s="1">
        <v>3633400</v>
      </c>
      <c r="G1650" s="1" t="s">
        <v>11</v>
      </c>
      <c r="H1650" s="1" t="s">
        <v>38</v>
      </c>
      <c r="I1650" t="s">
        <v>13</v>
      </c>
      <c r="J1650" t="s">
        <v>13</v>
      </c>
    </row>
    <row r="1651" spans="1:11" x14ac:dyDescent="0.35">
      <c r="A1651" t="s">
        <v>5</v>
      </c>
      <c r="B1651" t="str">
        <f>"56181"</f>
        <v>56181</v>
      </c>
      <c r="C1651" t="str">
        <f>"008"</f>
        <v>008</v>
      </c>
      <c r="D1651">
        <v>2005</v>
      </c>
      <c r="E1651" s="1">
        <v>30315900</v>
      </c>
      <c r="F1651" s="1">
        <v>15422400</v>
      </c>
      <c r="G1651" s="1" t="s">
        <v>11</v>
      </c>
      <c r="H1651" s="1" t="s">
        <v>38</v>
      </c>
      <c r="I1651" t="s">
        <v>13</v>
      </c>
      <c r="J1651" t="s">
        <v>13</v>
      </c>
    </row>
    <row r="1652" spans="1:11" x14ac:dyDescent="0.35">
      <c r="A1652" t="s">
        <v>5</v>
      </c>
      <c r="B1652" t="str">
        <f>"56181"</f>
        <v>56181</v>
      </c>
      <c r="C1652" t="str">
        <f>"009"</f>
        <v>009</v>
      </c>
      <c r="D1652">
        <v>2015</v>
      </c>
      <c r="E1652" s="1">
        <v>5378500</v>
      </c>
      <c r="F1652" s="1">
        <v>2046600</v>
      </c>
      <c r="G1652" s="1" t="s">
        <v>11</v>
      </c>
      <c r="H1652" s="1" t="s">
        <v>38</v>
      </c>
      <c r="I1652" t="s">
        <v>13</v>
      </c>
      <c r="J1652" t="s">
        <v>13</v>
      </c>
    </row>
    <row r="1653" spans="1:11" x14ac:dyDescent="0.35">
      <c r="A1653" t="s">
        <v>39</v>
      </c>
      <c r="B1653" t="s">
        <v>13</v>
      </c>
      <c r="C1653" t="s">
        <v>7</v>
      </c>
      <c r="D1653" t="s">
        <v>8</v>
      </c>
      <c r="E1653" s="1">
        <v>49805900</v>
      </c>
      <c r="F1653" s="1">
        <v>29668000</v>
      </c>
      <c r="G1653" s="1" t="s">
        <v>11</v>
      </c>
      <c r="H1653" s="1">
        <v>441865900</v>
      </c>
      <c r="I1653" t="s">
        <v>13</v>
      </c>
      <c r="J1653" t="s">
        <v>13</v>
      </c>
      <c r="K1653">
        <v>6.71</v>
      </c>
    </row>
    <row r="1654" spans="1:11" x14ac:dyDescent="0.35">
      <c r="E1654" s="1"/>
      <c r="F1654" s="1"/>
      <c r="G1654" s="1"/>
      <c r="H1654" s="1"/>
    </row>
    <row r="1655" spans="1:11" x14ac:dyDescent="0.35">
      <c r="A1655" t="s">
        <v>355</v>
      </c>
      <c r="B1655" t="str">
        <f>"45181"</f>
        <v>45181</v>
      </c>
      <c r="C1655" t="str">
        <f>"004"</f>
        <v>004</v>
      </c>
      <c r="D1655">
        <v>2006</v>
      </c>
      <c r="E1655" s="1">
        <v>9440300</v>
      </c>
      <c r="F1655" s="1">
        <v>7840200</v>
      </c>
      <c r="G1655" s="1" t="s">
        <v>11</v>
      </c>
      <c r="H1655" s="1" t="s">
        <v>38</v>
      </c>
      <c r="I1655" t="s">
        <v>13</v>
      </c>
      <c r="J1655" t="s">
        <v>13</v>
      </c>
    </row>
    <row r="1656" spans="1:11" x14ac:dyDescent="0.35">
      <c r="A1656" t="s">
        <v>39</v>
      </c>
      <c r="B1656" t="s">
        <v>13</v>
      </c>
      <c r="C1656" t="s">
        <v>7</v>
      </c>
      <c r="D1656" t="s">
        <v>8</v>
      </c>
      <c r="E1656" s="1">
        <v>9440300</v>
      </c>
      <c r="F1656" s="1">
        <v>7840200</v>
      </c>
      <c r="G1656" s="1" t="s">
        <v>11</v>
      </c>
      <c r="H1656" s="1">
        <v>523835100</v>
      </c>
      <c r="I1656" t="s">
        <v>13</v>
      </c>
      <c r="J1656" t="s">
        <v>13</v>
      </c>
      <c r="K1656">
        <v>1.5</v>
      </c>
    </row>
    <row r="1657" spans="1:11" x14ac:dyDescent="0.35">
      <c r="E1657" s="1"/>
      <c r="F1657" s="1"/>
      <c r="G1657" s="1"/>
      <c r="H1657" s="1"/>
    </row>
    <row r="1658" spans="1:11" x14ac:dyDescent="0.35">
      <c r="A1658" t="s">
        <v>356</v>
      </c>
      <c r="B1658" t="str">
        <f>"37281"</f>
        <v>37281</v>
      </c>
      <c r="C1658" t="str">
        <f>"002"</f>
        <v>002</v>
      </c>
      <c r="D1658">
        <v>1994</v>
      </c>
      <c r="E1658" s="1">
        <v>21758600</v>
      </c>
      <c r="F1658" s="1">
        <v>18485100</v>
      </c>
      <c r="G1658" s="1" t="s">
        <v>11</v>
      </c>
      <c r="H1658" s="1" t="s">
        <v>38</v>
      </c>
      <c r="I1658" t="s">
        <v>13</v>
      </c>
      <c r="J1658" t="s">
        <v>13</v>
      </c>
    </row>
    <row r="1659" spans="1:11" x14ac:dyDescent="0.35">
      <c r="A1659" t="s">
        <v>5</v>
      </c>
      <c r="B1659" t="str">
        <f>"37281"</f>
        <v>37281</v>
      </c>
      <c r="C1659" t="str">
        <f>"003"</f>
        <v>003</v>
      </c>
      <c r="D1659">
        <v>1997</v>
      </c>
      <c r="E1659" s="1">
        <v>14282600</v>
      </c>
      <c r="F1659" s="1">
        <v>9443600</v>
      </c>
      <c r="G1659" s="1" t="s">
        <v>11</v>
      </c>
      <c r="H1659" s="1" t="s">
        <v>38</v>
      </c>
      <c r="I1659" t="s">
        <v>13</v>
      </c>
      <c r="J1659" t="s">
        <v>13</v>
      </c>
    </row>
    <row r="1660" spans="1:11" x14ac:dyDescent="0.35">
      <c r="A1660" t="s">
        <v>5</v>
      </c>
      <c r="B1660" t="str">
        <f>"37281"</f>
        <v>37281</v>
      </c>
      <c r="C1660" t="str">
        <f>"004"</f>
        <v>004</v>
      </c>
      <c r="D1660">
        <v>2017</v>
      </c>
      <c r="E1660" s="1">
        <v>12416100</v>
      </c>
      <c r="F1660" s="1">
        <v>7881900</v>
      </c>
      <c r="G1660" s="1" t="s">
        <v>11</v>
      </c>
      <c r="H1660" s="1" t="s">
        <v>38</v>
      </c>
      <c r="I1660" t="s">
        <v>13</v>
      </c>
      <c r="J1660" t="s">
        <v>13</v>
      </c>
    </row>
    <row r="1661" spans="1:11" x14ac:dyDescent="0.35">
      <c r="A1661" t="s">
        <v>39</v>
      </c>
      <c r="B1661" t="s">
        <v>13</v>
      </c>
      <c r="C1661" t="s">
        <v>7</v>
      </c>
      <c r="D1661" t="s">
        <v>8</v>
      </c>
      <c r="E1661" s="1">
        <v>48457300</v>
      </c>
      <c r="F1661" s="1">
        <v>35810600</v>
      </c>
      <c r="G1661" s="1" t="s">
        <v>11</v>
      </c>
      <c r="H1661" s="1">
        <v>265067700</v>
      </c>
      <c r="I1661" t="s">
        <v>13</v>
      </c>
      <c r="J1661" t="s">
        <v>13</v>
      </c>
      <c r="K1661">
        <v>13.51</v>
      </c>
    </row>
    <row r="1662" spans="1:11" x14ac:dyDescent="0.35">
      <c r="E1662" s="1"/>
      <c r="F1662" s="1"/>
      <c r="G1662" s="1"/>
      <c r="H1662" s="1"/>
    </row>
    <row r="1663" spans="1:11" x14ac:dyDescent="0.35">
      <c r="A1663" t="s">
        <v>357</v>
      </c>
      <c r="B1663" t="str">
        <f>"44281"</f>
        <v>44281</v>
      </c>
      <c r="C1663" t="str">
        <f>"003"</f>
        <v>003</v>
      </c>
      <c r="D1663">
        <v>2001</v>
      </c>
      <c r="E1663" s="1">
        <v>26765800</v>
      </c>
      <c r="F1663" s="1">
        <v>21935900</v>
      </c>
      <c r="G1663" s="1" t="s">
        <v>11</v>
      </c>
      <c r="H1663" s="1" t="s">
        <v>38</v>
      </c>
      <c r="I1663" t="s">
        <v>13</v>
      </c>
      <c r="J1663" t="s">
        <v>13</v>
      </c>
    </row>
    <row r="1664" spans="1:11" x14ac:dyDescent="0.35">
      <c r="A1664" t="s">
        <v>5</v>
      </c>
      <c r="B1664" t="str">
        <f>"44281"</f>
        <v>44281</v>
      </c>
      <c r="C1664" t="str">
        <f>"004"</f>
        <v>004</v>
      </c>
      <c r="D1664">
        <v>2011</v>
      </c>
      <c r="E1664" s="1">
        <v>10821400</v>
      </c>
      <c r="F1664" s="1">
        <v>5164300</v>
      </c>
      <c r="G1664" s="1" t="s">
        <v>11</v>
      </c>
      <c r="H1664" s="1" t="s">
        <v>38</v>
      </c>
      <c r="I1664" t="s">
        <v>13</v>
      </c>
      <c r="J1664" t="s">
        <v>13</v>
      </c>
    </row>
    <row r="1665" spans="1:11" x14ac:dyDescent="0.35">
      <c r="A1665" t="s">
        <v>39</v>
      </c>
      <c r="B1665" t="s">
        <v>13</v>
      </c>
      <c r="C1665" t="s">
        <v>7</v>
      </c>
      <c r="D1665" t="s">
        <v>8</v>
      </c>
      <c r="E1665" s="1">
        <v>37587200</v>
      </c>
      <c r="F1665" s="1">
        <v>27100200</v>
      </c>
      <c r="G1665" s="1" t="s">
        <v>11</v>
      </c>
      <c r="H1665" s="1">
        <v>247523200</v>
      </c>
      <c r="I1665" t="s">
        <v>13</v>
      </c>
      <c r="J1665" t="s">
        <v>13</v>
      </c>
      <c r="K1665">
        <v>10.95</v>
      </c>
    </row>
    <row r="1666" spans="1:11" x14ac:dyDescent="0.35">
      <c r="E1666" s="1"/>
      <c r="F1666" s="1"/>
      <c r="G1666" s="1"/>
      <c r="H1666" s="1"/>
    </row>
    <row r="1667" spans="1:11" x14ac:dyDescent="0.35">
      <c r="A1667" t="s">
        <v>358</v>
      </c>
      <c r="B1667" t="str">
        <f>"64181"</f>
        <v>64181</v>
      </c>
      <c r="C1667" t="str">
        <f>"004"</f>
        <v>004</v>
      </c>
      <c r="D1667">
        <v>2007</v>
      </c>
      <c r="E1667" s="1">
        <v>1108100</v>
      </c>
      <c r="F1667" s="1">
        <v>41000</v>
      </c>
      <c r="G1667" s="1" t="s">
        <v>11</v>
      </c>
      <c r="H1667" s="1" t="s">
        <v>38</v>
      </c>
      <c r="I1667" t="s">
        <v>13</v>
      </c>
      <c r="J1667" t="s">
        <v>13</v>
      </c>
    </row>
    <row r="1668" spans="1:11" x14ac:dyDescent="0.35">
      <c r="A1668" t="s">
        <v>39</v>
      </c>
      <c r="B1668" t="s">
        <v>13</v>
      </c>
      <c r="C1668" t="s">
        <v>7</v>
      </c>
      <c r="D1668" t="s">
        <v>8</v>
      </c>
      <c r="E1668" s="1">
        <v>1108100</v>
      </c>
      <c r="F1668" s="1">
        <v>41000</v>
      </c>
      <c r="G1668" s="1" t="s">
        <v>11</v>
      </c>
      <c r="H1668" s="1">
        <v>84692500</v>
      </c>
      <c r="I1668" t="s">
        <v>13</v>
      </c>
      <c r="J1668" t="s">
        <v>13</v>
      </c>
      <c r="K1668">
        <v>0.05</v>
      </c>
    </row>
    <row r="1669" spans="1:11" x14ac:dyDescent="0.35">
      <c r="E1669" s="1"/>
      <c r="F1669" s="1"/>
      <c r="G1669" s="1"/>
      <c r="H1669" s="1"/>
    </row>
    <row r="1670" spans="1:11" x14ac:dyDescent="0.35">
      <c r="A1670" t="s">
        <v>359</v>
      </c>
      <c r="B1670" t="str">
        <f>"58281"</f>
        <v>58281</v>
      </c>
      <c r="C1670" t="str">
        <f>"004"</f>
        <v>004</v>
      </c>
      <c r="D1670">
        <v>2000</v>
      </c>
      <c r="E1670" s="1">
        <v>25162700</v>
      </c>
      <c r="F1670" s="1">
        <v>12057600</v>
      </c>
      <c r="G1670" s="1" t="s">
        <v>11</v>
      </c>
      <c r="H1670" s="1" t="s">
        <v>38</v>
      </c>
      <c r="I1670" t="s">
        <v>13</v>
      </c>
      <c r="J1670" t="s">
        <v>13</v>
      </c>
    </row>
    <row r="1671" spans="1:11" x14ac:dyDescent="0.35">
      <c r="A1671" t="s">
        <v>5</v>
      </c>
      <c r="B1671" t="str">
        <f>"58281"</f>
        <v>58281</v>
      </c>
      <c r="C1671" t="str">
        <f>"005"</f>
        <v>005</v>
      </c>
      <c r="D1671">
        <v>2001</v>
      </c>
      <c r="E1671" s="1">
        <v>5610600</v>
      </c>
      <c r="F1671" s="1">
        <v>5296300</v>
      </c>
      <c r="G1671" s="1" t="s">
        <v>11</v>
      </c>
      <c r="H1671" s="1" t="s">
        <v>38</v>
      </c>
      <c r="I1671" t="s">
        <v>13</v>
      </c>
      <c r="J1671" t="s">
        <v>13</v>
      </c>
    </row>
    <row r="1672" spans="1:11" x14ac:dyDescent="0.35">
      <c r="A1672" t="s">
        <v>5</v>
      </c>
      <c r="B1672" t="str">
        <f>"58281"</f>
        <v>58281</v>
      </c>
      <c r="C1672" t="str">
        <f>"006"</f>
        <v>006</v>
      </c>
      <c r="D1672">
        <v>2014</v>
      </c>
      <c r="E1672" s="1">
        <v>41938200</v>
      </c>
      <c r="F1672" s="1">
        <v>7040900</v>
      </c>
      <c r="G1672" s="1" t="s">
        <v>11</v>
      </c>
      <c r="H1672" s="1" t="s">
        <v>38</v>
      </c>
      <c r="I1672" t="s">
        <v>13</v>
      </c>
      <c r="J1672" t="s">
        <v>13</v>
      </c>
    </row>
    <row r="1673" spans="1:11" x14ac:dyDescent="0.35">
      <c r="A1673" t="s">
        <v>5</v>
      </c>
      <c r="B1673" t="str">
        <f>"58281"</f>
        <v>58281</v>
      </c>
      <c r="C1673" t="str">
        <f>"007"</f>
        <v>007</v>
      </c>
      <c r="D1673">
        <v>2016</v>
      </c>
      <c r="E1673" s="1">
        <v>43802500</v>
      </c>
      <c r="F1673" s="1">
        <v>36814300</v>
      </c>
      <c r="G1673" s="1" t="s">
        <v>11</v>
      </c>
      <c r="H1673" s="1" t="s">
        <v>38</v>
      </c>
      <c r="I1673" t="s">
        <v>13</v>
      </c>
      <c r="J1673" t="s">
        <v>13</v>
      </c>
    </row>
    <row r="1674" spans="1:11" x14ac:dyDescent="0.35">
      <c r="A1674" t="s">
        <v>5</v>
      </c>
      <c r="B1674" t="str">
        <f>"58281"</f>
        <v>58281</v>
      </c>
      <c r="C1674" t="str">
        <f>"008"</f>
        <v>008</v>
      </c>
      <c r="D1674">
        <v>2018</v>
      </c>
      <c r="E1674" s="1">
        <v>0</v>
      </c>
      <c r="F1674" s="1">
        <v>-215900</v>
      </c>
      <c r="G1674" s="1" t="s">
        <v>48</v>
      </c>
      <c r="H1674" s="1" t="s">
        <v>38</v>
      </c>
      <c r="I1674" t="s">
        <v>13</v>
      </c>
      <c r="J1674" t="s">
        <v>13</v>
      </c>
    </row>
    <row r="1675" spans="1:11" x14ac:dyDescent="0.35">
      <c r="A1675" t="s">
        <v>39</v>
      </c>
      <c r="B1675" t="s">
        <v>13</v>
      </c>
      <c r="C1675" t="s">
        <v>7</v>
      </c>
      <c r="D1675" t="s">
        <v>8</v>
      </c>
      <c r="E1675" s="1">
        <v>116514000</v>
      </c>
      <c r="F1675" s="1">
        <v>61209100</v>
      </c>
      <c r="G1675" s="1" t="s">
        <v>11</v>
      </c>
      <c r="H1675" s="1">
        <v>592502700</v>
      </c>
      <c r="I1675" t="s">
        <v>13</v>
      </c>
      <c r="J1675" t="s">
        <v>13</v>
      </c>
      <c r="K1675">
        <v>10.33</v>
      </c>
    </row>
    <row r="1676" spans="1:11" x14ac:dyDescent="0.35">
      <c r="E1676" s="1"/>
      <c r="F1676" s="1"/>
      <c r="G1676" s="1"/>
      <c r="H1676" s="1"/>
    </row>
    <row r="1677" spans="1:11" x14ac:dyDescent="0.35">
      <c r="A1677" t="s">
        <v>360</v>
      </c>
      <c r="B1677" t="str">
        <f>"59024"</f>
        <v>59024</v>
      </c>
      <c r="C1677" t="str">
        <f>"001A"</f>
        <v>001A</v>
      </c>
      <c r="D1677">
        <v>2020</v>
      </c>
      <c r="E1677" s="1">
        <v>28242500</v>
      </c>
      <c r="F1677" s="1">
        <v>1241100</v>
      </c>
      <c r="G1677" s="1" t="s">
        <v>11</v>
      </c>
      <c r="H1677" s="1" t="s">
        <v>38</v>
      </c>
      <c r="I1677" t="s">
        <v>13</v>
      </c>
      <c r="J1677" t="s">
        <v>13</v>
      </c>
    </row>
    <row r="1678" spans="1:11" x14ac:dyDescent="0.35">
      <c r="A1678" t="s">
        <v>39</v>
      </c>
      <c r="B1678" t="s">
        <v>13</v>
      </c>
      <c r="C1678" t="s">
        <v>7</v>
      </c>
      <c r="D1678" t="s">
        <v>8</v>
      </c>
      <c r="E1678" s="1">
        <v>28242500</v>
      </c>
      <c r="F1678" s="1">
        <v>1241100</v>
      </c>
      <c r="G1678" s="1" t="s">
        <v>11</v>
      </c>
      <c r="H1678" s="1">
        <v>924498900</v>
      </c>
      <c r="I1678" t="s">
        <v>13</v>
      </c>
      <c r="J1678" t="s">
        <v>13</v>
      </c>
      <c r="K1678">
        <v>0.13</v>
      </c>
    </row>
    <row r="1679" spans="1:11" x14ac:dyDescent="0.35">
      <c r="A1679" t="s">
        <v>360</v>
      </c>
      <c r="B1679" t="str">
        <f t="shared" ref="B1679:B1689" si="35">"59281"</f>
        <v>59281</v>
      </c>
      <c r="C1679" t="str">
        <f>"006"</f>
        <v>006</v>
      </c>
      <c r="D1679">
        <v>1992</v>
      </c>
      <c r="E1679" s="1">
        <v>89560300</v>
      </c>
      <c r="F1679" s="1">
        <v>69981300</v>
      </c>
      <c r="G1679" s="1" t="s">
        <v>11</v>
      </c>
      <c r="H1679" s="1" t="s">
        <v>38</v>
      </c>
      <c r="I1679" t="s">
        <v>13</v>
      </c>
      <c r="J1679" t="s">
        <v>13</v>
      </c>
    </row>
    <row r="1680" spans="1:11" x14ac:dyDescent="0.35">
      <c r="A1680" t="s">
        <v>5</v>
      </c>
      <c r="B1680" t="str">
        <f t="shared" si="35"/>
        <v>59281</v>
      </c>
      <c r="C1680" t="str">
        <f>"010"</f>
        <v>010</v>
      </c>
      <c r="D1680">
        <v>1997</v>
      </c>
      <c r="E1680" s="1">
        <v>22052900</v>
      </c>
      <c r="F1680" s="1">
        <v>18802300</v>
      </c>
      <c r="G1680" s="1" t="s">
        <v>11</v>
      </c>
      <c r="H1680" s="1" t="s">
        <v>38</v>
      </c>
      <c r="I1680" t="s">
        <v>13</v>
      </c>
      <c r="J1680" t="s">
        <v>13</v>
      </c>
    </row>
    <row r="1681" spans="1:11" x14ac:dyDescent="0.35">
      <c r="A1681" t="s">
        <v>5</v>
      </c>
      <c r="B1681" t="str">
        <f t="shared" si="35"/>
        <v>59281</v>
      </c>
      <c r="C1681" t="str">
        <f>"012"</f>
        <v>012</v>
      </c>
      <c r="D1681">
        <v>2000</v>
      </c>
      <c r="E1681" s="1">
        <v>12871100</v>
      </c>
      <c r="F1681" s="1">
        <v>9045400</v>
      </c>
      <c r="G1681" s="1" t="s">
        <v>11</v>
      </c>
      <c r="H1681" s="1" t="s">
        <v>38</v>
      </c>
      <c r="I1681" t="s">
        <v>13</v>
      </c>
      <c r="J1681" t="s">
        <v>13</v>
      </c>
    </row>
    <row r="1682" spans="1:11" x14ac:dyDescent="0.35">
      <c r="A1682" t="s">
        <v>5</v>
      </c>
      <c r="B1682" t="str">
        <f t="shared" si="35"/>
        <v>59281</v>
      </c>
      <c r="C1682" t="str">
        <f>"013"</f>
        <v>013</v>
      </c>
      <c r="D1682">
        <v>2006</v>
      </c>
      <c r="E1682" s="1">
        <v>19726400</v>
      </c>
      <c r="F1682" s="1">
        <v>19432000</v>
      </c>
      <c r="G1682" s="1" t="s">
        <v>11</v>
      </c>
      <c r="H1682" s="1" t="s">
        <v>38</v>
      </c>
      <c r="I1682" t="s">
        <v>13</v>
      </c>
      <c r="J1682" t="s">
        <v>13</v>
      </c>
    </row>
    <row r="1683" spans="1:11" x14ac:dyDescent="0.35">
      <c r="A1683" t="s">
        <v>5</v>
      </c>
      <c r="B1683" t="str">
        <f t="shared" si="35"/>
        <v>59281</v>
      </c>
      <c r="C1683" t="str">
        <f>"014"</f>
        <v>014</v>
      </c>
      <c r="D1683">
        <v>2011</v>
      </c>
      <c r="E1683" s="1">
        <v>84035500</v>
      </c>
      <c r="F1683" s="1">
        <v>62841700</v>
      </c>
      <c r="G1683" s="1" t="s">
        <v>11</v>
      </c>
      <c r="H1683" s="1" t="s">
        <v>38</v>
      </c>
      <c r="I1683" t="s">
        <v>13</v>
      </c>
      <c r="J1683" t="s">
        <v>13</v>
      </c>
    </row>
    <row r="1684" spans="1:11" x14ac:dyDescent="0.35">
      <c r="A1684" t="s">
        <v>5</v>
      </c>
      <c r="B1684" t="str">
        <f t="shared" si="35"/>
        <v>59281</v>
      </c>
      <c r="C1684" t="str">
        <f>"015"</f>
        <v>015</v>
      </c>
      <c r="D1684">
        <v>2011</v>
      </c>
      <c r="E1684" s="1">
        <v>22148500</v>
      </c>
      <c r="F1684" s="1">
        <v>9713600</v>
      </c>
      <c r="G1684" s="1" t="s">
        <v>11</v>
      </c>
      <c r="H1684" s="1" t="s">
        <v>38</v>
      </c>
      <c r="I1684" t="s">
        <v>13</v>
      </c>
      <c r="J1684" t="s">
        <v>13</v>
      </c>
    </row>
    <row r="1685" spans="1:11" x14ac:dyDescent="0.35">
      <c r="A1685" t="s">
        <v>5</v>
      </c>
      <c r="B1685" t="str">
        <f t="shared" si="35"/>
        <v>59281</v>
      </c>
      <c r="C1685" t="str">
        <f>"016"</f>
        <v>016</v>
      </c>
      <c r="D1685">
        <v>2015</v>
      </c>
      <c r="E1685" s="1">
        <v>50912800</v>
      </c>
      <c r="F1685" s="1">
        <v>28453600</v>
      </c>
      <c r="G1685" s="1" t="s">
        <v>11</v>
      </c>
      <c r="H1685" s="1" t="s">
        <v>38</v>
      </c>
      <c r="I1685" t="s">
        <v>13</v>
      </c>
      <c r="J1685" t="s">
        <v>13</v>
      </c>
    </row>
    <row r="1686" spans="1:11" x14ac:dyDescent="0.35">
      <c r="A1686" t="s">
        <v>5</v>
      </c>
      <c r="B1686" t="str">
        <f t="shared" si="35"/>
        <v>59281</v>
      </c>
      <c r="C1686" t="str">
        <f>"017"</f>
        <v>017</v>
      </c>
      <c r="D1686">
        <v>2018</v>
      </c>
      <c r="E1686" s="1">
        <v>62739700</v>
      </c>
      <c r="F1686" s="1">
        <v>28718000</v>
      </c>
      <c r="G1686" s="1" t="s">
        <v>11</v>
      </c>
      <c r="H1686" s="1" t="s">
        <v>38</v>
      </c>
      <c r="I1686" t="s">
        <v>13</v>
      </c>
      <c r="J1686" t="s">
        <v>13</v>
      </c>
    </row>
    <row r="1687" spans="1:11" x14ac:dyDescent="0.35">
      <c r="A1687" t="s">
        <v>5</v>
      </c>
      <c r="B1687" t="str">
        <f t="shared" si="35"/>
        <v>59281</v>
      </c>
      <c r="C1687" t="str">
        <f>"018"</f>
        <v>018</v>
      </c>
      <c r="D1687">
        <v>2018</v>
      </c>
      <c r="E1687" s="1">
        <v>26051800</v>
      </c>
      <c r="F1687" s="1">
        <v>13607400</v>
      </c>
      <c r="G1687" s="1" t="s">
        <v>11</v>
      </c>
      <c r="H1687" s="1" t="s">
        <v>38</v>
      </c>
      <c r="I1687" t="s">
        <v>13</v>
      </c>
      <c r="J1687" t="s">
        <v>13</v>
      </c>
    </row>
    <row r="1688" spans="1:11" x14ac:dyDescent="0.35">
      <c r="A1688" t="s">
        <v>5</v>
      </c>
      <c r="B1688" t="str">
        <f t="shared" si="35"/>
        <v>59281</v>
      </c>
      <c r="C1688" t="str">
        <f>"019"</f>
        <v>019</v>
      </c>
      <c r="D1688">
        <v>2018</v>
      </c>
      <c r="E1688" s="1">
        <v>7483300</v>
      </c>
      <c r="F1688" s="1">
        <v>4084100</v>
      </c>
      <c r="G1688" s="1" t="s">
        <v>11</v>
      </c>
      <c r="H1688" s="1" t="s">
        <v>38</v>
      </c>
      <c r="I1688" t="s">
        <v>13</v>
      </c>
      <c r="J1688" t="s">
        <v>13</v>
      </c>
    </row>
    <row r="1689" spans="1:11" x14ac:dyDescent="0.35">
      <c r="A1689" t="s">
        <v>5</v>
      </c>
      <c r="B1689" t="str">
        <f t="shared" si="35"/>
        <v>59281</v>
      </c>
      <c r="C1689" t="str">
        <f>"020"</f>
        <v>020</v>
      </c>
      <c r="D1689">
        <v>2020</v>
      </c>
      <c r="E1689" s="1">
        <v>4700600</v>
      </c>
      <c r="F1689" s="1">
        <v>3292100</v>
      </c>
      <c r="G1689" s="1" t="s">
        <v>11</v>
      </c>
      <c r="H1689" s="1" t="s">
        <v>38</v>
      </c>
      <c r="I1689" t="s">
        <v>13</v>
      </c>
      <c r="J1689" t="s">
        <v>13</v>
      </c>
    </row>
    <row r="1690" spans="1:11" x14ac:dyDescent="0.35">
      <c r="A1690" t="s">
        <v>39</v>
      </c>
      <c r="B1690" t="s">
        <v>13</v>
      </c>
      <c r="C1690" t="s">
        <v>7</v>
      </c>
      <c r="D1690" t="s">
        <v>8</v>
      </c>
      <c r="E1690" s="1">
        <v>402282900</v>
      </c>
      <c r="F1690" s="1">
        <v>267971500</v>
      </c>
      <c r="G1690" s="1" t="s">
        <v>11</v>
      </c>
      <c r="H1690" s="1">
        <v>3424318000</v>
      </c>
      <c r="I1690" t="s">
        <v>13</v>
      </c>
      <c r="J1690" t="s">
        <v>13</v>
      </c>
      <c r="K1690">
        <v>7.83</v>
      </c>
    </row>
    <row r="1691" spans="1:11" x14ac:dyDescent="0.35">
      <c r="E1691" s="1"/>
      <c r="F1691" s="1"/>
      <c r="G1691" s="1"/>
      <c r="H1691" s="1"/>
    </row>
    <row r="1692" spans="1:11" x14ac:dyDescent="0.35">
      <c r="A1692" t="s">
        <v>361</v>
      </c>
      <c r="B1692" t="str">
        <f>"59282"</f>
        <v>59282</v>
      </c>
      <c r="C1692" t="str">
        <f>"003"</f>
        <v>003</v>
      </c>
      <c r="D1692">
        <v>1994</v>
      </c>
      <c r="E1692" s="1">
        <v>28812400</v>
      </c>
      <c r="F1692" s="1">
        <v>22624100</v>
      </c>
      <c r="G1692" s="1" t="s">
        <v>11</v>
      </c>
      <c r="H1692" s="1" t="s">
        <v>38</v>
      </c>
      <c r="I1692" t="s">
        <v>13</v>
      </c>
      <c r="J1692" t="s">
        <v>13</v>
      </c>
    </row>
    <row r="1693" spans="1:11" x14ac:dyDescent="0.35">
      <c r="A1693" t="s">
        <v>5</v>
      </c>
      <c r="B1693" t="str">
        <f>"59282"</f>
        <v>59282</v>
      </c>
      <c r="C1693" t="str">
        <f>"004"</f>
        <v>004</v>
      </c>
      <c r="D1693">
        <v>2016</v>
      </c>
      <c r="E1693" s="1">
        <v>19040700</v>
      </c>
      <c r="F1693" s="1">
        <v>16530600</v>
      </c>
      <c r="G1693" s="1" t="s">
        <v>11</v>
      </c>
      <c r="H1693" s="1" t="s">
        <v>38</v>
      </c>
      <c r="I1693" t="s">
        <v>13</v>
      </c>
      <c r="J1693" t="s">
        <v>13</v>
      </c>
    </row>
    <row r="1694" spans="1:11" x14ac:dyDescent="0.35">
      <c r="A1694" t="s">
        <v>5</v>
      </c>
      <c r="B1694" t="str">
        <f>"59282"</f>
        <v>59282</v>
      </c>
      <c r="C1694" t="str">
        <f>"005"</f>
        <v>005</v>
      </c>
      <c r="D1694">
        <v>2018</v>
      </c>
      <c r="E1694" s="1">
        <v>26442900</v>
      </c>
      <c r="F1694" s="1">
        <v>16066900</v>
      </c>
      <c r="G1694" s="1" t="s">
        <v>11</v>
      </c>
      <c r="H1694" s="1" t="s">
        <v>38</v>
      </c>
      <c r="I1694" t="s">
        <v>13</v>
      </c>
      <c r="J1694" t="s">
        <v>13</v>
      </c>
    </row>
    <row r="1695" spans="1:11" x14ac:dyDescent="0.35">
      <c r="A1695" t="s">
        <v>5</v>
      </c>
      <c r="B1695" t="str">
        <f>"59282"</f>
        <v>59282</v>
      </c>
      <c r="C1695" t="str">
        <f>"006"</f>
        <v>006</v>
      </c>
      <c r="D1695">
        <v>2019</v>
      </c>
      <c r="E1695" s="1">
        <v>10670600</v>
      </c>
      <c r="F1695" s="1">
        <v>10670600</v>
      </c>
      <c r="G1695" s="1" t="s">
        <v>11</v>
      </c>
      <c r="H1695" s="1" t="s">
        <v>38</v>
      </c>
      <c r="I1695" t="s">
        <v>13</v>
      </c>
      <c r="J1695" t="s">
        <v>13</v>
      </c>
    </row>
    <row r="1696" spans="1:11" x14ac:dyDescent="0.35">
      <c r="A1696" t="s">
        <v>5</v>
      </c>
      <c r="B1696" t="str">
        <f>"59282"</f>
        <v>59282</v>
      </c>
      <c r="C1696" t="str">
        <f>"007"</f>
        <v>007</v>
      </c>
      <c r="D1696">
        <v>2019</v>
      </c>
      <c r="E1696" s="1">
        <v>7519900</v>
      </c>
      <c r="F1696" s="1">
        <v>7200400</v>
      </c>
      <c r="G1696" s="1" t="s">
        <v>11</v>
      </c>
      <c r="H1696" s="1" t="s">
        <v>38</v>
      </c>
      <c r="I1696" t="s">
        <v>13</v>
      </c>
      <c r="J1696" t="s">
        <v>13</v>
      </c>
    </row>
    <row r="1697" spans="1:11" x14ac:dyDescent="0.35">
      <c r="A1697" t="s">
        <v>39</v>
      </c>
      <c r="B1697" t="s">
        <v>13</v>
      </c>
      <c r="C1697" t="s">
        <v>7</v>
      </c>
      <c r="D1697" t="s">
        <v>8</v>
      </c>
      <c r="E1697" s="1">
        <v>92486500</v>
      </c>
      <c r="F1697" s="1">
        <v>73092600</v>
      </c>
      <c r="G1697" s="1" t="s">
        <v>11</v>
      </c>
      <c r="H1697" s="1">
        <v>778552000</v>
      </c>
      <c r="I1697" t="s">
        <v>13</v>
      </c>
      <c r="J1697" t="s">
        <v>13</v>
      </c>
      <c r="K1697">
        <v>9.39</v>
      </c>
    </row>
    <row r="1698" spans="1:11" x14ac:dyDescent="0.35">
      <c r="E1698" s="1"/>
      <c r="F1698" s="1"/>
      <c r="G1698" s="1"/>
      <c r="H1698" s="1"/>
    </row>
    <row r="1699" spans="1:11" x14ac:dyDescent="0.35">
      <c r="A1699" t="s">
        <v>362</v>
      </c>
      <c r="B1699" t="str">
        <f>"08179"</f>
        <v>08179</v>
      </c>
      <c r="C1699" t="str">
        <f>"002"</f>
        <v>002</v>
      </c>
      <c r="D1699">
        <v>2013</v>
      </c>
      <c r="E1699" s="1">
        <v>5740300</v>
      </c>
      <c r="F1699" s="1">
        <v>2912800</v>
      </c>
      <c r="G1699" s="1" t="s">
        <v>11</v>
      </c>
      <c r="H1699" s="1" t="s">
        <v>38</v>
      </c>
      <c r="I1699" t="s">
        <v>13</v>
      </c>
      <c r="J1699" t="s">
        <v>13</v>
      </c>
    </row>
    <row r="1700" spans="1:11" x14ac:dyDescent="0.35">
      <c r="A1700" t="s">
        <v>5</v>
      </c>
      <c r="B1700" t="str">
        <f>"08179"</f>
        <v>08179</v>
      </c>
      <c r="C1700" t="str">
        <f>"003"</f>
        <v>003</v>
      </c>
      <c r="D1700">
        <v>2013</v>
      </c>
      <c r="E1700" s="1">
        <v>13821200</v>
      </c>
      <c r="F1700" s="1">
        <v>5152600</v>
      </c>
      <c r="G1700" s="1" t="s">
        <v>11</v>
      </c>
      <c r="H1700" s="1" t="s">
        <v>38</v>
      </c>
      <c r="I1700" t="s">
        <v>13</v>
      </c>
      <c r="J1700" t="s">
        <v>13</v>
      </c>
    </row>
    <row r="1701" spans="1:11" x14ac:dyDescent="0.35">
      <c r="A1701" t="s">
        <v>39</v>
      </c>
      <c r="B1701" t="s">
        <v>13</v>
      </c>
      <c r="C1701" t="s">
        <v>7</v>
      </c>
      <c r="D1701" t="s">
        <v>8</v>
      </c>
      <c r="E1701" s="1">
        <v>19561500</v>
      </c>
      <c r="F1701" s="1">
        <v>8065400</v>
      </c>
      <c r="G1701" s="1" t="s">
        <v>11</v>
      </c>
      <c r="H1701" s="1">
        <v>361890600</v>
      </c>
      <c r="I1701" t="s">
        <v>13</v>
      </c>
      <c r="J1701" t="s">
        <v>13</v>
      </c>
      <c r="K1701">
        <v>2.23</v>
      </c>
    </row>
    <row r="1702" spans="1:11" x14ac:dyDescent="0.35">
      <c r="E1702" s="1"/>
      <c r="F1702" s="1"/>
      <c r="G1702" s="1"/>
      <c r="H1702" s="1"/>
    </row>
    <row r="1703" spans="1:11" x14ac:dyDescent="0.35">
      <c r="A1703" t="s">
        <v>363</v>
      </c>
      <c r="B1703" t="str">
        <f>"40181"</f>
        <v>40181</v>
      </c>
      <c r="C1703" t="str">
        <f>"001"</f>
        <v>001</v>
      </c>
      <c r="D1703">
        <v>1995</v>
      </c>
      <c r="E1703" s="1">
        <v>214553700</v>
      </c>
      <c r="F1703" s="1">
        <v>75422400</v>
      </c>
      <c r="G1703" s="1" t="s">
        <v>11</v>
      </c>
      <c r="H1703" s="1" t="s">
        <v>38</v>
      </c>
      <c r="I1703" t="s">
        <v>13</v>
      </c>
      <c r="J1703" t="s">
        <v>13</v>
      </c>
    </row>
    <row r="1704" spans="1:11" x14ac:dyDescent="0.35">
      <c r="A1704" t="s">
        <v>5</v>
      </c>
      <c r="B1704" t="str">
        <f>"40181"</f>
        <v>40181</v>
      </c>
      <c r="C1704" t="str">
        <f>"003"</f>
        <v>003</v>
      </c>
      <c r="D1704">
        <v>2008</v>
      </c>
      <c r="E1704" s="1">
        <v>47026100</v>
      </c>
      <c r="F1704" s="1">
        <v>39277700</v>
      </c>
      <c r="G1704" s="1" t="s">
        <v>11</v>
      </c>
      <c r="H1704" s="1" t="s">
        <v>38</v>
      </c>
      <c r="I1704" t="s">
        <v>13</v>
      </c>
      <c r="J1704" t="s">
        <v>13</v>
      </c>
    </row>
    <row r="1705" spans="1:11" x14ac:dyDescent="0.35">
      <c r="A1705" t="s">
        <v>5</v>
      </c>
      <c r="B1705" t="str">
        <f>"40181"</f>
        <v>40181</v>
      </c>
      <c r="C1705" t="str">
        <f>"004"</f>
        <v>004</v>
      </c>
      <c r="D1705">
        <v>2011</v>
      </c>
      <c r="E1705" s="1">
        <v>18289800</v>
      </c>
      <c r="F1705" s="1">
        <v>17094400</v>
      </c>
      <c r="G1705" s="1" t="s">
        <v>11</v>
      </c>
      <c r="H1705" s="1" t="s">
        <v>38</v>
      </c>
      <c r="I1705" t="s">
        <v>13</v>
      </c>
      <c r="J1705" t="s">
        <v>13</v>
      </c>
    </row>
    <row r="1706" spans="1:11" x14ac:dyDescent="0.35">
      <c r="A1706" t="s">
        <v>5</v>
      </c>
      <c r="B1706" t="str">
        <f>"40181"</f>
        <v>40181</v>
      </c>
      <c r="C1706" t="str">
        <f>"005"</f>
        <v>005</v>
      </c>
      <c r="D1706">
        <v>2014</v>
      </c>
      <c r="E1706" s="1">
        <v>61221300</v>
      </c>
      <c r="F1706" s="1">
        <v>53135500</v>
      </c>
      <c r="G1706" s="1" t="s">
        <v>11</v>
      </c>
      <c r="H1706" s="1" t="s">
        <v>38</v>
      </c>
      <c r="I1706" t="s">
        <v>13</v>
      </c>
      <c r="J1706" t="s">
        <v>13</v>
      </c>
    </row>
    <row r="1707" spans="1:11" x14ac:dyDescent="0.35">
      <c r="A1707" t="s">
        <v>39</v>
      </c>
      <c r="B1707" t="s">
        <v>13</v>
      </c>
      <c r="C1707" t="s">
        <v>7</v>
      </c>
      <c r="D1707" t="s">
        <v>8</v>
      </c>
      <c r="E1707" s="1">
        <v>341090900</v>
      </c>
      <c r="F1707" s="1">
        <v>184930000</v>
      </c>
      <c r="G1707" s="1" t="s">
        <v>11</v>
      </c>
      <c r="H1707" s="1">
        <v>1885707400</v>
      </c>
      <c r="I1707" t="s">
        <v>13</v>
      </c>
      <c r="J1707" t="s">
        <v>13</v>
      </c>
      <c r="K1707">
        <v>9.81</v>
      </c>
    </row>
    <row r="1708" spans="1:11" x14ac:dyDescent="0.35">
      <c r="E1708" s="1"/>
      <c r="F1708" s="1"/>
      <c r="G1708" s="1"/>
      <c r="H1708" s="1"/>
    </row>
    <row r="1709" spans="1:11" x14ac:dyDescent="0.35">
      <c r="A1709" t="s">
        <v>364</v>
      </c>
      <c r="B1709" t="str">
        <f>"13181"</f>
        <v>13181</v>
      </c>
      <c r="C1709" t="str">
        <f>"003"</f>
        <v>003</v>
      </c>
      <c r="D1709">
        <v>2008</v>
      </c>
      <c r="E1709" s="1">
        <v>71986400</v>
      </c>
      <c r="F1709" s="1">
        <v>50761000</v>
      </c>
      <c r="G1709" s="1" t="s">
        <v>11</v>
      </c>
      <c r="H1709" s="1" t="s">
        <v>38</v>
      </c>
      <c r="I1709" t="s">
        <v>13</v>
      </c>
      <c r="J1709" t="s">
        <v>13</v>
      </c>
    </row>
    <row r="1710" spans="1:11" x14ac:dyDescent="0.35">
      <c r="A1710" t="s">
        <v>5</v>
      </c>
      <c r="B1710" t="str">
        <f>"13181"</f>
        <v>13181</v>
      </c>
      <c r="C1710" t="str">
        <f>"004"</f>
        <v>004</v>
      </c>
      <c r="D1710">
        <v>2010</v>
      </c>
      <c r="E1710" s="1">
        <v>23082500</v>
      </c>
      <c r="F1710" s="1">
        <v>14816700</v>
      </c>
      <c r="G1710" s="1" t="s">
        <v>11</v>
      </c>
      <c r="H1710" s="1" t="s">
        <v>38</v>
      </c>
      <c r="I1710" t="s">
        <v>13</v>
      </c>
      <c r="J1710" t="s">
        <v>13</v>
      </c>
    </row>
    <row r="1711" spans="1:11" x14ac:dyDescent="0.35">
      <c r="A1711" t="s">
        <v>5</v>
      </c>
      <c r="B1711" t="str">
        <f>"13181"</f>
        <v>13181</v>
      </c>
      <c r="C1711" t="str">
        <f>"005"</f>
        <v>005</v>
      </c>
      <c r="D1711">
        <v>2016</v>
      </c>
      <c r="E1711" s="1">
        <v>12714700</v>
      </c>
      <c r="F1711" s="1">
        <v>8462100</v>
      </c>
      <c r="G1711" s="1" t="s">
        <v>11</v>
      </c>
      <c r="H1711" s="1" t="s">
        <v>38</v>
      </c>
      <c r="I1711" t="s">
        <v>13</v>
      </c>
      <c r="J1711" t="s">
        <v>13</v>
      </c>
    </row>
    <row r="1712" spans="1:11" x14ac:dyDescent="0.35">
      <c r="A1712" t="s">
        <v>39</v>
      </c>
      <c r="B1712" t="s">
        <v>13</v>
      </c>
      <c r="C1712" t="s">
        <v>7</v>
      </c>
      <c r="D1712" t="s">
        <v>8</v>
      </c>
      <c r="E1712" s="1">
        <v>107783600</v>
      </c>
      <c r="F1712" s="1">
        <v>74039800</v>
      </c>
      <c r="G1712" s="1" t="s">
        <v>11</v>
      </c>
      <c r="H1712" s="1">
        <v>672585400</v>
      </c>
      <c r="I1712" t="s">
        <v>13</v>
      </c>
      <c r="J1712" t="s">
        <v>13</v>
      </c>
      <c r="K1712">
        <v>11.01</v>
      </c>
    </row>
    <row r="1713" spans="1:11" x14ac:dyDescent="0.35">
      <c r="E1713" s="1"/>
      <c r="F1713" s="1"/>
      <c r="G1713" s="1"/>
      <c r="H1713" s="1"/>
    </row>
    <row r="1714" spans="1:11" x14ac:dyDescent="0.35">
      <c r="A1714" t="s">
        <v>365</v>
      </c>
      <c r="B1714" t="str">
        <f>"33281"</f>
        <v>33281</v>
      </c>
      <c r="C1714" t="str">
        <f>"003"</f>
        <v>003</v>
      </c>
      <c r="D1714">
        <v>1997</v>
      </c>
      <c r="E1714" s="1">
        <v>5547400</v>
      </c>
      <c r="F1714" s="1">
        <v>4067400</v>
      </c>
      <c r="G1714" s="1" t="s">
        <v>11</v>
      </c>
      <c r="H1714" s="1" t="s">
        <v>38</v>
      </c>
      <c r="I1714" t="s">
        <v>13</v>
      </c>
      <c r="J1714" t="s">
        <v>13</v>
      </c>
    </row>
    <row r="1715" spans="1:11" x14ac:dyDescent="0.35">
      <c r="A1715" t="s">
        <v>5</v>
      </c>
      <c r="B1715" t="str">
        <f>"33281"</f>
        <v>33281</v>
      </c>
      <c r="C1715" t="str">
        <f>"004"</f>
        <v>004</v>
      </c>
      <c r="D1715">
        <v>1997</v>
      </c>
      <c r="E1715" s="1">
        <v>1132400</v>
      </c>
      <c r="F1715" s="1">
        <v>1117400</v>
      </c>
      <c r="G1715" s="1" t="s">
        <v>11</v>
      </c>
      <c r="H1715" s="1" t="s">
        <v>38</v>
      </c>
      <c r="I1715" t="s">
        <v>13</v>
      </c>
      <c r="J1715" t="s">
        <v>13</v>
      </c>
    </row>
    <row r="1716" spans="1:11" x14ac:dyDescent="0.35">
      <c r="A1716" t="s">
        <v>5</v>
      </c>
      <c r="B1716" t="str">
        <f>"33281"</f>
        <v>33281</v>
      </c>
      <c r="C1716" t="str">
        <f>"005"</f>
        <v>005</v>
      </c>
      <c r="D1716">
        <v>2005</v>
      </c>
      <c r="E1716" s="1">
        <v>544400</v>
      </c>
      <c r="F1716" s="1">
        <v>382900</v>
      </c>
      <c r="G1716" s="1" t="s">
        <v>11</v>
      </c>
      <c r="H1716" s="1" t="s">
        <v>38</v>
      </c>
      <c r="I1716" t="s">
        <v>13</v>
      </c>
      <c r="J1716" t="s">
        <v>13</v>
      </c>
    </row>
    <row r="1717" spans="1:11" x14ac:dyDescent="0.35">
      <c r="A1717" t="s">
        <v>5</v>
      </c>
      <c r="B1717" t="str">
        <f>"33281"</f>
        <v>33281</v>
      </c>
      <c r="C1717" t="str">
        <f>"006"</f>
        <v>006</v>
      </c>
      <c r="D1717">
        <v>2010</v>
      </c>
      <c r="E1717" s="1">
        <v>3134700</v>
      </c>
      <c r="F1717" s="1">
        <v>3122300</v>
      </c>
      <c r="G1717" s="1" t="s">
        <v>11</v>
      </c>
      <c r="H1717" s="1" t="s">
        <v>38</v>
      </c>
      <c r="I1717" t="s">
        <v>13</v>
      </c>
      <c r="J1717" t="s">
        <v>13</v>
      </c>
    </row>
    <row r="1718" spans="1:11" x14ac:dyDescent="0.35">
      <c r="A1718" t="s">
        <v>5</v>
      </c>
      <c r="B1718" t="str">
        <f>"33281"</f>
        <v>33281</v>
      </c>
      <c r="C1718" t="str">
        <f>"007"</f>
        <v>007</v>
      </c>
      <c r="D1718">
        <v>2010</v>
      </c>
      <c r="E1718" s="1">
        <v>3443400</v>
      </c>
      <c r="F1718" s="1">
        <v>2373100</v>
      </c>
      <c r="G1718" s="1" t="s">
        <v>11</v>
      </c>
      <c r="H1718" s="1" t="s">
        <v>38</v>
      </c>
      <c r="I1718" t="s">
        <v>13</v>
      </c>
      <c r="J1718" t="s">
        <v>13</v>
      </c>
    </row>
    <row r="1719" spans="1:11" x14ac:dyDescent="0.35">
      <c r="A1719" t="s">
        <v>39</v>
      </c>
      <c r="B1719" t="s">
        <v>13</v>
      </c>
      <c r="C1719" t="s">
        <v>7</v>
      </c>
      <c r="D1719" t="s">
        <v>8</v>
      </c>
      <c r="E1719" s="1">
        <v>13802300</v>
      </c>
      <c r="F1719" s="1">
        <v>11063100</v>
      </c>
      <c r="G1719" s="1" t="s">
        <v>11</v>
      </c>
      <c r="H1719" s="1">
        <v>67418300</v>
      </c>
      <c r="I1719" t="s">
        <v>13</v>
      </c>
      <c r="J1719" t="s">
        <v>13</v>
      </c>
      <c r="K1719">
        <v>16.41</v>
      </c>
    </row>
    <row r="1720" spans="1:11" x14ac:dyDescent="0.35">
      <c r="E1720" s="1"/>
      <c r="F1720" s="1"/>
      <c r="G1720" s="1"/>
      <c r="H1720" s="1"/>
    </row>
    <row r="1721" spans="1:11" x14ac:dyDescent="0.35">
      <c r="A1721" t="s">
        <v>366</v>
      </c>
      <c r="B1721" t="str">
        <f>"07181"</f>
        <v>07181</v>
      </c>
      <c r="C1721" t="str">
        <f>"001"</f>
        <v>001</v>
      </c>
      <c r="D1721">
        <v>1994</v>
      </c>
      <c r="E1721" s="1">
        <v>1421400</v>
      </c>
      <c r="F1721" s="1">
        <v>1362700</v>
      </c>
      <c r="G1721" s="1" t="s">
        <v>11</v>
      </c>
      <c r="H1721" s="1" t="s">
        <v>38</v>
      </c>
      <c r="I1721" t="s">
        <v>13</v>
      </c>
      <c r="J1721" t="s">
        <v>13</v>
      </c>
    </row>
    <row r="1722" spans="1:11" x14ac:dyDescent="0.35">
      <c r="A1722" t="s">
        <v>5</v>
      </c>
      <c r="B1722" t="str">
        <f>"07181"</f>
        <v>07181</v>
      </c>
      <c r="C1722" t="str">
        <f>"002"</f>
        <v>002</v>
      </c>
      <c r="D1722">
        <v>2003</v>
      </c>
      <c r="E1722" s="1">
        <v>25887900</v>
      </c>
      <c r="F1722" s="1">
        <v>7125300</v>
      </c>
      <c r="G1722" s="1" t="s">
        <v>11</v>
      </c>
      <c r="H1722" s="1" t="s">
        <v>38</v>
      </c>
      <c r="I1722" t="s">
        <v>13</v>
      </c>
      <c r="J1722" t="s">
        <v>13</v>
      </c>
    </row>
    <row r="1723" spans="1:11" x14ac:dyDescent="0.35">
      <c r="A1723" t="s">
        <v>39</v>
      </c>
      <c r="B1723" t="s">
        <v>13</v>
      </c>
      <c r="C1723" t="s">
        <v>7</v>
      </c>
      <c r="D1723" t="s">
        <v>8</v>
      </c>
      <c r="E1723" s="1">
        <v>27309300</v>
      </c>
      <c r="F1723" s="1">
        <v>8488000</v>
      </c>
      <c r="G1723" s="1" t="s">
        <v>11</v>
      </c>
      <c r="H1723" s="1">
        <v>77497200</v>
      </c>
      <c r="I1723" t="s">
        <v>13</v>
      </c>
      <c r="J1723" t="s">
        <v>13</v>
      </c>
      <c r="K1723">
        <v>10.95</v>
      </c>
    </row>
    <row r="1724" spans="1:11" x14ac:dyDescent="0.35">
      <c r="E1724" s="1"/>
      <c r="F1724" s="1"/>
      <c r="G1724" s="1"/>
      <c r="H1724" s="1"/>
    </row>
    <row r="1725" spans="1:11" x14ac:dyDescent="0.35">
      <c r="A1725" t="s">
        <v>367</v>
      </c>
      <c r="B1725" t="str">
        <f>"15181"</f>
        <v>15181</v>
      </c>
      <c r="C1725" t="str">
        <f>"001"</f>
        <v>001</v>
      </c>
      <c r="D1725">
        <v>2008</v>
      </c>
      <c r="E1725" s="1">
        <v>102181800</v>
      </c>
      <c r="F1725" s="1">
        <v>57463500</v>
      </c>
      <c r="G1725" s="1" t="s">
        <v>11</v>
      </c>
      <c r="H1725" s="1" t="s">
        <v>38</v>
      </c>
      <c r="I1725" t="s">
        <v>13</v>
      </c>
      <c r="J1725" t="s">
        <v>13</v>
      </c>
    </row>
    <row r="1726" spans="1:11" x14ac:dyDescent="0.35">
      <c r="A1726" t="s">
        <v>5</v>
      </c>
      <c r="B1726" t="str">
        <f>"15181"</f>
        <v>15181</v>
      </c>
      <c r="C1726" t="str">
        <f>"002"</f>
        <v>002</v>
      </c>
      <c r="D1726">
        <v>2018</v>
      </c>
      <c r="E1726" s="1">
        <v>14103600</v>
      </c>
      <c r="F1726" s="1">
        <v>4454100</v>
      </c>
      <c r="G1726" s="1" t="s">
        <v>11</v>
      </c>
      <c r="H1726" s="1" t="s">
        <v>38</v>
      </c>
      <c r="I1726" t="s">
        <v>13</v>
      </c>
      <c r="J1726" t="s">
        <v>13</v>
      </c>
    </row>
    <row r="1727" spans="1:11" x14ac:dyDescent="0.35">
      <c r="A1727" t="s">
        <v>39</v>
      </c>
      <c r="B1727" t="s">
        <v>13</v>
      </c>
      <c r="C1727" t="s">
        <v>7</v>
      </c>
      <c r="D1727" t="s">
        <v>8</v>
      </c>
      <c r="E1727" s="1">
        <v>116285400</v>
      </c>
      <c r="F1727" s="1">
        <v>61917600</v>
      </c>
      <c r="G1727" s="1" t="s">
        <v>11</v>
      </c>
      <c r="H1727" s="1">
        <v>510148300</v>
      </c>
      <c r="I1727" t="s">
        <v>13</v>
      </c>
      <c r="J1727" t="s">
        <v>13</v>
      </c>
      <c r="K1727">
        <v>12.14</v>
      </c>
    </row>
    <row r="1728" spans="1:11" x14ac:dyDescent="0.35">
      <c r="E1728" s="1"/>
      <c r="F1728" s="1"/>
      <c r="G1728" s="1"/>
      <c r="H1728" s="1"/>
    </row>
    <row r="1729" spans="1:11" x14ac:dyDescent="0.35">
      <c r="A1729" t="s">
        <v>368</v>
      </c>
      <c r="B1729" t="str">
        <f>"66181"</f>
        <v>66181</v>
      </c>
      <c r="C1729" t="str">
        <f>"004"</f>
        <v>004</v>
      </c>
      <c r="D1729">
        <v>2015</v>
      </c>
      <c r="E1729" s="1">
        <v>18705500</v>
      </c>
      <c r="F1729" s="1">
        <v>15159300</v>
      </c>
      <c r="G1729" s="1" t="s">
        <v>11</v>
      </c>
      <c r="H1729" s="1" t="s">
        <v>38</v>
      </c>
      <c r="I1729" t="s">
        <v>13</v>
      </c>
      <c r="J1729" t="s">
        <v>13</v>
      </c>
    </row>
    <row r="1730" spans="1:11" x14ac:dyDescent="0.35">
      <c r="A1730" t="s">
        <v>5</v>
      </c>
      <c r="B1730" t="str">
        <f>"66181"</f>
        <v>66181</v>
      </c>
      <c r="C1730" t="str">
        <f>"005"</f>
        <v>005</v>
      </c>
      <c r="D1730">
        <v>2016</v>
      </c>
      <c r="E1730" s="1">
        <v>5548400</v>
      </c>
      <c r="F1730" s="1">
        <v>4764000</v>
      </c>
      <c r="G1730" s="1" t="s">
        <v>11</v>
      </c>
      <c r="H1730" s="1" t="s">
        <v>38</v>
      </c>
      <c r="I1730" t="s">
        <v>13</v>
      </c>
      <c r="J1730" t="s">
        <v>13</v>
      </c>
    </row>
    <row r="1731" spans="1:11" x14ac:dyDescent="0.35">
      <c r="A1731" t="s">
        <v>39</v>
      </c>
      <c r="B1731" t="s">
        <v>13</v>
      </c>
      <c r="C1731" t="s">
        <v>7</v>
      </c>
      <c r="D1731" t="s">
        <v>8</v>
      </c>
      <c r="E1731" s="1">
        <v>24253900</v>
      </c>
      <c r="F1731" s="1">
        <v>19923300</v>
      </c>
      <c r="G1731" s="1" t="s">
        <v>11</v>
      </c>
      <c r="H1731" s="1">
        <v>750678700</v>
      </c>
      <c r="I1731" t="s">
        <v>13</v>
      </c>
      <c r="J1731" t="s">
        <v>13</v>
      </c>
      <c r="K1731">
        <v>2.65</v>
      </c>
    </row>
    <row r="1732" spans="1:11" x14ac:dyDescent="0.35">
      <c r="E1732" s="1"/>
      <c r="F1732" s="1"/>
      <c r="G1732" s="1"/>
      <c r="H1732" s="1"/>
    </row>
    <row r="1733" spans="1:11" x14ac:dyDescent="0.35">
      <c r="A1733" t="s">
        <v>369</v>
      </c>
      <c r="B1733" t="str">
        <f>"16181"</f>
        <v>16181</v>
      </c>
      <c r="C1733" t="str">
        <f>"002"</f>
        <v>002</v>
      </c>
      <c r="D1733">
        <v>1999</v>
      </c>
      <c r="E1733" s="1">
        <v>2840500</v>
      </c>
      <c r="F1733" s="1">
        <v>2527600</v>
      </c>
      <c r="G1733" s="1" t="s">
        <v>11</v>
      </c>
      <c r="H1733" s="1" t="s">
        <v>38</v>
      </c>
      <c r="I1733" t="s">
        <v>13</v>
      </c>
      <c r="J1733" t="s">
        <v>13</v>
      </c>
    </row>
    <row r="1734" spans="1:11" x14ac:dyDescent="0.35">
      <c r="A1734" t="s">
        <v>5</v>
      </c>
      <c r="B1734" t="str">
        <f>"16181"</f>
        <v>16181</v>
      </c>
      <c r="C1734" t="str">
        <f>"003"</f>
        <v>003</v>
      </c>
      <c r="D1734">
        <v>2011</v>
      </c>
      <c r="E1734" s="1">
        <v>1843500</v>
      </c>
      <c r="F1734" s="1">
        <v>1789600</v>
      </c>
      <c r="G1734" s="1" t="s">
        <v>11</v>
      </c>
      <c r="H1734" s="1" t="s">
        <v>38</v>
      </c>
      <c r="I1734" t="s">
        <v>13</v>
      </c>
      <c r="J1734" t="s">
        <v>13</v>
      </c>
    </row>
    <row r="1735" spans="1:11" x14ac:dyDescent="0.35">
      <c r="A1735" t="s">
        <v>39</v>
      </c>
      <c r="B1735" t="s">
        <v>13</v>
      </c>
      <c r="C1735" t="s">
        <v>7</v>
      </c>
      <c r="D1735" t="s">
        <v>8</v>
      </c>
      <c r="E1735" s="1">
        <v>4684000</v>
      </c>
      <c r="F1735" s="1">
        <v>4317200</v>
      </c>
      <c r="G1735" s="1" t="s">
        <v>11</v>
      </c>
      <c r="H1735" s="1">
        <v>59845300</v>
      </c>
      <c r="I1735" t="s">
        <v>13</v>
      </c>
      <c r="J1735" t="s">
        <v>13</v>
      </c>
      <c r="K1735">
        <v>7.21</v>
      </c>
    </row>
    <row r="1736" spans="1:11" x14ac:dyDescent="0.35">
      <c r="E1736" s="1"/>
      <c r="F1736" s="1"/>
      <c r="G1736" s="1"/>
      <c r="H1736" s="1"/>
    </row>
    <row r="1737" spans="1:11" x14ac:dyDescent="0.35">
      <c r="A1737" t="s">
        <v>370</v>
      </c>
      <c r="B1737" t="str">
        <f t="shared" ref="B1737:B1747" si="36">"30182"</f>
        <v>30182</v>
      </c>
      <c r="C1737" t="str">
        <f>"001"</f>
        <v>001</v>
      </c>
      <c r="D1737">
        <v>2015</v>
      </c>
      <c r="E1737" s="1">
        <v>52939100</v>
      </c>
      <c r="F1737" s="1">
        <v>52462800</v>
      </c>
      <c r="G1737" s="1" t="s">
        <v>11</v>
      </c>
      <c r="H1737" s="1" t="s">
        <v>38</v>
      </c>
      <c r="I1737" t="s">
        <v>13</v>
      </c>
      <c r="J1737" t="s">
        <v>13</v>
      </c>
    </row>
    <row r="1738" spans="1:11" x14ac:dyDescent="0.35">
      <c r="A1738" t="s">
        <v>5</v>
      </c>
      <c r="B1738" t="str">
        <f t="shared" si="36"/>
        <v>30182</v>
      </c>
      <c r="C1738" t="str">
        <f>"002"</f>
        <v>002</v>
      </c>
      <c r="D1738">
        <v>2015</v>
      </c>
      <c r="E1738" s="1">
        <v>91626800</v>
      </c>
      <c r="F1738" s="1">
        <v>85816000</v>
      </c>
      <c r="G1738" s="1" t="s">
        <v>11</v>
      </c>
      <c r="H1738" s="1" t="s">
        <v>38</v>
      </c>
      <c r="I1738" t="s">
        <v>13</v>
      </c>
      <c r="J1738" t="s">
        <v>13</v>
      </c>
    </row>
    <row r="1739" spans="1:11" x14ac:dyDescent="0.35">
      <c r="A1739" t="s">
        <v>5</v>
      </c>
      <c r="B1739" t="str">
        <f t="shared" si="36"/>
        <v>30182</v>
      </c>
      <c r="C1739" t="str">
        <f>"003"</f>
        <v>003</v>
      </c>
      <c r="D1739">
        <v>2018</v>
      </c>
      <c r="E1739" s="1">
        <v>3078900</v>
      </c>
      <c r="F1739" s="1">
        <v>1299100</v>
      </c>
      <c r="G1739" s="1" t="s">
        <v>11</v>
      </c>
      <c r="H1739" s="1" t="s">
        <v>38</v>
      </c>
      <c r="I1739" t="s">
        <v>13</v>
      </c>
      <c r="J1739" t="s">
        <v>13</v>
      </c>
    </row>
    <row r="1740" spans="1:11" x14ac:dyDescent="0.35">
      <c r="A1740" t="s">
        <v>5</v>
      </c>
      <c r="B1740" t="str">
        <f t="shared" si="36"/>
        <v>30182</v>
      </c>
      <c r="C1740" t="str">
        <f>"004"</f>
        <v>004</v>
      </c>
      <c r="D1740">
        <v>2018</v>
      </c>
      <c r="E1740" s="1">
        <v>39960600</v>
      </c>
      <c r="F1740" s="1">
        <v>38193100</v>
      </c>
      <c r="G1740" s="1" t="s">
        <v>11</v>
      </c>
      <c r="H1740" s="1" t="s">
        <v>38</v>
      </c>
      <c r="I1740" t="s">
        <v>13</v>
      </c>
      <c r="J1740" t="s">
        <v>13</v>
      </c>
    </row>
    <row r="1741" spans="1:11" x14ac:dyDescent="0.35">
      <c r="A1741" t="s">
        <v>5</v>
      </c>
      <c r="B1741" t="str">
        <f t="shared" si="36"/>
        <v>30182</v>
      </c>
      <c r="C1741" t="str">
        <f>"005"</f>
        <v>005</v>
      </c>
      <c r="D1741">
        <v>2018</v>
      </c>
      <c r="E1741" s="1">
        <v>1173200</v>
      </c>
      <c r="F1741" s="1">
        <v>24800</v>
      </c>
      <c r="G1741" s="1" t="s">
        <v>11</v>
      </c>
      <c r="H1741" s="1" t="s">
        <v>38</v>
      </c>
      <c r="I1741" t="s">
        <v>13</v>
      </c>
      <c r="J1741" t="s">
        <v>13</v>
      </c>
    </row>
    <row r="1742" spans="1:11" x14ac:dyDescent="0.35">
      <c r="A1742" t="s">
        <v>5</v>
      </c>
      <c r="B1742" t="str">
        <f t="shared" si="36"/>
        <v>30182</v>
      </c>
      <c r="C1742" t="str">
        <f>"006"</f>
        <v>006</v>
      </c>
      <c r="D1742">
        <v>2018</v>
      </c>
      <c r="E1742" s="1">
        <v>3247300</v>
      </c>
      <c r="F1742" s="1">
        <v>798900</v>
      </c>
      <c r="G1742" s="1" t="s">
        <v>11</v>
      </c>
      <c r="H1742" s="1" t="s">
        <v>38</v>
      </c>
      <c r="I1742" t="s">
        <v>13</v>
      </c>
      <c r="J1742" t="s">
        <v>13</v>
      </c>
    </row>
    <row r="1743" spans="1:11" x14ac:dyDescent="0.35">
      <c r="A1743" t="s">
        <v>5</v>
      </c>
      <c r="B1743" t="str">
        <f t="shared" si="36"/>
        <v>30182</v>
      </c>
      <c r="C1743" t="str">
        <f>"007"</f>
        <v>007</v>
      </c>
      <c r="D1743">
        <v>2018</v>
      </c>
      <c r="E1743" s="1">
        <v>9906700</v>
      </c>
      <c r="F1743" s="1">
        <v>1541900</v>
      </c>
      <c r="G1743" s="1" t="s">
        <v>11</v>
      </c>
      <c r="H1743" s="1" t="s">
        <v>38</v>
      </c>
      <c r="I1743" t="s">
        <v>13</v>
      </c>
      <c r="J1743" t="s">
        <v>13</v>
      </c>
    </row>
    <row r="1744" spans="1:11" x14ac:dyDescent="0.35">
      <c r="A1744" t="s">
        <v>5</v>
      </c>
      <c r="B1744" t="str">
        <f t="shared" si="36"/>
        <v>30182</v>
      </c>
      <c r="C1744" t="str">
        <f>"008"</f>
        <v>008</v>
      </c>
      <c r="D1744">
        <v>2018</v>
      </c>
      <c r="E1744" s="1">
        <v>379000</v>
      </c>
      <c r="F1744" s="1">
        <v>16900</v>
      </c>
      <c r="G1744" s="1" t="s">
        <v>11</v>
      </c>
      <c r="H1744" s="1" t="s">
        <v>38</v>
      </c>
      <c r="I1744" t="s">
        <v>13</v>
      </c>
      <c r="J1744" t="s">
        <v>13</v>
      </c>
    </row>
    <row r="1745" spans="1:11" x14ac:dyDescent="0.35">
      <c r="A1745" t="s">
        <v>5</v>
      </c>
      <c r="B1745" t="str">
        <f t="shared" si="36"/>
        <v>30182</v>
      </c>
      <c r="C1745" t="str">
        <f>"009"</f>
        <v>009</v>
      </c>
      <c r="D1745">
        <v>2018</v>
      </c>
      <c r="E1745" s="1">
        <v>2045400</v>
      </c>
      <c r="F1745" s="1">
        <v>-36300</v>
      </c>
      <c r="G1745" s="1" t="s">
        <v>48</v>
      </c>
      <c r="H1745" s="1" t="s">
        <v>38</v>
      </c>
      <c r="I1745" t="s">
        <v>13</v>
      </c>
      <c r="J1745" t="s">
        <v>13</v>
      </c>
    </row>
    <row r="1746" spans="1:11" x14ac:dyDescent="0.35">
      <c r="A1746" t="s">
        <v>5</v>
      </c>
      <c r="B1746" t="str">
        <f t="shared" si="36"/>
        <v>30182</v>
      </c>
      <c r="C1746" t="str">
        <f>"010"</f>
        <v>010</v>
      </c>
      <c r="D1746">
        <v>2018</v>
      </c>
      <c r="E1746" s="1">
        <v>3219200</v>
      </c>
      <c r="F1746" s="1">
        <v>0</v>
      </c>
      <c r="G1746" s="1" t="s">
        <v>11</v>
      </c>
      <c r="H1746" s="1" t="s">
        <v>38</v>
      </c>
      <c r="I1746" t="s">
        <v>13</v>
      </c>
      <c r="J1746" t="s">
        <v>13</v>
      </c>
    </row>
    <row r="1747" spans="1:11" x14ac:dyDescent="0.35">
      <c r="A1747" t="s">
        <v>5</v>
      </c>
      <c r="B1747" t="str">
        <f t="shared" si="36"/>
        <v>30182</v>
      </c>
      <c r="C1747" t="str">
        <f>"011"</f>
        <v>011</v>
      </c>
      <c r="D1747">
        <v>2018</v>
      </c>
      <c r="E1747" s="1">
        <v>250700</v>
      </c>
      <c r="F1747" s="1">
        <v>55600</v>
      </c>
      <c r="G1747" s="1" t="s">
        <v>11</v>
      </c>
      <c r="H1747" s="1" t="s">
        <v>38</v>
      </c>
      <c r="I1747" t="s">
        <v>13</v>
      </c>
      <c r="J1747" t="s">
        <v>13</v>
      </c>
    </row>
    <row r="1748" spans="1:11" x14ac:dyDescent="0.35">
      <c r="A1748" t="s">
        <v>39</v>
      </c>
      <c r="B1748" t="s">
        <v>13</v>
      </c>
      <c r="C1748" t="s">
        <v>7</v>
      </c>
      <c r="D1748" t="s">
        <v>8</v>
      </c>
      <c r="E1748" s="1">
        <v>207826900</v>
      </c>
      <c r="F1748" s="1">
        <v>180209100</v>
      </c>
      <c r="G1748" s="1" t="s">
        <v>11</v>
      </c>
      <c r="H1748" s="1">
        <v>1021021500</v>
      </c>
      <c r="I1748" t="s">
        <v>13</v>
      </c>
      <c r="J1748" t="s">
        <v>13</v>
      </c>
      <c r="K1748">
        <v>17.649999999999999</v>
      </c>
    </row>
    <row r="1749" spans="1:11" x14ac:dyDescent="0.35">
      <c r="E1749" s="1"/>
      <c r="F1749" s="1"/>
      <c r="G1749" s="1"/>
      <c r="H1749" s="1"/>
    </row>
    <row r="1750" spans="1:11" x14ac:dyDescent="0.35">
      <c r="A1750" t="s">
        <v>371</v>
      </c>
      <c r="B1750" t="str">
        <f>"55181"</f>
        <v>55181</v>
      </c>
      <c r="C1750" t="str">
        <f>"002"</f>
        <v>002</v>
      </c>
      <c r="D1750">
        <v>1996</v>
      </c>
      <c r="E1750" s="1">
        <v>36345900</v>
      </c>
      <c r="F1750" s="1">
        <v>34487500</v>
      </c>
      <c r="G1750" s="1" t="s">
        <v>11</v>
      </c>
      <c r="H1750" s="1" t="s">
        <v>38</v>
      </c>
      <c r="I1750" t="s">
        <v>13</v>
      </c>
      <c r="J1750" t="s">
        <v>13</v>
      </c>
    </row>
    <row r="1751" spans="1:11" x14ac:dyDescent="0.35">
      <c r="A1751" t="s">
        <v>5</v>
      </c>
      <c r="B1751" t="str">
        <f>"55181"</f>
        <v>55181</v>
      </c>
      <c r="C1751" t="str">
        <f>"003"</f>
        <v>003</v>
      </c>
      <c r="D1751">
        <v>2005</v>
      </c>
      <c r="E1751" s="1">
        <v>1517700</v>
      </c>
      <c r="F1751" s="1">
        <v>382200</v>
      </c>
      <c r="G1751" s="1" t="s">
        <v>11</v>
      </c>
      <c r="H1751" s="1" t="s">
        <v>38</v>
      </c>
      <c r="I1751" t="s">
        <v>13</v>
      </c>
      <c r="J1751" t="s">
        <v>13</v>
      </c>
    </row>
    <row r="1752" spans="1:11" x14ac:dyDescent="0.35">
      <c r="A1752" t="s">
        <v>5</v>
      </c>
      <c r="B1752" t="str">
        <f>"55181"</f>
        <v>55181</v>
      </c>
      <c r="C1752" t="str">
        <f>"004"</f>
        <v>004</v>
      </c>
      <c r="D1752">
        <v>2008</v>
      </c>
      <c r="E1752" s="1">
        <v>5892000</v>
      </c>
      <c r="F1752" s="1">
        <v>4806300</v>
      </c>
      <c r="G1752" s="1" t="s">
        <v>11</v>
      </c>
      <c r="H1752" s="1" t="s">
        <v>38</v>
      </c>
      <c r="I1752" t="s">
        <v>13</v>
      </c>
      <c r="J1752" t="s">
        <v>13</v>
      </c>
    </row>
    <row r="1753" spans="1:11" x14ac:dyDescent="0.35">
      <c r="A1753" t="s">
        <v>5</v>
      </c>
      <c r="B1753" t="str">
        <f>"55181"</f>
        <v>55181</v>
      </c>
      <c r="C1753" t="str">
        <f>"005"</f>
        <v>005</v>
      </c>
      <c r="D1753">
        <v>2020</v>
      </c>
      <c r="E1753" s="1">
        <v>329300</v>
      </c>
      <c r="F1753" s="1">
        <v>-472400</v>
      </c>
      <c r="G1753" s="1" t="s">
        <v>48</v>
      </c>
      <c r="H1753" s="1" t="s">
        <v>38</v>
      </c>
      <c r="I1753" t="s">
        <v>13</v>
      </c>
      <c r="J1753" t="s">
        <v>13</v>
      </c>
    </row>
    <row r="1754" spans="1:11" x14ac:dyDescent="0.35">
      <c r="A1754" t="s">
        <v>39</v>
      </c>
      <c r="B1754" t="s">
        <v>13</v>
      </c>
      <c r="C1754" t="s">
        <v>7</v>
      </c>
      <c r="D1754" t="s">
        <v>8</v>
      </c>
      <c r="E1754" s="1">
        <v>44084900</v>
      </c>
      <c r="F1754" s="1">
        <v>39676000</v>
      </c>
      <c r="G1754" s="1" t="s">
        <v>11</v>
      </c>
      <c r="H1754" s="1">
        <v>293846500</v>
      </c>
      <c r="I1754" t="s">
        <v>13</v>
      </c>
      <c r="J1754" t="s">
        <v>13</v>
      </c>
      <c r="K1754">
        <v>13.5</v>
      </c>
    </row>
    <row r="1755" spans="1:11" x14ac:dyDescent="0.35">
      <c r="E1755" s="1"/>
      <c r="F1755" s="1"/>
      <c r="G1755" s="1"/>
      <c r="H1755" s="1"/>
    </row>
    <row r="1756" spans="1:11" x14ac:dyDescent="0.35">
      <c r="A1756" t="s">
        <v>372</v>
      </c>
      <c r="B1756" t="str">
        <f>"40282"</f>
        <v>40282</v>
      </c>
      <c r="C1756" t="str">
        <f>"001"</f>
        <v>001</v>
      </c>
      <c r="D1756">
        <v>2000</v>
      </c>
      <c r="E1756" s="1">
        <v>24337000</v>
      </c>
      <c r="F1756" s="1">
        <v>15939300</v>
      </c>
      <c r="G1756" s="1" t="s">
        <v>11</v>
      </c>
      <c r="H1756" s="1" t="s">
        <v>38</v>
      </c>
      <c r="I1756" t="s">
        <v>13</v>
      </c>
      <c r="J1756" t="s">
        <v>13</v>
      </c>
    </row>
    <row r="1757" spans="1:11" x14ac:dyDescent="0.35">
      <c r="A1757" t="s">
        <v>5</v>
      </c>
      <c r="B1757" t="str">
        <f>"40282"</f>
        <v>40282</v>
      </c>
      <c r="C1757" t="str">
        <f>"002"</f>
        <v>002</v>
      </c>
      <c r="D1757">
        <v>2000</v>
      </c>
      <c r="E1757" s="1">
        <v>32908700</v>
      </c>
      <c r="F1757" s="1">
        <v>26514300</v>
      </c>
      <c r="G1757" s="1" t="s">
        <v>11</v>
      </c>
      <c r="H1757" s="1" t="s">
        <v>38</v>
      </c>
      <c r="I1757" t="s">
        <v>13</v>
      </c>
      <c r="J1757" t="s">
        <v>13</v>
      </c>
    </row>
    <row r="1758" spans="1:11" x14ac:dyDescent="0.35">
      <c r="A1758" t="s">
        <v>5</v>
      </c>
      <c r="B1758" t="str">
        <f>"40282"</f>
        <v>40282</v>
      </c>
      <c r="C1758" t="str">
        <f>"003"</f>
        <v>003</v>
      </c>
      <c r="D1758">
        <v>2005</v>
      </c>
      <c r="E1758" s="1">
        <v>41052300</v>
      </c>
      <c r="F1758" s="1">
        <v>24591800</v>
      </c>
      <c r="G1758" s="1" t="s">
        <v>11</v>
      </c>
      <c r="H1758" s="1" t="s">
        <v>38</v>
      </c>
      <c r="I1758" t="s">
        <v>13</v>
      </c>
      <c r="J1758" t="s">
        <v>13</v>
      </c>
    </row>
    <row r="1759" spans="1:11" x14ac:dyDescent="0.35">
      <c r="A1759" t="s">
        <v>5</v>
      </c>
      <c r="B1759" t="str">
        <f>"40282"</f>
        <v>40282</v>
      </c>
      <c r="C1759" t="str">
        <f>"005"</f>
        <v>005</v>
      </c>
      <c r="D1759">
        <v>2018</v>
      </c>
      <c r="E1759" s="1">
        <v>21108200</v>
      </c>
      <c r="F1759" s="1">
        <v>-2290600</v>
      </c>
      <c r="G1759" s="1" t="s">
        <v>48</v>
      </c>
      <c r="H1759" s="1" t="s">
        <v>38</v>
      </c>
      <c r="I1759" t="s">
        <v>13</v>
      </c>
      <c r="J1759" t="s">
        <v>13</v>
      </c>
    </row>
    <row r="1760" spans="1:11" x14ac:dyDescent="0.35">
      <c r="A1760" t="s">
        <v>39</v>
      </c>
      <c r="B1760" t="s">
        <v>13</v>
      </c>
      <c r="C1760" t="s">
        <v>7</v>
      </c>
      <c r="D1760" t="s">
        <v>8</v>
      </c>
      <c r="E1760" s="1">
        <v>119406200</v>
      </c>
      <c r="F1760" s="1">
        <v>67045400</v>
      </c>
      <c r="G1760" s="1" t="s">
        <v>11</v>
      </c>
      <c r="H1760" s="1">
        <v>1443401500</v>
      </c>
      <c r="I1760" t="s">
        <v>13</v>
      </c>
      <c r="J1760" t="s">
        <v>13</v>
      </c>
      <c r="K1760">
        <v>4.6399999999999997</v>
      </c>
    </row>
    <row r="1761" spans="1:11" x14ac:dyDescent="0.35">
      <c r="E1761" s="1"/>
      <c r="F1761" s="1"/>
      <c r="G1761" s="1"/>
      <c r="H1761" s="1"/>
    </row>
    <row r="1762" spans="1:11" x14ac:dyDescent="0.35">
      <c r="A1762" t="s">
        <v>373</v>
      </c>
      <c r="B1762" t="str">
        <f>"41281"</f>
        <v>41281</v>
      </c>
      <c r="C1762" t="str">
        <f>"006"</f>
        <v>006</v>
      </c>
      <c r="D1762">
        <v>2005</v>
      </c>
      <c r="E1762" s="1">
        <v>18452000</v>
      </c>
      <c r="F1762" s="1">
        <v>18206500</v>
      </c>
      <c r="G1762" s="1" t="s">
        <v>11</v>
      </c>
      <c r="H1762" s="1" t="s">
        <v>38</v>
      </c>
      <c r="I1762" t="s">
        <v>13</v>
      </c>
      <c r="J1762" t="s">
        <v>13</v>
      </c>
    </row>
    <row r="1763" spans="1:11" x14ac:dyDescent="0.35">
      <c r="A1763" t="s">
        <v>5</v>
      </c>
      <c r="B1763" t="str">
        <f>"41281"</f>
        <v>41281</v>
      </c>
      <c r="C1763" t="str">
        <f>"008"</f>
        <v>008</v>
      </c>
      <c r="D1763">
        <v>2010</v>
      </c>
      <c r="E1763" s="1">
        <v>1031700</v>
      </c>
      <c r="F1763" s="1">
        <v>0</v>
      </c>
      <c r="G1763" s="1" t="s">
        <v>11</v>
      </c>
      <c r="H1763" s="1" t="s">
        <v>38</v>
      </c>
      <c r="I1763" t="s">
        <v>13</v>
      </c>
      <c r="J1763" t="s">
        <v>13</v>
      </c>
    </row>
    <row r="1764" spans="1:11" x14ac:dyDescent="0.35">
      <c r="A1764" t="s">
        <v>5</v>
      </c>
      <c r="B1764" t="str">
        <f>"41281"</f>
        <v>41281</v>
      </c>
      <c r="C1764" t="str">
        <f>"009"</f>
        <v>009</v>
      </c>
      <c r="D1764">
        <v>2018</v>
      </c>
      <c r="E1764" s="1">
        <v>9980100</v>
      </c>
      <c r="F1764" s="1">
        <v>9783800</v>
      </c>
      <c r="G1764" s="1" t="s">
        <v>11</v>
      </c>
      <c r="H1764" s="1" t="s">
        <v>38</v>
      </c>
      <c r="I1764" t="s">
        <v>13</v>
      </c>
      <c r="J1764" t="s">
        <v>13</v>
      </c>
    </row>
    <row r="1765" spans="1:11" x14ac:dyDescent="0.35">
      <c r="A1765" t="s">
        <v>39</v>
      </c>
      <c r="B1765" t="s">
        <v>13</v>
      </c>
      <c r="C1765" t="s">
        <v>7</v>
      </c>
      <c r="D1765" t="s">
        <v>8</v>
      </c>
      <c r="E1765" s="1">
        <v>29463800</v>
      </c>
      <c r="F1765" s="1">
        <v>27990300</v>
      </c>
      <c r="G1765" s="1" t="s">
        <v>11</v>
      </c>
      <c r="H1765" s="1">
        <v>708250400</v>
      </c>
      <c r="I1765" t="s">
        <v>13</v>
      </c>
      <c r="J1765" t="s">
        <v>13</v>
      </c>
      <c r="K1765">
        <v>3.95</v>
      </c>
    </row>
    <row r="1766" spans="1:11" x14ac:dyDescent="0.35">
      <c r="E1766" s="1"/>
      <c r="F1766" s="1"/>
      <c r="G1766" s="1"/>
      <c r="H1766" s="1"/>
    </row>
    <row r="1767" spans="1:11" x14ac:dyDescent="0.35">
      <c r="A1767" t="s">
        <v>374</v>
      </c>
      <c r="B1767" t="str">
        <f>"37181"</f>
        <v>37181</v>
      </c>
      <c r="C1767" t="str">
        <f>"002"</f>
        <v>002</v>
      </c>
      <c r="D1767">
        <v>1999</v>
      </c>
      <c r="E1767" s="1">
        <v>7636700</v>
      </c>
      <c r="F1767" s="1">
        <v>4682100</v>
      </c>
      <c r="G1767" s="1" t="s">
        <v>11</v>
      </c>
      <c r="H1767" s="1" t="s">
        <v>38</v>
      </c>
      <c r="I1767" t="s">
        <v>13</v>
      </c>
      <c r="J1767" t="s">
        <v>13</v>
      </c>
    </row>
    <row r="1768" spans="1:11" x14ac:dyDescent="0.35">
      <c r="A1768" t="s">
        <v>5</v>
      </c>
      <c r="B1768" t="str">
        <f>"37181"</f>
        <v>37181</v>
      </c>
      <c r="C1768" t="str">
        <f>"003"</f>
        <v>003</v>
      </c>
      <c r="D1768">
        <v>2013</v>
      </c>
      <c r="E1768" s="1">
        <v>2541700</v>
      </c>
      <c r="F1768" s="1">
        <v>2022200</v>
      </c>
      <c r="G1768" s="1" t="s">
        <v>11</v>
      </c>
      <c r="H1768" s="1" t="s">
        <v>38</v>
      </c>
      <c r="I1768" t="s">
        <v>13</v>
      </c>
      <c r="J1768" t="s">
        <v>13</v>
      </c>
    </row>
    <row r="1769" spans="1:11" x14ac:dyDescent="0.35">
      <c r="A1769" t="s">
        <v>5</v>
      </c>
      <c r="B1769" t="str">
        <f>"37181"</f>
        <v>37181</v>
      </c>
      <c r="C1769" t="str">
        <f>"004"</f>
        <v>004</v>
      </c>
      <c r="D1769">
        <v>2016</v>
      </c>
      <c r="E1769" s="1">
        <v>6032000</v>
      </c>
      <c r="F1769" s="1">
        <v>-799100</v>
      </c>
      <c r="G1769" s="1" t="s">
        <v>48</v>
      </c>
      <c r="H1769" s="1" t="s">
        <v>38</v>
      </c>
      <c r="I1769" t="s">
        <v>13</v>
      </c>
      <c r="J1769" t="s">
        <v>13</v>
      </c>
    </row>
    <row r="1770" spans="1:11" x14ac:dyDescent="0.35">
      <c r="A1770" t="s">
        <v>39</v>
      </c>
      <c r="B1770" t="s">
        <v>13</v>
      </c>
      <c r="C1770" t="s">
        <v>7</v>
      </c>
      <c r="D1770" t="s">
        <v>8</v>
      </c>
      <c r="E1770" s="1">
        <v>16210400</v>
      </c>
      <c r="F1770" s="1">
        <v>6704300</v>
      </c>
      <c r="G1770" s="1" t="s">
        <v>11</v>
      </c>
      <c r="H1770" s="1">
        <v>119131200</v>
      </c>
      <c r="I1770" t="s">
        <v>13</v>
      </c>
      <c r="J1770" t="s">
        <v>13</v>
      </c>
      <c r="K1770">
        <v>5.63</v>
      </c>
    </row>
    <row r="1771" spans="1:11" x14ac:dyDescent="0.35">
      <c r="E1771" s="1"/>
      <c r="F1771" s="1"/>
      <c r="G1771" s="1"/>
      <c r="H1771" s="1"/>
    </row>
    <row r="1772" spans="1:11" x14ac:dyDescent="0.35">
      <c r="A1772" t="s">
        <v>375</v>
      </c>
      <c r="B1772" t="str">
        <f>"65281"</f>
        <v>65281</v>
      </c>
      <c r="C1772" t="str">
        <f>"003"</f>
        <v>003</v>
      </c>
      <c r="D1772">
        <v>1996</v>
      </c>
      <c r="E1772" s="1">
        <v>17080100</v>
      </c>
      <c r="F1772" s="1">
        <v>16461400</v>
      </c>
      <c r="G1772" s="1" t="s">
        <v>11</v>
      </c>
      <c r="H1772" s="1" t="s">
        <v>38</v>
      </c>
      <c r="I1772" t="s">
        <v>13</v>
      </c>
      <c r="J1772" t="s">
        <v>13</v>
      </c>
    </row>
    <row r="1773" spans="1:11" x14ac:dyDescent="0.35">
      <c r="A1773" t="s">
        <v>5</v>
      </c>
      <c r="B1773" t="str">
        <f>"65281"</f>
        <v>65281</v>
      </c>
      <c r="C1773" t="str">
        <f>"004"</f>
        <v>004</v>
      </c>
      <c r="D1773">
        <v>2003</v>
      </c>
      <c r="E1773" s="1">
        <v>11236700</v>
      </c>
      <c r="F1773" s="1">
        <v>11058700</v>
      </c>
      <c r="G1773" s="1" t="s">
        <v>11</v>
      </c>
      <c r="H1773" s="1" t="s">
        <v>38</v>
      </c>
      <c r="I1773" t="s">
        <v>13</v>
      </c>
      <c r="J1773" t="s">
        <v>13</v>
      </c>
    </row>
    <row r="1774" spans="1:11" x14ac:dyDescent="0.35">
      <c r="A1774" t="s">
        <v>39</v>
      </c>
      <c r="B1774" t="s">
        <v>13</v>
      </c>
      <c r="C1774" t="s">
        <v>7</v>
      </c>
      <c r="D1774" t="s">
        <v>8</v>
      </c>
      <c r="E1774" s="1">
        <v>28316800</v>
      </c>
      <c r="F1774" s="1">
        <v>27520100</v>
      </c>
      <c r="G1774" s="1" t="s">
        <v>11</v>
      </c>
      <c r="H1774" s="1">
        <v>186243800</v>
      </c>
      <c r="I1774" t="s">
        <v>13</v>
      </c>
      <c r="J1774" t="s">
        <v>13</v>
      </c>
      <c r="K1774">
        <v>14.78</v>
      </c>
    </row>
    <row r="1775" spans="1:11" x14ac:dyDescent="0.35">
      <c r="E1775" s="1"/>
      <c r="F1775" s="1"/>
      <c r="G1775" s="1"/>
      <c r="H1775" s="1"/>
    </row>
    <row r="1776" spans="1:11" x14ac:dyDescent="0.35">
      <c r="A1776" t="s">
        <v>376</v>
      </c>
      <c r="B1776" t="str">
        <f>"56182"</f>
        <v>56182</v>
      </c>
      <c r="C1776" t="str">
        <f>"006"</f>
        <v>006</v>
      </c>
      <c r="D1776">
        <v>2017</v>
      </c>
      <c r="E1776" s="1">
        <v>30135700</v>
      </c>
      <c r="F1776" s="1">
        <v>11797200</v>
      </c>
      <c r="G1776" s="1" t="s">
        <v>11</v>
      </c>
      <c r="H1776" s="1" t="s">
        <v>38</v>
      </c>
      <c r="I1776" t="s">
        <v>13</v>
      </c>
      <c r="J1776" t="s">
        <v>13</v>
      </c>
    </row>
    <row r="1777" spans="1:11" x14ac:dyDescent="0.35">
      <c r="A1777" t="s">
        <v>39</v>
      </c>
      <c r="B1777" t="s">
        <v>13</v>
      </c>
      <c r="C1777" t="s">
        <v>7</v>
      </c>
      <c r="D1777" t="s">
        <v>8</v>
      </c>
      <c r="E1777" s="1">
        <v>30135700</v>
      </c>
      <c r="F1777" s="1">
        <v>11797200</v>
      </c>
      <c r="G1777" s="1" t="s">
        <v>11</v>
      </c>
      <c r="H1777" s="1">
        <v>202047200</v>
      </c>
      <c r="I1777" t="s">
        <v>13</v>
      </c>
      <c r="J1777" t="s">
        <v>13</v>
      </c>
      <c r="K1777">
        <v>5.84</v>
      </c>
    </row>
    <row r="1778" spans="1:11" x14ac:dyDescent="0.35">
      <c r="E1778" s="1"/>
      <c r="F1778" s="1"/>
      <c r="G1778" s="1"/>
      <c r="H1778" s="1"/>
    </row>
    <row r="1779" spans="1:11" x14ac:dyDescent="0.35">
      <c r="A1779" t="s">
        <v>377</v>
      </c>
      <c r="B1779" t="str">
        <f>"47181"</f>
        <v>47181</v>
      </c>
      <c r="C1779" t="str">
        <f>"002"</f>
        <v>002</v>
      </c>
      <c r="D1779">
        <v>1995</v>
      </c>
      <c r="E1779" s="1">
        <v>8819800</v>
      </c>
      <c r="F1779" s="1">
        <v>8736500</v>
      </c>
      <c r="G1779" s="1" t="s">
        <v>11</v>
      </c>
      <c r="H1779" s="1" t="s">
        <v>38</v>
      </c>
      <c r="I1779" t="s">
        <v>13</v>
      </c>
      <c r="J1779" t="s">
        <v>13</v>
      </c>
    </row>
    <row r="1780" spans="1:11" x14ac:dyDescent="0.35">
      <c r="A1780" t="s">
        <v>5</v>
      </c>
      <c r="B1780" t="str">
        <f>"47181"</f>
        <v>47181</v>
      </c>
      <c r="C1780" t="str">
        <f>"003"</f>
        <v>003</v>
      </c>
      <c r="D1780">
        <v>2007</v>
      </c>
      <c r="E1780" s="1">
        <v>3892500</v>
      </c>
      <c r="F1780" s="1">
        <v>1389800</v>
      </c>
      <c r="G1780" s="1" t="s">
        <v>11</v>
      </c>
      <c r="H1780" s="1" t="s">
        <v>38</v>
      </c>
      <c r="I1780" t="s">
        <v>13</v>
      </c>
      <c r="J1780" t="s">
        <v>13</v>
      </c>
    </row>
    <row r="1781" spans="1:11" x14ac:dyDescent="0.35">
      <c r="A1781" t="s">
        <v>39</v>
      </c>
      <c r="B1781" t="s">
        <v>13</v>
      </c>
      <c r="C1781" t="s">
        <v>7</v>
      </c>
      <c r="D1781" t="s">
        <v>8</v>
      </c>
      <c r="E1781" s="1">
        <v>12712300</v>
      </c>
      <c r="F1781" s="1">
        <v>10126300</v>
      </c>
      <c r="G1781" s="1" t="s">
        <v>11</v>
      </c>
      <c r="H1781" s="1">
        <v>92745700</v>
      </c>
      <c r="I1781" t="s">
        <v>13</v>
      </c>
      <c r="J1781" t="s">
        <v>13</v>
      </c>
      <c r="K1781">
        <v>10.92</v>
      </c>
    </row>
    <row r="1782" spans="1:11" x14ac:dyDescent="0.35">
      <c r="E1782" s="1"/>
      <c r="F1782" s="1"/>
      <c r="G1782" s="1"/>
      <c r="H1782" s="1"/>
    </row>
    <row r="1783" spans="1:11" x14ac:dyDescent="0.35">
      <c r="A1783" t="s">
        <v>378</v>
      </c>
      <c r="B1783" t="str">
        <f>"09281"</f>
        <v>09281</v>
      </c>
      <c r="C1783" t="str">
        <f>"003"</f>
        <v>003</v>
      </c>
      <c r="D1783">
        <v>2001</v>
      </c>
      <c r="E1783" s="1">
        <v>29360200</v>
      </c>
      <c r="F1783" s="1">
        <v>25155000</v>
      </c>
      <c r="G1783" s="1" t="s">
        <v>11</v>
      </c>
      <c r="H1783" s="1" t="s">
        <v>38</v>
      </c>
      <c r="I1783" t="s">
        <v>13</v>
      </c>
      <c r="J1783" t="s">
        <v>13</v>
      </c>
    </row>
    <row r="1784" spans="1:11" x14ac:dyDescent="0.35">
      <c r="A1784" t="s">
        <v>39</v>
      </c>
      <c r="B1784" t="s">
        <v>13</v>
      </c>
      <c r="C1784" t="s">
        <v>7</v>
      </c>
      <c r="D1784" t="s">
        <v>8</v>
      </c>
      <c r="E1784" s="1">
        <v>29360200</v>
      </c>
      <c r="F1784" s="1">
        <v>25155000</v>
      </c>
      <c r="G1784" s="1" t="s">
        <v>11</v>
      </c>
      <c r="H1784" s="1">
        <v>146835600</v>
      </c>
      <c r="I1784" t="s">
        <v>13</v>
      </c>
      <c r="J1784" t="s">
        <v>13</v>
      </c>
      <c r="K1784">
        <v>17.13</v>
      </c>
    </row>
    <row r="1785" spans="1:11" x14ac:dyDescent="0.35">
      <c r="E1785" s="1"/>
      <c r="F1785" s="1"/>
      <c r="G1785" s="1"/>
      <c r="H1785" s="1"/>
    </row>
    <row r="1786" spans="1:11" x14ac:dyDescent="0.35">
      <c r="A1786" t="s">
        <v>379</v>
      </c>
      <c r="B1786" t="str">
        <f>"60181"</f>
        <v>60181</v>
      </c>
      <c r="C1786" t="str">
        <f>"001"</f>
        <v>001</v>
      </c>
      <c r="D1786">
        <v>2013</v>
      </c>
      <c r="E1786" s="1">
        <v>1807800</v>
      </c>
      <c r="F1786" s="1">
        <v>804800</v>
      </c>
      <c r="G1786" s="1" t="s">
        <v>11</v>
      </c>
      <c r="H1786" s="1" t="s">
        <v>38</v>
      </c>
      <c r="I1786" t="s">
        <v>13</v>
      </c>
      <c r="J1786" t="s">
        <v>13</v>
      </c>
    </row>
    <row r="1787" spans="1:11" x14ac:dyDescent="0.35">
      <c r="A1787" t="s">
        <v>39</v>
      </c>
      <c r="B1787" t="s">
        <v>13</v>
      </c>
      <c r="C1787" t="s">
        <v>7</v>
      </c>
      <c r="D1787" t="s">
        <v>8</v>
      </c>
      <c r="E1787" s="1">
        <v>1807800</v>
      </c>
      <c r="F1787" s="1">
        <v>804800</v>
      </c>
      <c r="G1787" s="1" t="s">
        <v>11</v>
      </c>
      <c r="H1787" s="1">
        <v>25108700</v>
      </c>
      <c r="I1787" t="s">
        <v>13</v>
      </c>
      <c r="J1787" t="s">
        <v>13</v>
      </c>
      <c r="K1787">
        <v>3.21</v>
      </c>
    </row>
    <row r="1788" spans="1:11" x14ac:dyDescent="0.35">
      <c r="E1788" s="1"/>
      <c r="F1788" s="1"/>
      <c r="G1788" s="1"/>
      <c r="H1788" s="1"/>
    </row>
    <row r="1789" spans="1:11" x14ac:dyDescent="0.35">
      <c r="A1789" t="s">
        <v>380</v>
      </c>
      <c r="B1789" t="str">
        <f t="shared" ref="B1789:B1797" si="37">"49281"</f>
        <v>49281</v>
      </c>
      <c r="C1789" t="str">
        <f>"005"</f>
        <v>005</v>
      </c>
      <c r="D1789">
        <v>2005</v>
      </c>
      <c r="E1789" s="1">
        <v>149843400</v>
      </c>
      <c r="F1789" s="1">
        <v>111902700</v>
      </c>
      <c r="G1789" s="1" t="s">
        <v>11</v>
      </c>
      <c r="H1789" s="1" t="s">
        <v>38</v>
      </c>
      <c r="I1789" t="s">
        <v>13</v>
      </c>
      <c r="J1789" t="s">
        <v>13</v>
      </c>
    </row>
    <row r="1790" spans="1:11" x14ac:dyDescent="0.35">
      <c r="A1790" t="s">
        <v>5</v>
      </c>
      <c r="B1790" t="str">
        <f t="shared" si="37"/>
        <v>49281</v>
      </c>
      <c r="C1790" t="str">
        <f>"006"</f>
        <v>006</v>
      </c>
      <c r="D1790">
        <v>2006</v>
      </c>
      <c r="E1790" s="1">
        <v>59815700</v>
      </c>
      <c r="F1790" s="1">
        <v>13510100</v>
      </c>
      <c r="G1790" s="1" t="s">
        <v>11</v>
      </c>
      <c r="H1790" s="1" t="s">
        <v>38</v>
      </c>
      <c r="I1790" t="s">
        <v>13</v>
      </c>
      <c r="J1790" t="s">
        <v>13</v>
      </c>
    </row>
    <row r="1791" spans="1:11" x14ac:dyDescent="0.35">
      <c r="A1791" t="s">
        <v>5</v>
      </c>
      <c r="B1791" t="str">
        <f t="shared" si="37"/>
        <v>49281</v>
      </c>
      <c r="C1791" t="str">
        <f>"007"</f>
        <v>007</v>
      </c>
      <c r="D1791">
        <v>2008</v>
      </c>
      <c r="E1791" s="1">
        <v>34600600</v>
      </c>
      <c r="F1791" s="1">
        <v>23686700</v>
      </c>
      <c r="G1791" s="1" t="s">
        <v>11</v>
      </c>
      <c r="H1791" s="1" t="s">
        <v>38</v>
      </c>
      <c r="I1791" t="s">
        <v>13</v>
      </c>
      <c r="J1791" t="s">
        <v>13</v>
      </c>
    </row>
    <row r="1792" spans="1:11" x14ac:dyDescent="0.35">
      <c r="A1792" t="s">
        <v>5</v>
      </c>
      <c r="B1792" t="str">
        <f t="shared" si="37"/>
        <v>49281</v>
      </c>
      <c r="C1792" t="str">
        <f>"008"</f>
        <v>008</v>
      </c>
      <c r="D1792">
        <v>2010</v>
      </c>
      <c r="E1792" s="1">
        <v>29573200</v>
      </c>
      <c r="F1792" s="1">
        <v>9787900</v>
      </c>
      <c r="G1792" s="1" t="s">
        <v>11</v>
      </c>
      <c r="H1792" s="1" t="s">
        <v>38</v>
      </c>
      <c r="I1792" t="s">
        <v>13</v>
      </c>
      <c r="J1792" t="s">
        <v>13</v>
      </c>
    </row>
    <row r="1793" spans="1:11" x14ac:dyDescent="0.35">
      <c r="A1793" t="s">
        <v>5</v>
      </c>
      <c r="B1793" t="str">
        <f t="shared" si="37"/>
        <v>49281</v>
      </c>
      <c r="C1793" t="str">
        <f>"009"</f>
        <v>009</v>
      </c>
      <c r="D1793">
        <v>2013</v>
      </c>
      <c r="E1793" s="1">
        <v>197387100</v>
      </c>
      <c r="F1793" s="1">
        <v>139157700</v>
      </c>
      <c r="G1793" s="1" t="s">
        <v>11</v>
      </c>
      <c r="H1793" s="1" t="s">
        <v>38</v>
      </c>
      <c r="I1793" t="s">
        <v>13</v>
      </c>
      <c r="J1793" t="s">
        <v>13</v>
      </c>
    </row>
    <row r="1794" spans="1:11" x14ac:dyDescent="0.35">
      <c r="A1794" t="s">
        <v>5</v>
      </c>
      <c r="B1794" t="str">
        <f t="shared" si="37"/>
        <v>49281</v>
      </c>
      <c r="C1794" t="str">
        <f>"010"</f>
        <v>010</v>
      </c>
      <c r="D1794">
        <v>2019</v>
      </c>
      <c r="E1794" s="1">
        <v>56216400</v>
      </c>
      <c r="F1794" s="1">
        <v>7084100</v>
      </c>
      <c r="G1794" s="1" t="s">
        <v>11</v>
      </c>
      <c r="H1794" s="1" t="s">
        <v>38</v>
      </c>
      <c r="I1794" t="s">
        <v>13</v>
      </c>
      <c r="J1794" t="s">
        <v>13</v>
      </c>
    </row>
    <row r="1795" spans="1:11" x14ac:dyDescent="0.35">
      <c r="A1795" t="s">
        <v>5</v>
      </c>
      <c r="B1795" t="str">
        <f t="shared" si="37"/>
        <v>49281</v>
      </c>
      <c r="C1795" t="str">
        <f>"011"</f>
        <v>011</v>
      </c>
      <c r="D1795">
        <v>2020</v>
      </c>
      <c r="E1795" s="1">
        <v>24999500</v>
      </c>
      <c r="F1795" s="1">
        <v>883100</v>
      </c>
      <c r="G1795" s="1" t="s">
        <v>11</v>
      </c>
      <c r="H1795" s="1" t="s">
        <v>38</v>
      </c>
      <c r="I1795" t="s">
        <v>13</v>
      </c>
      <c r="J1795" t="s">
        <v>13</v>
      </c>
    </row>
    <row r="1796" spans="1:11" x14ac:dyDescent="0.35">
      <c r="A1796" t="s">
        <v>5</v>
      </c>
      <c r="B1796" t="str">
        <f t="shared" si="37"/>
        <v>49281</v>
      </c>
      <c r="C1796" t="str">
        <f>"012"</f>
        <v>012</v>
      </c>
      <c r="D1796">
        <v>2020</v>
      </c>
      <c r="E1796" s="1">
        <v>21187000</v>
      </c>
      <c r="F1796" s="1">
        <v>694700</v>
      </c>
      <c r="G1796" s="1" t="s">
        <v>11</v>
      </c>
      <c r="H1796" s="1" t="s">
        <v>38</v>
      </c>
      <c r="I1796" t="s">
        <v>13</v>
      </c>
      <c r="J1796" t="s">
        <v>13</v>
      </c>
    </row>
    <row r="1797" spans="1:11" x14ac:dyDescent="0.35">
      <c r="A1797" t="s">
        <v>5</v>
      </c>
      <c r="B1797" t="str">
        <f t="shared" si="37"/>
        <v>49281</v>
      </c>
      <c r="C1797" t="str">
        <f>"013"</f>
        <v>013</v>
      </c>
      <c r="D1797">
        <v>2020</v>
      </c>
      <c r="E1797" s="1">
        <v>6750100</v>
      </c>
      <c r="F1797" s="1">
        <v>223200</v>
      </c>
      <c r="G1797" s="1" t="s">
        <v>11</v>
      </c>
      <c r="H1797" s="1" t="s">
        <v>38</v>
      </c>
      <c r="I1797" t="s">
        <v>13</v>
      </c>
      <c r="J1797" t="s">
        <v>13</v>
      </c>
    </row>
    <row r="1798" spans="1:11" x14ac:dyDescent="0.35">
      <c r="A1798" t="s">
        <v>39</v>
      </c>
      <c r="B1798" t="s">
        <v>13</v>
      </c>
      <c r="C1798" t="s">
        <v>7</v>
      </c>
      <c r="D1798" t="s">
        <v>8</v>
      </c>
      <c r="E1798" s="1">
        <v>580373000</v>
      </c>
      <c r="F1798" s="1">
        <v>306930200</v>
      </c>
      <c r="G1798" s="1" t="s">
        <v>11</v>
      </c>
      <c r="H1798" s="1">
        <v>2334639100</v>
      </c>
      <c r="I1798" t="s">
        <v>13</v>
      </c>
      <c r="J1798" t="s">
        <v>13</v>
      </c>
      <c r="K1798">
        <v>13.15</v>
      </c>
    </row>
    <row r="1799" spans="1:11" x14ac:dyDescent="0.35">
      <c r="E1799" s="1"/>
      <c r="F1799" s="1"/>
      <c r="G1799" s="1"/>
      <c r="H1799" s="1"/>
    </row>
    <row r="1800" spans="1:11" x14ac:dyDescent="0.35">
      <c r="A1800" t="s">
        <v>381</v>
      </c>
      <c r="B1800" t="str">
        <f>"13281"</f>
        <v>13281</v>
      </c>
      <c r="C1800" t="str">
        <f>"004"</f>
        <v>004</v>
      </c>
      <c r="D1800">
        <v>1999</v>
      </c>
      <c r="E1800" s="1">
        <v>17670400</v>
      </c>
      <c r="F1800" s="1">
        <v>7905100</v>
      </c>
      <c r="G1800" s="1" t="s">
        <v>11</v>
      </c>
      <c r="H1800" s="1" t="s">
        <v>38</v>
      </c>
      <c r="I1800" t="s">
        <v>13</v>
      </c>
      <c r="J1800" t="s">
        <v>13</v>
      </c>
    </row>
    <row r="1801" spans="1:11" x14ac:dyDescent="0.35">
      <c r="A1801" t="s">
        <v>5</v>
      </c>
      <c r="B1801" t="str">
        <f>"13281"</f>
        <v>13281</v>
      </c>
      <c r="C1801" t="str">
        <f>"005"</f>
        <v>005</v>
      </c>
      <c r="D1801">
        <v>2010</v>
      </c>
      <c r="E1801" s="1">
        <v>13483600</v>
      </c>
      <c r="F1801" s="1">
        <v>3214400</v>
      </c>
      <c r="G1801" s="1" t="s">
        <v>11</v>
      </c>
      <c r="H1801" s="1" t="s">
        <v>38</v>
      </c>
      <c r="I1801" t="s">
        <v>13</v>
      </c>
      <c r="J1801" t="s">
        <v>13</v>
      </c>
    </row>
    <row r="1802" spans="1:11" x14ac:dyDescent="0.35">
      <c r="A1802" t="s">
        <v>5</v>
      </c>
      <c r="B1802" t="str">
        <f>"13281"</f>
        <v>13281</v>
      </c>
      <c r="C1802" t="str">
        <f>"006"</f>
        <v>006</v>
      </c>
      <c r="D1802">
        <v>2015</v>
      </c>
      <c r="E1802" s="1">
        <v>3201400</v>
      </c>
      <c r="F1802" s="1">
        <v>3191400</v>
      </c>
      <c r="G1802" s="1" t="s">
        <v>11</v>
      </c>
      <c r="H1802" s="1" t="s">
        <v>38</v>
      </c>
      <c r="I1802" t="s">
        <v>13</v>
      </c>
      <c r="J1802" t="s">
        <v>13</v>
      </c>
    </row>
    <row r="1803" spans="1:11" x14ac:dyDescent="0.35">
      <c r="A1803" t="s">
        <v>5</v>
      </c>
      <c r="B1803" t="str">
        <f>"13281"</f>
        <v>13281</v>
      </c>
      <c r="C1803" t="str">
        <f>"007"</f>
        <v>007</v>
      </c>
      <c r="D1803">
        <v>2015</v>
      </c>
      <c r="E1803" s="1">
        <v>41431300</v>
      </c>
      <c r="F1803" s="1">
        <v>40319500</v>
      </c>
      <c r="G1803" s="1" t="s">
        <v>11</v>
      </c>
      <c r="H1803" s="1" t="s">
        <v>38</v>
      </c>
      <c r="I1803" t="s">
        <v>13</v>
      </c>
      <c r="J1803" t="s">
        <v>13</v>
      </c>
    </row>
    <row r="1804" spans="1:11" x14ac:dyDescent="0.35">
      <c r="A1804" t="s">
        <v>5</v>
      </c>
      <c r="B1804" t="str">
        <f>"13281"</f>
        <v>13281</v>
      </c>
      <c r="C1804" t="str">
        <f>"008"</f>
        <v>008</v>
      </c>
      <c r="D1804">
        <v>2018</v>
      </c>
      <c r="E1804" s="1">
        <v>7710400</v>
      </c>
      <c r="F1804" s="1">
        <v>333800</v>
      </c>
      <c r="G1804" s="1" t="s">
        <v>11</v>
      </c>
      <c r="H1804" s="1" t="s">
        <v>38</v>
      </c>
      <c r="I1804" t="s">
        <v>13</v>
      </c>
      <c r="J1804" t="s">
        <v>13</v>
      </c>
    </row>
    <row r="1805" spans="1:11" x14ac:dyDescent="0.35">
      <c r="A1805" t="s">
        <v>39</v>
      </c>
      <c r="B1805" t="s">
        <v>13</v>
      </c>
      <c r="C1805" t="s">
        <v>7</v>
      </c>
      <c r="D1805" t="s">
        <v>8</v>
      </c>
      <c r="E1805" s="1">
        <v>83497100</v>
      </c>
      <c r="F1805" s="1">
        <v>54964200</v>
      </c>
      <c r="G1805" s="1" t="s">
        <v>11</v>
      </c>
      <c r="H1805" s="1">
        <v>1341278100</v>
      </c>
      <c r="I1805" t="s">
        <v>13</v>
      </c>
      <c r="J1805" t="s">
        <v>13</v>
      </c>
      <c r="K1805">
        <v>4.0999999999999996</v>
      </c>
    </row>
    <row r="1806" spans="1:11" x14ac:dyDescent="0.35">
      <c r="E1806" s="1"/>
      <c r="F1806" s="1"/>
      <c r="G1806" s="1"/>
      <c r="H1806" s="1"/>
    </row>
    <row r="1807" spans="1:11" x14ac:dyDescent="0.35">
      <c r="A1807" t="s">
        <v>382</v>
      </c>
      <c r="B1807" t="str">
        <f>"37182"</f>
        <v>37182</v>
      </c>
      <c r="C1807" t="str">
        <f>"003"</f>
        <v>003</v>
      </c>
      <c r="D1807">
        <v>2006</v>
      </c>
      <c r="E1807" s="1">
        <v>9453700</v>
      </c>
      <c r="F1807" s="1">
        <v>7040300</v>
      </c>
      <c r="G1807" s="1" t="s">
        <v>11</v>
      </c>
      <c r="H1807" s="1" t="s">
        <v>38</v>
      </c>
      <c r="I1807" t="s">
        <v>13</v>
      </c>
      <c r="J1807" t="s">
        <v>13</v>
      </c>
    </row>
    <row r="1808" spans="1:11" x14ac:dyDescent="0.35">
      <c r="A1808" t="s">
        <v>5</v>
      </c>
      <c r="B1808" t="str">
        <f>"37182"</f>
        <v>37182</v>
      </c>
      <c r="C1808" t="str">
        <f>"004"</f>
        <v>004</v>
      </c>
      <c r="D1808">
        <v>2015</v>
      </c>
      <c r="E1808" s="1">
        <v>23225600</v>
      </c>
      <c r="F1808" s="1">
        <v>14170100</v>
      </c>
      <c r="G1808" s="1" t="s">
        <v>11</v>
      </c>
      <c r="H1808" s="1" t="s">
        <v>38</v>
      </c>
      <c r="I1808" t="s">
        <v>13</v>
      </c>
      <c r="J1808" t="s">
        <v>13</v>
      </c>
    </row>
    <row r="1809" spans="1:11" x14ac:dyDescent="0.35">
      <c r="A1809" t="s">
        <v>39</v>
      </c>
      <c r="B1809" t="s">
        <v>13</v>
      </c>
      <c r="C1809" t="s">
        <v>7</v>
      </c>
      <c r="D1809" t="s">
        <v>8</v>
      </c>
      <c r="E1809" s="1">
        <v>32679300</v>
      </c>
      <c r="F1809" s="1">
        <v>21210400</v>
      </c>
      <c r="G1809" s="1" t="s">
        <v>11</v>
      </c>
      <c r="H1809" s="1">
        <v>119838900</v>
      </c>
      <c r="I1809" t="s">
        <v>13</v>
      </c>
      <c r="J1809" t="s">
        <v>13</v>
      </c>
      <c r="K1809">
        <v>17.7</v>
      </c>
    </row>
    <row r="1810" spans="1:11" x14ac:dyDescent="0.35">
      <c r="E1810" s="1"/>
      <c r="F1810" s="1"/>
      <c r="G1810" s="1"/>
      <c r="H1810" s="1"/>
    </row>
    <row r="1811" spans="1:11" x14ac:dyDescent="0.35">
      <c r="A1811" t="s">
        <v>383</v>
      </c>
      <c r="B1811" t="str">
        <f>"61181"</f>
        <v>61181</v>
      </c>
      <c r="C1811" t="str">
        <f>"001"</f>
        <v>001</v>
      </c>
      <c r="D1811">
        <v>2009</v>
      </c>
      <c r="E1811" s="1">
        <v>9400</v>
      </c>
      <c r="F1811" s="1">
        <v>3800</v>
      </c>
      <c r="G1811" s="1" t="s">
        <v>11</v>
      </c>
      <c r="H1811" s="1" t="s">
        <v>38</v>
      </c>
      <c r="I1811" t="s">
        <v>13</v>
      </c>
      <c r="J1811" t="s">
        <v>13</v>
      </c>
    </row>
    <row r="1812" spans="1:11" x14ac:dyDescent="0.35">
      <c r="A1812" t="s">
        <v>39</v>
      </c>
      <c r="B1812" t="s">
        <v>13</v>
      </c>
      <c r="C1812" t="s">
        <v>7</v>
      </c>
      <c r="D1812" t="s">
        <v>8</v>
      </c>
      <c r="E1812" s="1">
        <v>9400</v>
      </c>
      <c r="F1812" s="1">
        <v>3800</v>
      </c>
      <c r="G1812" s="1" t="s">
        <v>11</v>
      </c>
      <c r="H1812" s="1">
        <v>66933200</v>
      </c>
      <c r="I1812" t="s">
        <v>13</v>
      </c>
      <c r="J1812" t="s">
        <v>13</v>
      </c>
      <c r="K1812">
        <v>0.01</v>
      </c>
    </row>
    <row r="1813" spans="1:11" x14ac:dyDescent="0.35">
      <c r="E1813" s="1"/>
      <c r="F1813" s="1"/>
      <c r="G1813" s="1"/>
      <c r="H1813" s="1"/>
    </row>
    <row r="1814" spans="1:11" x14ac:dyDescent="0.35">
      <c r="A1814" t="s">
        <v>384</v>
      </c>
      <c r="B1814" t="str">
        <f>"15281"</f>
        <v>15281</v>
      </c>
      <c r="C1814" t="str">
        <f>"001"</f>
        <v>001</v>
      </c>
      <c r="D1814">
        <v>1991</v>
      </c>
      <c r="E1814" s="1">
        <v>46586200</v>
      </c>
      <c r="F1814" s="1">
        <v>36952000</v>
      </c>
      <c r="G1814" s="1" t="s">
        <v>11</v>
      </c>
      <c r="H1814" s="1" t="s">
        <v>38</v>
      </c>
      <c r="I1814" t="s">
        <v>13</v>
      </c>
      <c r="J1814" t="s">
        <v>13</v>
      </c>
    </row>
    <row r="1815" spans="1:11" x14ac:dyDescent="0.35">
      <c r="A1815" t="s">
        <v>5</v>
      </c>
      <c r="B1815" t="str">
        <f>"15281"</f>
        <v>15281</v>
      </c>
      <c r="C1815" t="str">
        <f>"002"</f>
        <v>002</v>
      </c>
      <c r="D1815">
        <v>1994</v>
      </c>
      <c r="E1815" s="1">
        <v>58366600</v>
      </c>
      <c r="F1815" s="1">
        <v>42243600</v>
      </c>
      <c r="G1815" s="1" t="s">
        <v>11</v>
      </c>
      <c r="H1815" s="1" t="s">
        <v>38</v>
      </c>
      <c r="I1815" t="s">
        <v>13</v>
      </c>
      <c r="J1815" t="s">
        <v>13</v>
      </c>
    </row>
    <row r="1816" spans="1:11" x14ac:dyDescent="0.35">
      <c r="A1816" t="s">
        <v>5</v>
      </c>
      <c r="B1816" t="str">
        <f>"15281"</f>
        <v>15281</v>
      </c>
      <c r="C1816" t="str">
        <f>"003"</f>
        <v>003</v>
      </c>
      <c r="D1816">
        <v>2008</v>
      </c>
      <c r="E1816" s="1">
        <v>3937000</v>
      </c>
      <c r="F1816" s="1">
        <v>3020100</v>
      </c>
      <c r="G1816" s="1" t="s">
        <v>11</v>
      </c>
      <c r="H1816" s="1" t="s">
        <v>38</v>
      </c>
      <c r="I1816" t="s">
        <v>13</v>
      </c>
      <c r="J1816" t="s">
        <v>13</v>
      </c>
    </row>
    <row r="1817" spans="1:11" x14ac:dyDescent="0.35">
      <c r="A1817" t="s">
        <v>5</v>
      </c>
      <c r="B1817" t="str">
        <f>"15281"</f>
        <v>15281</v>
      </c>
      <c r="C1817" t="str">
        <f>"004"</f>
        <v>004</v>
      </c>
      <c r="D1817">
        <v>2013</v>
      </c>
      <c r="E1817" s="1">
        <v>4664400</v>
      </c>
      <c r="F1817" s="1">
        <v>4248500</v>
      </c>
      <c r="G1817" s="1" t="s">
        <v>11</v>
      </c>
      <c r="H1817" s="1" t="s">
        <v>38</v>
      </c>
      <c r="I1817" t="s">
        <v>13</v>
      </c>
      <c r="J1817" t="s">
        <v>13</v>
      </c>
    </row>
    <row r="1818" spans="1:11" x14ac:dyDescent="0.35">
      <c r="A1818" t="s">
        <v>39</v>
      </c>
      <c r="B1818" t="s">
        <v>13</v>
      </c>
      <c r="C1818" t="s">
        <v>7</v>
      </c>
      <c r="D1818" t="s">
        <v>8</v>
      </c>
      <c r="E1818" s="1">
        <v>113554200</v>
      </c>
      <c r="F1818" s="1">
        <v>86464200</v>
      </c>
      <c r="G1818" s="1" t="s">
        <v>11</v>
      </c>
      <c r="H1818" s="1">
        <v>1029653800</v>
      </c>
      <c r="I1818" t="s">
        <v>13</v>
      </c>
      <c r="J1818" t="s">
        <v>13</v>
      </c>
      <c r="K1818">
        <v>8.4</v>
      </c>
    </row>
    <row r="1819" spans="1:11" x14ac:dyDescent="0.35">
      <c r="E1819" s="1"/>
      <c r="F1819" s="1"/>
      <c r="G1819" s="1"/>
      <c r="H1819" s="1"/>
    </row>
    <row r="1820" spans="1:11" x14ac:dyDescent="0.35">
      <c r="A1820" t="s">
        <v>385</v>
      </c>
      <c r="B1820" t="str">
        <f>"51181"</f>
        <v>51181</v>
      </c>
      <c r="C1820" t="str">
        <f>"004"</f>
        <v>004</v>
      </c>
      <c r="D1820">
        <v>2016</v>
      </c>
      <c r="E1820" s="1">
        <v>149939500</v>
      </c>
      <c r="F1820" s="1">
        <v>94615900</v>
      </c>
      <c r="G1820" s="1" t="s">
        <v>11</v>
      </c>
      <c r="H1820" s="1" t="s">
        <v>38</v>
      </c>
      <c r="I1820" t="s">
        <v>13</v>
      </c>
      <c r="J1820" t="s">
        <v>13</v>
      </c>
    </row>
    <row r="1821" spans="1:11" x14ac:dyDescent="0.35">
      <c r="A1821" t="s">
        <v>39</v>
      </c>
      <c r="B1821" t="s">
        <v>13</v>
      </c>
      <c r="C1821" t="s">
        <v>7</v>
      </c>
      <c r="D1821" t="s">
        <v>8</v>
      </c>
      <c r="E1821" s="1">
        <v>149939500</v>
      </c>
      <c r="F1821" s="1">
        <v>94615900</v>
      </c>
      <c r="G1821" s="1" t="s">
        <v>11</v>
      </c>
      <c r="H1821" s="1">
        <v>752106200</v>
      </c>
      <c r="I1821" t="s">
        <v>13</v>
      </c>
      <c r="J1821" t="s">
        <v>13</v>
      </c>
      <c r="K1821">
        <v>12.58</v>
      </c>
    </row>
    <row r="1822" spans="1:11" x14ac:dyDescent="0.35">
      <c r="E1822" s="1"/>
      <c r="F1822" s="1"/>
      <c r="G1822" s="1"/>
      <c r="H1822" s="1"/>
    </row>
    <row r="1823" spans="1:11" x14ac:dyDescent="0.35">
      <c r="A1823" t="s">
        <v>386</v>
      </c>
      <c r="B1823" t="str">
        <f>"05178"</f>
        <v>05178</v>
      </c>
      <c r="C1823" t="str">
        <f>"001"</f>
        <v>001</v>
      </c>
      <c r="D1823">
        <v>2004</v>
      </c>
      <c r="E1823" s="1">
        <v>66033900</v>
      </c>
      <c r="F1823" s="1">
        <v>55563200</v>
      </c>
      <c r="G1823" s="1" t="s">
        <v>11</v>
      </c>
      <c r="H1823" s="1" t="s">
        <v>38</v>
      </c>
      <c r="I1823" t="s">
        <v>13</v>
      </c>
      <c r="J1823" t="s">
        <v>13</v>
      </c>
    </row>
    <row r="1824" spans="1:11" x14ac:dyDescent="0.35">
      <c r="A1824" t="s">
        <v>5</v>
      </c>
      <c r="B1824" t="str">
        <f>"05178"</f>
        <v>05178</v>
      </c>
      <c r="C1824" t="str">
        <f>"002"</f>
        <v>002</v>
      </c>
      <c r="D1824">
        <v>2006</v>
      </c>
      <c r="E1824" s="1">
        <v>27208600</v>
      </c>
      <c r="F1824" s="1">
        <v>16682400</v>
      </c>
      <c r="G1824" s="1" t="s">
        <v>11</v>
      </c>
      <c r="H1824" s="1" t="s">
        <v>38</v>
      </c>
      <c r="I1824" t="s">
        <v>13</v>
      </c>
      <c r="J1824" t="s">
        <v>13</v>
      </c>
    </row>
    <row r="1825" spans="1:11" x14ac:dyDescent="0.35">
      <c r="A1825" t="s">
        <v>5</v>
      </c>
      <c r="B1825" t="str">
        <f>"05178"</f>
        <v>05178</v>
      </c>
      <c r="C1825" t="str">
        <f>"004"</f>
        <v>004</v>
      </c>
      <c r="D1825">
        <v>2014</v>
      </c>
      <c r="E1825" s="1">
        <v>66608100</v>
      </c>
      <c r="F1825" s="1">
        <v>32599400</v>
      </c>
      <c r="G1825" s="1" t="s">
        <v>11</v>
      </c>
      <c r="H1825" s="1" t="s">
        <v>38</v>
      </c>
      <c r="I1825" t="s">
        <v>13</v>
      </c>
      <c r="J1825" t="s">
        <v>13</v>
      </c>
    </row>
    <row r="1826" spans="1:11" x14ac:dyDescent="0.35">
      <c r="A1826" t="s">
        <v>39</v>
      </c>
      <c r="B1826" t="s">
        <v>13</v>
      </c>
      <c r="C1826" t="s">
        <v>7</v>
      </c>
      <c r="D1826" t="s">
        <v>8</v>
      </c>
      <c r="E1826" s="1">
        <v>159850600</v>
      </c>
      <c r="F1826" s="1">
        <v>104845000</v>
      </c>
      <c r="G1826" s="1" t="s">
        <v>11</v>
      </c>
      <c r="H1826" s="1">
        <v>1618742500</v>
      </c>
      <c r="I1826" t="s">
        <v>13</v>
      </c>
      <c r="J1826" t="s">
        <v>13</v>
      </c>
      <c r="K1826">
        <v>6.48</v>
      </c>
    </row>
    <row r="1827" spans="1:11" x14ac:dyDescent="0.35">
      <c r="E1827" s="1"/>
      <c r="F1827" s="1"/>
      <c r="G1827" s="1"/>
      <c r="H1827" s="1"/>
    </row>
    <row r="1828" spans="1:11" x14ac:dyDescent="0.35">
      <c r="A1828" t="s">
        <v>387</v>
      </c>
      <c r="B1828" t="str">
        <f t="shared" ref="B1828:B1833" si="38">"13282"</f>
        <v>13282</v>
      </c>
      <c r="C1828" t="str">
        <f>"008"</f>
        <v>008</v>
      </c>
      <c r="D1828">
        <v>2002</v>
      </c>
      <c r="E1828" s="1">
        <v>134680800</v>
      </c>
      <c r="F1828" s="1">
        <v>112401800</v>
      </c>
      <c r="G1828" s="1" t="s">
        <v>11</v>
      </c>
      <c r="H1828" s="1" t="s">
        <v>38</v>
      </c>
      <c r="I1828" t="s">
        <v>13</v>
      </c>
      <c r="J1828" t="s">
        <v>13</v>
      </c>
    </row>
    <row r="1829" spans="1:11" x14ac:dyDescent="0.35">
      <c r="A1829" t="s">
        <v>5</v>
      </c>
      <c r="B1829" t="str">
        <f t="shared" si="38"/>
        <v>13282</v>
      </c>
      <c r="C1829" t="str">
        <f>"009"</f>
        <v>009</v>
      </c>
      <c r="D1829">
        <v>2007</v>
      </c>
      <c r="E1829" s="1">
        <v>102982200</v>
      </c>
      <c r="F1829" s="1">
        <v>90687300</v>
      </c>
      <c r="G1829" s="1" t="s">
        <v>11</v>
      </c>
      <c r="H1829" s="1" t="s">
        <v>38</v>
      </c>
      <c r="I1829" t="s">
        <v>13</v>
      </c>
      <c r="J1829" t="s">
        <v>13</v>
      </c>
    </row>
    <row r="1830" spans="1:11" x14ac:dyDescent="0.35">
      <c r="A1830" t="s">
        <v>5</v>
      </c>
      <c r="B1830" t="str">
        <f t="shared" si="38"/>
        <v>13282</v>
      </c>
      <c r="C1830" t="str">
        <f>"011"</f>
        <v>011</v>
      </c>
      <c r="D1830">
        <v>2015</v>
      </c>
      <c r="E1830" s="1">
        <v>86161000</v>
      </c>
      <c r="F1830" s="1">
        <v>53661700</v>
      </c>
      <c r="G1830" s="1" t="s">
        <v>11</v>
      </c>
      <c r="H1830" s="1" t="s">
        <v>38</v>
      </c>
      <c r="I1830" t="s">
        <v>13</v>
      </c>
      <c r="J1830" t="s">
        <v>13</v>
      </c>
    </row>
    <row r="1831" spans="1:11" x14ac:dyDescent="0.35">
      <c r="A1831" t="s">
        <v>5</v>
      </c>
      <c r="B1831" t="str">
        <f t="shared" si="38"/>
        <v>13282</v>
      </c>
      <c r="C1831" t="str">
        <f>"012"</f>
        <v>012</v>
      </c>
      <c r="D1831">
        <v>2016</v>
      </c>
      <c r="E1831" s="1">
        <v>16474600</v>
      </c>
      <c r="F1831" s="1">
        <v>12700100</v>
      </c>
      <c r="G1831" s="1" t="s">
        <v>11</v>
      </c>
      <c r="H1831" s="1" t="s">
        <v>38</v>
      </c>
      <c r="I1831" t="s">
        <v>13</v>
      </c>
      <c r="J1831" t="s">
        <v>13</v>
      </c>
    </row>
    <row r="1832" spans="1:11" x14ac:dyDescent="0.35">
      <c r="A1832" t="s">
        <v>5</v>
      </c>
      <c r="B1832" t="str">
        <f t="shared" si="38"/>
        <v>13282</v>
      </c>
      <c r="C1832" t="str">
        <f>"013"</f>
        <v>013</v>
      </c>
      <c r="D1832">
        <v>2017</v>
      </c>
      <c r="E1832" s="1">
        <v>11192100</v>
      </c>
      <c r="F1832" s="1">
        <v>10573900</v>
      </c>
      <c r="G1832" s="1" t="s">
        <v>11</v>
      </c>
      <c r="H1832" s="1" t="s">
        <v>38</v>
      </c>
      <c r="I1832" t="s">
        <v>13</v>
      </c>
      <c r="J1832" t="s">
        <v>13</v>
      </c>
    </row>
    <row r="1833" spans="1:11" x14ac:dyDescent="0.35">
      <c r="A1833" t="s">
        <v>5</v>
      </c>
      <c r="B1833" t="str">
        <f t="shared" si="38"/>
        <v>13282</v>
      </c>
      <c r="C1833" t="str">
        <f>"014"</f>
        <v>014</v>
      </c>
      <c r="D1833">
        <v>2020</v>
      </c>
      <c r="E1833" s="1">
        <v>4985800</v>
      </c>
      <c r="F1833" s="1">
        <v>-463000</v>
      </c>
      <c r="G1833" s="1" t="s">
        <v>48</v>
      </c>
      <c r="H1833" s="1" t="s">
        <v>38</v>
      </c>
      <c r="I1833" t="s">
        <v>13</v>
      </c>
      <c r="J1833" t="s">
        <v>13</v>
      </c>
    </row>
    <row r="1834" spans="1:11" x14ac:dyDescent="0.35">
      <c r="A1834" t="s">
        <v>39</v>
      </c>
      <c r="B1834" t="s">
        <v>13</v>
      </c>
      <c r="C1834" t="s">
        <v>7</v>
      </c>
      <c r="D1834" t="s">
        <v>8</v>
      </c>
      <c r="E1834" s="1">
        <v>356476500</v>
      </c>
      <c r="F1834" s="1">
        <v>280024800</v>
      </c>
      <c r="G1834" s="1" t="s">
        <v>11</v>
      </c>
      <c r="H1834" s="1">
        <v>4176130900</v>
      </c>
      <c r="I1834" t="s">
        <v>13</v>
      </c>
      <c r="J1834" t="s">
        <v>13</v>
      </c>
      <c r="K1834">
        <v>6.71</v>
      </c>
    </row>
    <row r="1835" spans="1:11" x14ac:dyDescent="0.35">
      <c r="E1835" s="1"/>
      <c r="F1835" s="1"/>
      <c r="G1835" s="1"/>
      <c r="H1835" s="1"/>
    </row>
    <row r="1836" spans="1:11" x14ac:dyDescent="0.35">
      <c r="A1836" t="s">
        <v>388</v>
      </c>
      <c r="B1836" t="str">
        <f t="shared" ref="B1836:B1841" si="39">"16281"</f>
        <v>16281</v>
      </c>
      <c r="C1836" t="str">
        <f>"007"</f>
        <v>007</v>
      </c>
      <c r="D1836">
        <v>1996</v>
      </c>
      <c r="E1836" s="1">
        <v>25258700</v>
      </c>
      <c r="F1836" s="1">
        <v>17859200</v>
      </c>
      <c r="G1836" s="1" t="s">
        <v>11</v>
      </c>
      <c r="H1836" s="1" t="s">
        <v>38</v>
      </c>
      <c r="I1836" t="s">
        <v>13</v>
      </c>
      <c r="J1836" t="s">
        <v>13</v>
      </c>
    </row>
    <row r="1837" spans="1:11" x14ac:dyDescent="0.35">
      <c r="A1837" t="s">
        <v>5</v>
      </c>
      <c r="B1837" t="str">
        <f t="shared" si="39"/>
        <v>16281</v>
      </c>
      <c r="C1837" t="str">
        <f>"009"</f>
        <v>009</v>
      </c>
      <c r="D1837">
        <v>2002</v>
      </c>
      <c r="E1837" s="1">
        <v>57974500</v>
      </c>
      <c r="F1837" s="1">
        <v>49798900</v>
      </c>
      <c r="G1837" s="1" t="s">
        <v>11</v>
      </c>
      <c r="H1837" s="1" t="s">
        <v>38</v>
      </c>
      <c r="I1837" t="s">
        <v>13</v>
      </c>
      <c r="J1837" t="s">
        <v>13</v>
      </c>
    </row>
    <row r="1838" spans="1:11" x14ac:dyDescent="0.35">
      <c r="A1838" t="s">
        <v>5</v>
      </c>
      <c r="B1838" t="str">
        <f t="shared" si="39"/>
        <v>16281</v>
      </c>
      <c r="C1838" t="str">
        <f>"011"</f>
        <v>011</v>
      </c>
      <c r="D1838">
        <v>2008</v>
      </c>
      <c r="E1838" s="1">
        <v>10985600</v>
      </c>
      <c r="F1838" s="1">
        <v>9048600</v>
      </c>
      <c r="G1838" s="1" t="s">
        <v>11</v>
      </c>
      <c r="H1838" s="1" t="s">
        <v>38</v>
      </c>
      <c r="I1838" t="s">
        <v>13</v>
      </c>
      <c r="J1838" t="s">
        <v>13</v>
      </c>
    </row>
    <row r="1839" spans="1:11" x14ac:dyDescent="0.35">
      <c r="A1839" t="s">
        <v>5</v>
      </c>
      <c r="B1839" t="str">
        <f t="shared" si="39"/>
        <v>16281</v>
      </c>
      <c r="C1839" t="str">
        <f>"013"</f>
        <v>013</v>
      </c>
      <c r="D1839">
        <v>2014</v>
      </c>
      <c r="E1839" s="1">
        <v>15273700</v>
      </c>
      <c r="F1839" s="1">
        <v>12873300</v>
      </c>
      <c r="G1839" s="1" t="s">
        <v>11</v>
      </c>
      <c r="H1839" s="1" t="s">
        <v>38</v>
      </c>
      <c r="I1839" t="s">
        <v>13</v>
      </c>
      <c r="J1839" t="s">
        <v>13</v>
      </c>
    </row>
    <row r="1840" spans="1:11" x14ac:dyDescent="0.35">
      <c r="A1840" t="s">
        <v>5</v>
      </c>
      <c r="B1840" t="str">
        <f t="shared" si="39"/>
        <v>16281</v>
      </c>
      <c r="C1840" t="str">
        <f>"014"</f>
        <v>014</v>
      </c>
      <c r="D1840">
        <v>2019</v>
      </c>
      <c r="E1840" s="1">
        <v>468100</v>
      </c>
      <c r="F1840" s="1">
        <v>320400</v>
      </c>
      <c r="G1840" s="1" t="s">
        <v>11</v>
      </c>
      <c r="H1840" s="1" t="s">
        <v>38</v>
      </c>
      <c r="I1840" t="s">
        <v>13</v>
      </c>
      <c r="J1840" t="s">
        <v>13</v>
      </c>
    </row>
    <row r="1841" spans="1:11" x14ac:dyDescent="0.35">
      <c r="A1841" t="s">
        <v>5</v>
      </c>
      <c r="B1841" t="str">
        <f t="shared" si="39"/>
        <v>16281</v>
      </c>
      <c r="C1841" t="str">
        <f>"015"</f>
        <v>015</v>
      </c>
      <c r="D1841">
        <v>2020</v>
      </c>
      <c r="E1841" s="1">
        <v>15833100</v>
      </c>
      <c r="F1841" s="1">
        <v>15455200</v>
      </c>
      <c r="G1841" s="1" t="s">
        <v>11</v>
      </c>
      <c r="H1841" s="1" t="s">
        <v>38</v>
      </c>
      <c r="I1841" t="s">
        <v>13</v>
      </c>
      <c r="J1841" t="s">
        <v>13</v>
      </c>
    </row>
    <row r="1842" spans="1:11" x14ac:dyDescent="0.35">
      <c r="A1842" t="s">
        <v>39</v>
      </c>
      <c r="B1842" t="s">
        <v>13</v>
      </c>
      <c r="C1842" t="s">
        <v>7</v>
      </c>
      <c r="D1842" t="s">
        <v>8</v>
      </c>
      <c r="E1842" s="1">
        <v>125793700</v>
      </c>
      <c r="F1842" s="1">
        <v>105355600</v>
      </c>
      <c r="G1842" s="1" t="s">
        <v>11</v>
      </c>
      <c r="H1842" s="1">
        <v>2053869500</v>
      </c>
      <c r="I1842" t="s">
        <v>13</v>
      </c>
      <c r="J1842" t="s">
        <v>13</v>
      </c>
      <c r="K1842">
        <v>5.13</v>
      </c>
    </row>
    <row r="1843" spans="1:11" x14ac:dyDescent="0.35">
      <c r="E1843" s="1"/>
      <c r="F1843" s="1"/>
      <c r="G1843" s="1"/>
      <c r="H1843" s="1"/>
    </row>
    <row r="1844" spans="1:11" x14ac:dyDescent="0.35">
      <c r="A1844" t="s">
        <v>389</v>
      </c>
      <c r="B1844" t="str">
        <f>"42181"</f>
        <v>42181</v>
      </c>
      <c r="C1844" t="str">
        <f>"001"</f>
        <v>001</v>
      </c>
      <c r="D1844">
        <v>2000</v>
      </c>
      <c r="E1844" s="1">
        <v>2970500</v>
      </c>
      <c r="F1844" s="1">
        <v>1521265</v>
      </c>
      <c r="G1844" s="1" t="s">
        <v>11</v>
      </c>
      <c r="H1844" s="1" t="s">
        <v>38</v>
      </c>
      <c r="I1844" t="s">
        <v>13</v>
      </c>
      <c r="J1844" t="s">
        <v>13</v>
      </c>
    </row>
    <row r="1845" spans="1:11" x14ac:dyDescent="0.35">
      <c r="A1845" t="s">
        <v>39</v>
      </c>
      <c r="B1845" t="s">
        <v>13</v>
      </c>
      <c r="C1845" t="s">
        <v>7</v>
      </c>
      <c r="D1845" t="s">
        <v>8</v>
      </c>
      <c r="E1845" s="1">
        <v>2970500</v>
      </c>
      <c r="F1845" s="1">
        <v>1521265</v>
      </c>
      <c r="G1845" s="1" t="s">
        <v>11</v>
      </c>
      <c r="H1845" s="1">
        <v>23216700</v>
      </c>
      <c r="I1845" t="s">
        <v>13</v>
      </c>
      <c r="J1845" t="s">
        <v>13</v>
      </c>
      <c r="K1845">
        <v>6.55</v>
      </c>
    </row>
    <row r="1846" spans="1:11" x14ac:dyDescent="0.35">
      <c r="E1846" s="1"/>
      <c r="F1846" s="1"/>
      <c r="G1846" s="1"/>
      <c r="H1846" s="1"/>
    </row>
    <row r="1847" spans="1:11" x14ac:dyDescent="0.35">
      <c r="A1847" t="s">
        <v>390</v>
      </c>
      <c r="B1847" t="str">
        <f>"67181"</f>
        <v>67181</v>
      </c>
      <c r="C1847" t="str">
        <f>"006"</f>
        <v>006</v>
      </c>
      <c r="D1847">
        <v>2013</v>
      </c>
      <c r="E1847" s="1">
        <v>73795100</v>
      </c>
      <c r="F1847" s="1">
        <v>49691500</v>
      </c>
      <c r="G1847" s="1" t="s">
        <v>11</v>
      </c>
      <c r="H1847" s="1" t="s">
        <v>38</v>
      </c>
      <c r="I1847" t="s">
        <v>13</v>
      </c>
      <c r="J1847" t="s">
        <v>13</v>
      </c>
    </row>
    <row r="1848" spans="1:11" x14ac:dyDescent="0.35">
      <c r="A1848" t="s">
        <v>5</v>
      </c>
      <c r="B1848" t="str">
        <f>"67181"</f>
        <v>67181</v>
      </c>
      <c r="C1848" t="str">
        <f>"007"</f>
        <v>007</v>
      </c>
      <c r="D1848">
        <v>2018</v>
      </c>
      <c r="E1848" s="1">
        <v>6747100</v>
      </c>
      <c r="F1848" s="1">
        <v>6506500</v>
      </c>
      <c r="G1848" s="1" t="s">
        <v>11</v>
      </c>
      <c r="H1848" s="1" t="s">
        <v>38</v>
      </c>
      <c r="I1848" t="s">
        <v>13</v>
      </c>
      <c r="J1848" t="s">
        <v>13</v>
      </c>
    </row>
    <row r="1849" spans="1:11" x14ac:dyDescent="0.35">
      <c r="A1849" t="s">
        <v>39</v>
      </c>
      <c r="B1849" t="s">
        <v>13</v>
      </c>
      <c r="C1849" t="s">
        <v>7</v>
      </c>
      <c r="D1849" t="s">
        <v>8</v>
      </c>
      <c r="E1849" s="1">
        <v>80542200</v>
      </c>
      <c r="F1849" s="1">
        <v>56198000</v>
      </c>
      <c r="G1849" s="1" t="s">
        <v>11</v>
      </c>
      <c r="H1849" s="1">
        <v>1661648200</v>
      </c>
      <c r="I1849" t="s">
        <v>13</v>
      </c>
      <c r="J1849" t="s">
        <v>13</v>
      </c>
      <c r="K1849">
        <v>3.38</v>
      </c>
    </row>
    <row r="1850" spans="1:11" x14ac:dyDescent="0.35">
      <c r="E1850" s="1"/>
      <c r="F1850" s="1"/>
      <c r="G1850" s="1"/>
      <c r="H1850" s="1"/>
    </row>
    <row r="1851" spans="1:11" x14ac:dyDescent="0.35">
      <c r="A1851" t="s">
        <v>391</v>
      </c>
      <c r="B1851" t="str">
        <f>"27186"</f>
        <v>27186</v>
      </c>
      <c r="C1851" t="str">
        <f>"004"</f>
        <v>004</v>
      </c>
      <c r="D1851">
        <v>1999</v>
      </c>
      <c r="E1851" s="1">
        <v>936700</v>
      </c>
      <c r="F1851" s="1">
        <v>537900</v>
      </c>
      <c r="G1851" s="1" t="s">
        <v>11</v>
      </c>
      <c r="H1851" s="1" t="s">
        <v>38</v>
      </c>
      <c r="I1851" t="s">
        <v>13</v>
      </c>
      <c r="J1851" t="s">
        <v>13</v>
      </c>
    </row>
    <row r="1852" spans="1:11" x14ac:dyDescent="0.35">
      <c r="A1852" t="s">
        <v>39</v>
      </c>
      <c r="B1852" t="s">
        <v>13</v>
      </c>
      <c r="C1852" t="s">
        <v>7</v>
      </c>
      <c r="D1852" t="s">
        <v>8</v>
      </c>
      <c r="E1852" s="1">
        <v>936700</v>
      </c>
      <c r="F1852" s="1">
        <v>537900</v>
      </c>
      <c r="G1852" s="1" t="s">
        <v>11</v>
      </c>
      <c r="H1852" s="1">
        <v>15771700</v>
      </c>
      <c r="I1852" t="s">
        <v>13</v>
      </c>
      <c r="J1852" t="s">
        <v>13</v>
      </c>
      <c r="K1852">
        <v>3.41</v>
      </c>
    </row>
    <row r="1853" spans="1:11" x14ac:dyDescent="0.35">
      <c r="E1853" s="1"/>
      <c r="F1853" s="1"/>
      <c r="G1853" s="1"/>
      <c r="H1853" s="1"/>
    </row>
    <row r="1854" spans="1:11" x14ac:dyDescent="0.35">
      <c r="A1854" t="s">
        <v>392</v>
      </c>
      <c r="B1854" t="str">
        <f>"45186"</f>
        <v>45186</v>
      </c>
      <c r="C1854" t="str">
        <f>"002"</f>
        <v>002</v>
      </c>
      <c r="D1854">
        <v>2020</v>
      </c>
      <c r="E1854" s="1">
        <v>12866600</v>
      </c>
      <c r="F1854" s="1">
        <v>-186800</v>
      </c>
      <c r="G1854" s="1" t="s">
        <v>48</v>
      </c>
      <c r="H1854" s="1" t="s">
        <v>38</v>
      </c>
      <c r="I1854" t="s">
        <v>13</v>
      </c>
      <c r="J1854" t="s">
        <v>13</v>
      </c>
    </row>
    <row r="1855" spans="1:11" x14ac:dyDescent="0.35">
      <c r="A1855" t="s">
        <v>39</v>
      </c>
      <c r="B1855" t="s">
        <v>13</v>
      </c>
      <c r="C1855" t="s">
        <v>7</v>
      </c>
      <c r="D1855" t="s">
        <v>8</v>
      </c>
      <c r="E1855" s="1">
        <v>12866600</v>
      </c>
      <c r="F1855" s="1">
        <v>0</v>
      </c>
      <c r="G1855" s="1" t="s">
        <v>11</v>
      </c>
      <c r="H1855" s="1">
        <v>409868800</v>
      </c>
      <c r="I1855" t="s">
        <v>13</v>
      </c>
      <c r="J1855" t="s">
        <v>13</v>
      </c>
      <c r="K1855">
        <v>0</v>
      </c>
    </row>
    <row r="1856" spans="1:11" x14ac:dyDescent="0.35">
      <c r="E1856" s="1"/>
      <c r="F1856" s="1"/>
      <c r="G1856" s="1"/>
      <c r="H1856" s="1"/>
    </row>
    <row r="1857" spans="1:11" x14ac:dyDescent="0.35">
      <c r="A1857" t="s">
        <v>393</v>
      </c>
      <c r="B1857" t="str">
        <f>"10286"</f>
        <v>10286</v>
      </c>
      <c r="C1857" t="str">
        <f>"005"</f>
        <v>005</v>
      </c>
      <c r="D1857">
        <v>1999</v>
      </c>
      <c r="E1857" s="1">
        <v>9285200</v>
      </c>
      <c r="F1857" s="1">
        <v>8999800</v>
      </c>
      <c r="G1857" s="1" t="s">
        <v>11</v>
      </c>
      <c r="H1857" s="1" t="s">
        <v>38</v>
      </c>
      <c r="I1857" t="s">
        <v>13</v>
      </c>
      <c r="J1857" t="s">
        <v>13</v>
      </c>
    </row>
    <row r="1858" spans="1:11" x14ac:dyDescent="0.35">
      <c r="A1858" t="s">
        <v>5</v>
      </c>
      <c r="B1858" t="str">
        <f>"10286"</f>
        <v>10286</v>
      </c>
      <c r="C1858" t="str">
        <f>"006"</f>
        <v>006</v>
      </c>
      <c r="D1858">
        <v>2000</v>
      </c>
      <c r="E1858" s="1">
        <v>6631200</v>
      </c>
      <c r="F1858" s="1">
        <v>5049200</v>
      </c>
      <c r="G1858" s="1" t="s">
        <v>11</v>
      </c>
      <c r="H1858" s="1" t="s">
        <v>38</v>
      </c>
      <c r="I1858" t="s">
        <v>13</v>
      </c>
      <c r="J1858" t="s">
        <v>13</v>
      </c>
    </row>
    <row r="1859" spans="1:11" x14ac:dyDescent="0.35">
      <c r="A1859" t="s">
        <v>39</v>
      </c>
      <c r="B1859" t="s">
        <v>13</v>
      </c>
      <c r="C1859" t="s">
        <v>7</v>
      </c>
      <c r="D1859" t="s">
        <v>8</v>
      </c>
      <c r="E1859" s="1">
        <v>15916400</v>
      </c>
      <c r="F1859" s="1">
        <v>14049000</v>
      </c>
      <c r="G1859" s="1" t="s">
        <v>11</v>
      </c>
      <c r="H1859" s="1">
        <v>108763800</v>
      </c>
      <c r="I1859" t="s">
        <v>13</v>
      </c>
      <c r="J1859" t="s">
        <v>13</v>
      </c>
      <c r="K1859">
        <v>12.92</v>
      </c>
    </row>
    <row r="1860" spans="1:11" x14ac:dyDescent="0.35">
      <c r="E1860" s="1"/>
      <c r="F1860" s="1"/>
      <c r="G1860" s="1"/>
      <c r="H1860" s="1"/>
    </row>
    <row r="1861" spans="1:11" x14ac:dyDescent="0.35">
      <c r="A1861" t="s">
        <v>394</v>
      </c>
      <c r="B1861" t="str">
        <f>"58186"</f>
        <v>58186</v>
      </c>
      <c r="C1861" t="str">
        <f>"001"</f>
        <v>001</v>
      </c>
      <c r="D1861">
        <v>1996</v>
      </c>
      <c r="E1861" s="1">
        <v>2269300</v>
      </c>
      <c r="F1861" s="1">
        <v>2144400</v>
      </c>
      <c r="G1861" s="1" t="s">
        <v>11</v>
      </c>
      <c r="H1861" s="1" t="s">
        <v>38</v>
      </c>
      <c r="I1861" t="s">
        <v>13</v>
      </c>
      <c r="J1861" t="s">
        <v>13</v>
      </c>
    </row>
    <row r="1862" spans="1:11" x14ac:dyDescent="0.35">
      <c r="A1862" t="s">
        <v>5</v>
      </c>
      <c r="B1862" t="str">
        <f>"58186"</f>
        <v>58186</v>
      </c>
      <c r="C1862" t="str">
        <f>"002"</f>
        <v>002</v>
      </c>
      <c r="D1862">
        <v>2014</v>
      </c>
      <c r="E1862" s="1">
        <v>1212100</v>
      </c>
      <c r="F1862" s="1">
        <v>574200</v>
      </c>
      <c r="G1862" s="1" t="s">
        <v>11</v>
      </c>
      <c r="H1862" s="1" t="s">
        <v>38</v>
      </c>
      <c r="I1862" t="s">
        <v>13</v>
      </c>
      <c r="J1862" t="s">
        <v>13</v>
      </c>
    </row>
    <row r="1863" spans="1:11" x14ac:dyDescent="0.35">
      <c r="A1863" t="s">
        <v>39</v>
      </c>
      <c r="B1863" t="s">
        <v>13</v>
      </c>
      <c r="C1863" t="s">
        <v>7</v>
      </c>
      <c r="D1863" t="s">
        <v>8</v>
      </c>
      <c r="E1863" s="1">
        <v>3481400</v>
      </c>
      <c r="F1863" s="1">
        <v>2718600</v>
      </c>
      <c r="G1863" s="1" t="s">
        <v>11</v>
      </c>
      <c r="H1863" s="1">
        <v>23089500</v>
      </c>
      <c r="I1863" t="s">
        <v>13</v>
      </c>
      <c r="J1863" t="s">
        <v>13</v>
      </c>
      <c r="K1863">
        <v>11.77</v>
      </c>
    </row>
    <row r="1864" spans="1:11" x14ac:dyDescent="0.35">
      <c r="E1864" s="1"/>
      <c r="F1864" s="1"/>
      <c r="G1864" s="1"/>
      <c r="H1864" s="1"/>
    </row>
    <row r="1865" spans="1:11" x14ac:dyDescent="0.35">
      <c r="A1865" t="s">
        <v>395</v>
      </c>
      <c r="B1865" t="str">
        <f>"41286"</f>
        <v>41286</v>
      </c>
      <c r="C1865" t="str">
        <f>"008"</f>
        <v>008</v>
      </c>
      <c r="D1865">
        <v>2015</v>
      </c>
      <c r="E1865" s="1">
        <v>57454300</v>
      </c>
      <c r="F1865" s="1">
        <v>17513600</v>
      </c>
      <c r="G1865" s="1" t="s">
        <v>11</v>
      </c>
      <c r="H1865" s="1" t="s">
        <v>38</v>
      </c>
      <c r="I1865" t="s">
        <v>13</v>
      </c>
      <c r="J1865" t="s">
        <v>13</v>
      </c>
    </row>
    <row r="1866" spans="1:11" x14ac:dyDescent="0.35">
      <c r="A1866" t="s">
        <v>5</v>
      </c>
      <c r="B1866" t="str">
        <f>"41286"</f>
        <v>41286</v>
      </c>
      <c r="C1866" t="str">
        <f>"009"</f>
        <v>009</v>
      </c>
      <c r="D1866">
        <v>2018</v>
      </c>
      <c r="E1866" s="1">
        <v>53866300</v>
      </c>
      <c r="F1866" s="1">
        <v>8617200</v>
      </c>
      <c r="G1866" s="1" t="s">
        <v>11</v>
      </c>
      <c r="H1866" s="1" t="s">
        <v>38</v>
      </c>
      <c r="I1866" t="s">
        <v>13</v>
      </c>
      <c r="J1866" t="s">
        <v>13</v>
      </c>
    </row>
    <row r="1867" spans="1:11" x14ac:dyDescent="0.35">
      <c r="A1867" t="s">
        <v>5</v>
      </c>
      <c r="B1867" t="str">
        <f>"41286"</f>
        <v>41286</v>
      </c>
      <c r="C1867" t="str">
        <f>"010"</f>
        <v>010</v>
      </c>
      <c r="D1867">
        <v>2018</v>
      </c>
      <c r="E1867" s="1">
        <v>19901600</v>
      </c>
      <c r="F1867" s="1">
        <v>18244100</v>
      </c>
      <c r="G1867" s="1" t="s">
        <v>11</v>
      </c>
      <c r="H1867" s="1" t="s">
        <v>38</v>
      </c>
      <c r="I1867" t="s">
        <v>13</v>
      </c>
      <c r="J1867" t="s">
        <v>13</v>
      </c>
    </row>
    <row r="1868" spans="1:11" x14ac:dyDescent="0.35">
      <c r="A1868" t="s">
        <v>39</v>
      </c>
      <c r="B1868" t="s">
        <v>13</v>
      </c>
      <c r="C1868" t="s">
        <v>7</v>
      </c>
      <c r="D1868" t="s">
        <v>8</v>
      </c>
      <c r="E1868" s="1">
        <v>131222200</v>
      </c>
      <c r="F1868" s="1">
        <v>44374900</v>
      </c>
      <c r="G1868" s="1" t="s">
        <v>11</v>
      </c>
      <c r="H1868" s="1">
        <v>803571600</v>
      </c>
      <c r="I1868" t="s">
        <v>13</v>
      </c>
      <c r="J1868" t="s">
        <v>13</v>
      </c>
      <c r="K1868">
        <v>5.52</v>
      </c>
    </row>
    <row r="1869" spans="1:11" x14ac:dyDescent="0.35">
      <c r="E1869" s="1"/>
      <c r="F1869" s="1"/>
      <c r="G1869" s="1"/>
      <c r="H1869" s="1"/>
    </row>
    <row r="1870" spans="1:11" x14ac:dyDescent="0.35">
      <c r="A1870" t="s">
        <v>396</v>
      </c>
      <c r="B1870" t="str">
        <f>"35286"</f>
        <v>35286</v>
      </c>
      <c r="C1870" t="str">
        <f>"001"</f>
        <v>001</v>
      </c>
      <c r="D1870">
        <v>1995</v>
      </c>
      <c r="E1870" s="1">
        <v>6264800</v>
      </c>
      <c r="F1870" s="1">
        <v>5492400</v>
      </c>
      <c r="G1870" s="1" t="s">
        <v>11</v>
      </c>
      <c r="H1870" s="1" t="s">
        <v>38</v>
      </c>
      <c r="I1870" t="s">
        <v>13</v>
      </c>
      <c r="J1870" t="s">
        <v>13</v>
      </c>
    </row>
    <row r="1871" spans="1:11" x14ac:dyDescent="0.35">
      <c r="A1871" t="s">
        <v>5</v>
      </c>
      <c r="B1871" t="str">
        <f>"35286"</f>
        <v>35286</v>
      </c>
      <c r="C1871" t="str">
        <f>"002"</f>
        <v>002</v>
      </c>
      <c r="D1871">
        <v>1997</v>
      </c>
      <c r="E1871" s="1">
        <v>19579900</v>
      </c>
      <c r="F1871" s="1">
        <v>11294000</v>
      </c>
      <c r="G1871" s="1" t="s">
        <v>11</v>
      </c>
      <c r="H1871" s="1" t="s">
        <v>38</v>
      </c>
      <c r="I1871" t="s">
        <v>13</v>
      </c>
      <c r="J1871" t="s">
        <v>13</v>
      </c>
    </row>
    <row r="1872" spans="1:11" x14ac:dyDescent="0.35">
      <c r="A1872" t="s">
        <v>5</v>
      </c>
      <c r="B1872" t="str">
        <f>"35286"</f>
        <v>35286</v>
      </c>
      <c r="C1872" t="str">
        <f>"003"</f>
        <v>003</v>
      </c>
      <c r="D1872">
        <v>2008</v>
      </c>
      <c r="E1872" s="1">
        <v>2542800</v>
      </c>
      <c r="F1872" s="1">
        <v>2364600</v>
      </c>
      <c r="G1872" s="1" t="s">
        <v>11</v>
      </c>
      <c r="H1872" s="1" t="s">
        <v>38</v>
      </c>
      <c r="I1872" t="s">
        <v>13</v>
      </c>
      <c r="J1872" t="s">
        <v>13</v>
      </c>
    </row>
    <row r="1873" spans="1:11" x14ac:dyDescent="0.35">
      <c r="A1873" t="s">
        <v>5</v>
      </c>
      <c r="B1873" t="str">
        <f>"35286"</f>
        <v>35286</v>
      </c>
      <c r="C1873" t="str">
        <f>"004"</f>
        <v>004</v>
      </c>
      <c r="D1873">
        <v>2013</v>
      </c>
      <c r="E1873" s="1">
        <v>5564000</v>
      </c>
      <c r="F1873" s="1">
        <v>3511800</v>
      </c>
      <c r="G1873" s="1" t="s">
        <v>11</v>
      </c>
      <c r="H1873" s="1" t="s">
        <v>38</v>
      </c>
      <c r="I1873" t="s">
        <v>13</v>
      </c>
      <c r="J1873" t="s">
        <v>13</v>
      </c>
    </row>
    <row r="1874" spans="1:11" x14ac:dyDescent="0.35">
      <c r="A1874" t="s">
        <v>5</v>
      </c>
      <c r="B1874" t="str">
        <f>"35286"</f>
        <v>35286</v>
      </c>
      <c r="C1874" t="str">
        <f>"005"</f>
        <v>005</v>
      </c>
      <c r="D1874">
        <v>2015</v>
      </c>
      <c r="E1874" s="1">
        <v>632700</v>
      </c>
      <c r="F1874" s="1">
        <v>22500</v>
      </c>
      <c r="G1874" s="1" t="s">
        <v>11</v>
      </c>
      <c r="H1874" s="1" t="s">
        <v>38</v>
      </c>
      <c r="I1874" t="s">
        <v>13</v>
      </c>
      <c r="J1874" t="s">
        <v>13</v>
      </c>
    </row>
    <row r="1875" spans="1:11" x14ac:dyDescent="0.35">
      <c r="A1875" t="s">
        <v>39</v>
      </c>
      <c r="B1875" t="s">
        <v>13</v>
      </c>
      <c r="C1875" t="s">
        <v>7</v>
      </c>
      <c r="D1875" t="s">
        <v>8</v>
      </c>
      <c r="E1875" s="1">
        <v>34584200</v>
      </c>
      <c r="F1875" s="1">
        <v>22685300</v>
      </c>
      <c r="G1875" s="1" t="s">
        <v>11</v>
      </c>
      <c r="H1875" s="1">
        <v>265744500</v>
      </c>
      <c r="I1875" t="s">
        <v>13</v>
      </c>
      <c r="J1875" t="s">
        <v>13</v>
      </c>
      <c r="K1875">
        <v>8.5399999999999991</v>
      </c>
    </row>
    <row r="1876" spans="1:11" x14ac:dyDescent="0.35">
      <c r="E1876" s="1"/>
      <c r="F1876" s="1"/>
      <c r="G1876" s="1"/>
      <c r="H1876" s="1"/>
    </row>
    <row r="1877" spans="1:11" x14ac:dyDescent="0.35">
      <c r="A1877" t="s">
        <v>397</v>
      </c>
      <c r="B1877" t="str">
        <f>"61186"</f>
        <v>61186</v>
      </c>
      <c r="C1877" t="str">
        <f>"001"</f>
        <v>001</v>
      </c>
      <c r="D1877">
        <v>1997</v>
      </c>
      <c r="E1877" s="1">
        <v>5338300</v>
      </c>
      <c r="F1877" s="1">
        <v>3334900</v>
      </c>
      <c r="G1877" s="1" t="s">
        <v>11</v>
      </c>
      <c r="H1877" s="1" t="s">
        <v>38</v>
      </c>
      <c r="I1877" t="s">
        <v>13</v>
      </c>
      <c r="J1877" t="s">
        <v>13</v>
      </c>
    </row>
    <row r="1878" spans="1:11" x14ac:dyDescent="0.35">
      <c r="A1878" t="s">
        <v>39</v>
      </c>
      <c r="B1878" t="s">
        <v>13</v>
      </c>
      <c r="C1878" t="s">
        <v>7</v>
      </c>
      <c r="D1878" t="s">
        <v>8</v>
      </c>
      <c r="E1878" s="1">
        <v>5338300</v>
      </c>
      <c r="F1878" s="1">
        <v>3334900</v>
      </c>
      <c r="G1878" s="1" t="s">
        <v>11</v>
      </c>
      <c r="H1878" s="1">
        <v>154180600</v>
      </c>
      <c r="I1878" t="s">
        <v>13</v>
      </c>
      <c r="J1878" t="s">
        <v>13</v>
      </c>
      <c r="K1878">
        <v>2.16</v>
      </c>
    </row>
    <row r="1879" spans="1:11" x14ac:dyDescent="0.35">
      <c r="E1879" s="1"/>
      <c r="F1879" s="1"/>
      <c r="G1879" s="1"/>
      <c r="H1879" s="1"/>
    </row>
    <row r="1880" spans="1:11" x14ac:dyDescent="0.35">
      <c r="A1880" t="s">
        <v>398</v>
      </c>
      <c r="B1880" t="str">
        <f>"03186"</f>
        <v>03186</v>
      </c>
      <c r="C1880" t="str">
        <f>"003"</f>
        <v>003</v>
      </c>
      <c r="D1880">
        <v>2009</v>
      </c>
      <c r="E1880" s="1">
        <v>137100</v>
      </c>
      <c r="F1880" s="1">
        <v>34400</v>
      </c>
      <c r="G1880" s="1" t="s">
        <v>11</v>
      </c>
      <c r="H1880" s="1" t="s">
        <v>38</v>
      </c>
      <c r="I1880" t="s">
        <v>13</v>
      </c>
      <c r="J1880" t="s">
        <v>13</v>
      </c>
    </row>
    <row r="1881" spans="1:11" x14ac:dyDescent="0.35">
      <c r="A1881" t="s">
        <v>5</v>
      </c>
      <c r="B1881" t="str">
        <f>"48168"</f>
        <v>48168</v>
      </c>
      <c r="C1881" t="str">
        <f>"003"</f>
        <v>003</v>
      </c>
      <c r="D1881">
        <v>2009</v>
      </c>
      <c r="E1881" s="1">
        <v>11916700</v>
      </c>
      <c r="F1881" s="1">
        <v>7694200</v>
      </c>
      <c r="G1881" s="1" t="s">
        <v>11</v>
      </c>
      <c r="H1881" s="1" t="s">
        <v>38</v>
      </c>
      <c r="I1881" t="s">
        <v>13</v>
      </c>
      <c r="J1881" t="s">
        <v>13</v>
      </c>
    </row>
    <row r="1882" spans="1:11" x14ac:dyDescent="0.35">
      <c r="A1882" t="s">
        <v>39</v>
      </c>
      <c r="B1882" t="s">
        <v>13</v>
      </c>
      <c r="C1882" t="s">
        <v>7</v>
      </c>
      <c r="D1882" t="s">
        <v>8</v>
      </c>
      <c r="E1882" s="1">
        <v>12053800</v>
      </c>
      <c r="F1882" s="1">
        <v>7728600</v>
      </c>
      <c r="G1882" s="1" t="s">
        <v>11</v>
      </c>
      <c r="H1882" s="1">
        <v>96375500</v>
      </c>
      <c r="I1882" t="s">
        <v>13</v>
      </c>
      <c r="J1882" t="s">
        <v>13</v>
      </c>
      <c r="K1882">
        <v>8.02</v>
      </c>
    </row>
    <row r="1883" spans="1:11" x14ac:dyDescent="0.35">
      <c r="E1883" s="1"/>
      <c r="F1883" s="1"/>
      <c r="G1883" s="1"/>
      <c r="H1883" s="1"/>
    </row>
    <row r="1884" spans="1:11" x14ac:dyDescent="0.35">
      <c r="A1884" t="s">
        <v>399</v>
      </c>
      <c r="B1884" t="str">
        <f>"30186"</f>
        <v>30186</v>
      </c>
      <c r="C1884" t="str">
        <f>"001"</f>
        <v>001</v>
      </c>
      <c r="D1884">
        <v>2007</v>
      </c>
      <c r="E1884" s="1">
        <v>51311600</v>
      </c>
      <c r="F1884" s="1">
        <v>7267200</v>
      </c>
      <c r="G1884" s="1" t="s">
        <v>11</v>
      </c>
      <c r="H1884" s="1" t="s">
        <v>38</v>
      </c>
      <c r="I1884" t="s">
        <v>13</v>
      </c>
      <c r="J1884" t="s">
        <v>13</v>
      </c>
    </row>
    <row r="1885" spans="1:11" x14ac:dyDescent="0.35">
      <c r="A1885" t="s">
        <v>39</v>
      </c>
      <c r="B1885" t="s">
        <v>13</v>
      </c>
      <c r="C1885" t="s">
        <v>7</v>
      </c>
      <c r="D1885" t="s">
        <v>8</v>
      </c>
      <c r="E1885" s="1">
        <v>51311600</v>
      </c>
      <c r="F1885" s="1">
        <v>7267200</v>
      </c>
      <c r="G1885" s="1" t="s">
        <v>11</v>
      </c>
      <c r="H1885" s="1">
        <v>1037350200</v>
      </c>
      <c r="I1885" t="s">
        <v>13</v>
      </c>
      <c r="J1885" t="s">
        <v>13</v>
      </c>
      <c r="K1885">
        <v>0.7</v>
      </c>
    </row>
    <row r="1886" spans="1:11" x14ac:dyDescent="0.35">
      <c r="E1886" s="1"/>
      <c r="F1886" s="1"/>
      <c r="G1886" s="1"/>
      <c r="H1886" s="1"/>
    </row>
    <row r="1887" spans="1:11" x14ac:dyDescent="0.35">
      <c r="A1887" t="s">
        <v>400</v>
      </c>
      <c r="B1887" t="str">
        <f t="shared" ref="B1887:B1895" si="40">"36286"</f>
        <v>36286</v>
      </c>
      <c r="C1887" t="str">
        <f>"004"</f>
        <v>004</v>
      </c>
      <c r="D1887">
        <v>1994</v>
      </c>
      <c r="E1887" s="1">
        <v>3273300</v>
      </c>
      <c r="F1887" s="1">
        <v>2126400</v>
      </c>
      <c r="G1887" s="1" t="s">
        <v>11</v>
      </c>
      <c r="H1887" s="1" t="s">
        <v>38</v>
      </c>
      <c r="I1887" t="s">
        <v>13</v>
      </c>
      <c r="J1887" t="s">
        <v>13</v>
      </c>
    </row>
    <row r="1888" spans="1:11" x14ac:dyDescent="0.35">
      <c r="A1888" t="s">
        <v>5</v>
      </c>
      <c r="B1888" t="str">
        <f t="shared" si="40"/>
        <v>36286</v>
      </c>
      <c r="C1888" t="str">
        <f>"006"</f>
        <v>006</v>
      </c>
      <c r="D1888">
        <v>2000</v>
      </c>
      <c r="E1888" s="1">
        <v>980800</v>
      </c>
      <c r="F1888" s="1">
        <v>980800</v>
      </c>
      <c r="G1888" s="1" t="s">
        <v>11</v>
      </c>
      <c r="H1888" s="1" t="s">
        <v>38</v>
      </c>
      <c r="I1888" t="s">
        <v>13</v>
      </c>
      <c r="J1888" t="s">
        <v>13</v>
      </c>
    </row>
    <row r="1889" spans="1:11" x14ac:dyDescent="0.35">
      <c r="A1889" t="s">
        <v>5</v>
      </c>
      <c r="B1889" t="str">
        <f t="shared" si="40"/>
        <v>36286</v>
      </c>
      <c r="C1889" t="str">
        <f>"007"</f>
        <v>007</v>
      </c>
      <c r="D1889">
        <v>2001</v>
      </c>
      <c r="E1889" s="1">
        <v>4415600</v>
      </c>
      <c r="F1889" s="1">
        <v>4415600</v>
      </c>
      <c r="G1889" s="1" t="s">
        <v>11</v>
      </c>
      <c r="H1889" s="1" t="s">
        <v>38</v>
      </c>
      <c r="I1889" t="s">
        <v>13</v>
      </c>
      <c r="J1889" t="s">
        <v>13</v>
      </c>
    </row>
    <row r="1890" spans="1:11" x14ac:dyDescent="0.35">
      <c r="A1890" t="s">
        <v>5</v>
      </c>
      <c r="B1890" t="str">
        <f t="shared" si="40"/>
        <v>36286</v>
      </c>
      <c r="C1890" t="str">
        <f>"008"</f>
        <v>008</v>
      </c>
      <c r="D1890">
        <v>2002</v>
      </c>
      <c r="E1890" s="1">
        <v>8132000</v>
      </c>
      <c r="F1890" s="1">
        <v>8132000</v>
      </c>
      <c r="G1890" s="1" t="s">
        <v>11</v>
      </c>
      <c r="H1890" s="1" t="s">
        <v>38</v>
      </c>
      <c r="I1890" t="s">
        <v>13</v>
      </c>
      <c r="J1890" t="s">
        <v>13</v>
      </c>
    </row>
    <row r="1891" spans="1:11" x14ac:dyDescent="0.35">
      <c r="A1891" t="s">
        <v>5</v>
      </c>
      <c r="B1891" t="str">
        <f t="shared" si="40"/>
        <v>36286</v>
      </c>
      <c r="C1891" t="str">
        <f>"009"</f>
        <v>009</v>
      </c>
      <c r="D1891">
        <v>2003</v>
      </c>
      <c r="E1891" s="1">
        <v>9455200</v>
      </c>
      <c r="F1891" s="1">
        <v>9444400</v>
      </c>
      <c r="G1891" s="1" t="s">
        <v>11</v>
      </c>
      <c r="H1891" s="1" t="s">
        <v>38</v>
      </c>
      <c r="I1891" t="s">
        <v>13</v>
      </c>
      <c r="J1891" t="s">
        <v>13</v>
      </c>
    </row>
    <row r="1892" spans="1:11" x14ac:dyDescent="0.35">
      <c r="A1892" t="s">
        <v>5</v>
      </c>
      <c r="B1892" t="str">
        <f t="shared" si="40"/>
        <v>36286</v>
      </c>
      <c r="C1892" t="str">
        <f>"010"</f>
        <v>010</v>
      </c>
      <c r="D1892">
        <v>2014</v>
      </c>
      <c r="E1892" s="1">
        <v>2297800</v>
      </c>
      <c r="F1892" s="1">
        <v>227100</v>
      </c>
      <c r="G1892" s="1" t="s">
        <v>11</v>
      </c>
      <c r="H1892" s="1" t="s">
        <v>38</v>
      </c>
      <c r="I1892" t="s">
        <v>13</v>
      </c>
      <c r="J1892" t="s">
        <v>13</v>
      </c>
    </row>
    <row r="1893" spans="1:11" x14ac:dyDescent="0.35">
      <c r="A1893" t="s">
        <v>5</v>
      </c>
      <c r="B1893" t="str">
        <f t="shared" si="40"/>
        <v>36286</v>
      </c>
      <c r="C1893" t="str">
        <f>"011"</f>
        <v>011</v>
      </c>
      <c r="D1893">
        <v>2016</v>
      </c>
      <c r="E1893" s="1">
        <v>2010100</v>
      </c>
      <c r="F1893" s="1">
        <v>1149700</v>
      </c>
      <c r="G1893" s="1" t="s">
        <v>11</v>
      </c>
      <c r="H1893" s="1" t="s">
        <v>38</v>
      </c>
      <c r="I1893" t="s">
        <v>13</v>
      </c>
      <c r="J1893" t="s">
        <v>13</v>
      </c>
    </row>
    <row r="1894" spans="1:11" x14ac:dyDescent="0.35">
      <c r="A1894" t="s">
        <v>5</v>
      </c>
      <c r="B1894" t="str">
        <f t="shared" si="40"/>
        <v>36286</v>
      </c>
      <c r="C1894" t="str">
        <f>"012"</f>
        <v>012</v>
      </c>
      <c r="D1894">
        <v>2018</v>
      </c>
      <c r="E1894" s="1">
        <v>4696100</v>
      </c>
      <c r="F1894" s="1">
        <v>4315200</v>
      </c>
      <c r="G1894" s="1" t="s">
        <v>11</v>
      </c>
      <c r="H1894" s="1" t="s">
        <v>38</v>
      </c>
      <c r="I1894" t="s">
        <v>13</v>
      </c>
      <c r="J1894" t="s">
        <v>13</v>
      </c>
    </row>
    <row r="1895" spans="1:11" x14ac:dyDescent="0.35">
      <c r="A1895" t="s">
        <v>5</v>
      </c>
      <c r="B1895" t="str">
        <f t="shared" si="40"/>
        <v>36286</v>
      </c>
      <c r="C1895" t="str">
        <f>"013"</f>
        <v>013</v>
      </c>
      <c r="D1895">
        <v>2020</v>
      </c>
      <c r="E1895" s="1">
        <v>6035100</v>
      </c>
      <c r="F1895" s="1">
        <v>375000</v>
      </c>
      <c r="G1895" s="1" t="s">
        <v>11</v>
      </c>
      <c r="H1895" s="1" t="s">
        <v>38</v>
      </c>
      <c r="I1895" t="s">
        <v>13</v>
      </c>
      <c r="J1895" t="s">
        <v>13</v>
      </c>
    </row>
    <row r="1896" spans="1:11" x14ac:dyDescent="0.35">
      <c r="A1896" t="s">
        <v>39</v>
      </c>
      <c r="B1896" t="s">
        <v>13</v>
      </c>
      <c r="C1896" t="s">
        <v>7</v>
      </c>
      <c r="D1896" t="s">
        <v>8</v>
      </c>
      <c r="E1896" s="1">
        <v>41296000</v>
      </c>
      <c r="F1896" s="1">
        <v>31166200</v>
      </c>
      <c r="G1896" s="1" t="s">
        <v>11</v>
      </c>
      <c r="H1896" s="1">
        <v>588817200</v>
      </c>
      <c r="I1896" t="s">
        <v>13</v>
      </c>
      <c r="J1896" t="s">
        <v>13</v>
      </c>
      <c r="K1896">
        <v>5.29</v>
      </c>
    </row>
    <row r="1897" spans="1:11" x14ac:dyDescent="0.35">
      <c r="E1897" s="1"/>
      <c r="F1897" s="1"/>
      <c r="G1897" s="1"/>
      <c r="H1897" s="1"/>
    </row>
    <row r="1898" spans="1:11" x14ac:dyDescent="0.35">
      <c r="A1898" t="s">
        <v>401</v>
      </c>
      <c r="B1898" t="str">
        <f>"51186"</f>
        <v>51186</v>
      </c>
      <c r="C1898" t="str">
        <f>"004"</f>
        <v>004</v>
      </c>
      <c r="D1898">
        <v>2006</v>
      </c>
      <c r="E1898" s="1">
        <v>40885700</v>
      </c>
      <c r="F1898" s="1">
        <v>8953000</v>
      </c>
      <c r="G1898" s="1" t="s">
        <v>11</v>
      </c>
      <c r="H1898" s="1" t="s">
        <v>38</v>
      </c>
      <c r="I1898" t="s">
        <v>13</v>
      </c>
      <c r="J1898" t="s">
        <v>13</v>
      </c>
    </row>
    <row r="1899" spans="1:11" x14ac:dyDescent="0.35">
      <c r="A1899" t="s">
        <v>5</v>
      </c>
      <c r="B1899" t="str">
        <f>"51186"</f>
        <v>51186</v>
      </c>
      <c r="C1899" t="str">
        <f>"005"</f>
        <v>005</v>
      </c>
      <c r="D1899">
        <v>2016</v>
      </c>
      <c r="E1899" s="1">
        <v>10819600</v>
      </c>
      <c r="F1899" s="1">
        <v>10354900</v>
      </c>
      <c r="G1899" s="1" t="s">
        <v>11</v>
      </c>
      <c r="H1899" s="1" t="s">
        <v>38</v>
      </c>
      <c r="I1899" t="s">
        <v>13</v>
      </c>
      <c r="J1899" t="s">
        <v>13</v>
      </c>
    </row>
    <row r="1900" spans="1:11" x14ac:dyDescent="0.35">
      <c r="A1900" t="s">
        <v>5</v>
      </c>
      <c r="B1900" t="str">
        <f>"51186"</f>
        <v>51186</v>
      </c>
      <c r="C1900" t="str">
        <f>"006"</f>
        <v>006</v>
      </c>
      <c r="D1900">
        <v>2019</v>
      </c>
      <c r="E1900" s="1">
        <v>27924800</v>
      </c>
      <c r="F1900" s="1">
        <v>13989400</v>
      </c>
      <c r="G1900" s="1" t="s">
        <v>11</v>
      </c>
      <c r="H1900" s="1" t="s">
        <v>38</v>
      </c>
      <c r="I1900" t="s">
        <v>13</v>
      </c>
      <c r="J1900" t="s">
        <v>13</v>
      </c>
    </row>
    <row r="1901" spans="1:11" x14ac:dyDescent="0.35">
      <c r="A1901" t="s">
        <v>39</v>
      </c>
      <c r="B1901" t="s">
        <v>13</v>
      </c>
      <c r="C1901" t="s">
        <v>7</v>
      </c>
      <c r="D1901" t="s">
        <v>8</v>
      </c>
      <c r="E1901" s="1">
        <v>79630100</v>
      </c>
      <c r="F1901" s="1">
        <v>33297300</v>
      </c>
      <c r="G1901" s="1" t="s">
        <v>11</v>
      </c>
      <c r="H1901" s="1">
        <v>429728000</v>
      </c>
      <c r="I1901" t="s">
        <v>13</v>
      </c>
      <c r="J1901" t="s">
        <v>13</v>
      </c>
      <c r="K1901">
        <v>7.75</v>
      </c>
    </row>
    <row r="1902" spans="1:11" x14ac:dyDescent="0.35">
      <c r="E1902" s="1"/>
      <c r="F1902" s="1"/>
      <c r="G1902" s="1"/>
      <c r="H1902" s="1"/>
    </row>
    <row r="1903" spans="1:11" x14ac:dyDescent="0.35">
      <c r="A1903" t="s">
        <v>402</v>
      </c>
      <c r="B1903" t="str">
        <f>"10186"</f>
        <v>10186</v>
      </c>
      <c r="C1903" t="str">
        <f>"001"</f>
        <v>001</v>
      </c>
      <c r="D1903">
        <v>1998</v>
      </c>
      <c r="E1903" s="1">
        <v>1047200</v>
      </c>
      <c r="F1903" s="1">
        <v>927700</v>
      </c>
      <c r="G1903" s="1" t="s">
        <v>11</v>
      </c>
      <c r="H1903" s="1" t="s">
        <v>38</v>
      </c>
      <c r="I1903" t="s">
        <v>13</v>
      </c>
      <c r="J1903" t="s">
        <v>13</v>
      </c>
    </row>
    <row r="1904" spans="1:11" x14ac:dyDescent="0.35">
      <c r="A1904" t="s">
        <v>5</v>
      </c>
      <c r="B1904" t="str">
        <f>"37186"</f>
        <v>37186</v>
      </c>
      <c r="C1904" t="str">
        <f>"001"</f>
        <v>001</v>
      </c>
      <c r="D1904">
        <v>1998</v>
      </c>
      <c r="E1904" s="1">
        <v>294500</v>
      </c>
      <c r="F1904" s="1">
        <v>98500</v>
      </c>
      <c r="G1904" s="1" t="s">
        <v>11</v>
      </c>
      <c r="H1904" s="1" t="s">
        <v>38</v>
      </c>
      <c r="I1904" t="s">
        <v>13</v>
      </c>
      <c r="J1904" t="s">
        <v>13</v>
      </c>
    </row>
    <row r="1905" spans="1:11" x14ac:dyDescent="0.35">
      <c r="A1905" t="s">
        <v>39</v>
      </c>
      <c r="B1905" t="s">
        <v>13</v>
      </c>
      <c r="C1905" t="s">
        <v>7</v>
      </c>
      <c r="D1905" t="s">
        <v>8</v>
      </c>
      <c r="E1905" s="1">
        <v>1341700</v>
      </c>
      <c r="F1905" s="1">
        <v>1026200</v>
      </c>
      <c r="G1905" s="1" t="s">
        <v>11</v>
      </c>
      <c r="H1905" s="1">
        <v>15505800</v>
      </c>
      <c r="I1905" t="s">
        <v>13</v>
      </c>
      <c r="J1905" t="s">
        <v>13</v>
      </c>
      <c r="K1905">
        <v>6.62</v>
      </c>
    </row>
    <row r="1906" spans="1:11" x14ac:dyDescent="0.35">
      <c r="E1906" s="1"/>
      <c r="F1906" s="1"/>
      <c r="G1906" s="1"/>
      <c r="H1906" s="1"/>
    </row>
    <row r="1907" spans="1:11" x14ac:dyDescent="0.35">
      <c r="A1907" t="s">
        <v>403</v>
      </c>
      <c r="B1907" t="str">
        <f>"36186"</f>
        <v>36186</v>
      </c>
      <c r="C1907" t="str">
        <f>"002"</f>
        <v>002</v>
      </c>
      <c r="D1907">
        <v>2017</v>
      </c>
      <c r="E1907" s="1">
        <v>4852400</v>
      </c>
      <c r="F1907" s="1">
        <v>1522200</v>
      </c>
      <c r="G1907" s="1" t="s">
        <v>11</v>
      </c>
      <c r="H1907" s="1" t="s">
        <v>38</v>
      </c>
      <c r="I1907" t="s">
        <v>13</v>
      </c>
      <c r="J1907" t="s">
        <v>13</v>
      </c>
    </row>
    <row r="1908" spans="1:11" x14ac:dyDescent="0.35">
      <c r="A1908" t="s">
        <v>39</v>
      </c>
      <c r="B1908" t="s">
        <v>13</v>
      </c>
      <c r="C1908" t="s">
        <v>7</v>
      </c>
      <c r="D1908" t="s">
        <v>8</v>
      </c>
      <c r="E1908" s="1">
        <v>4852400</v>
      </c>
      <c r="F1908" s="1">
        <v>1522200</v>
      </c>
      <c r="G1908" s="1" t="s">
        <v>11</v>
      </c>
      <c r="H1908" s="1">
        <v>63846700</v>
      </c>
      <c r="I1908" t="s">
        <v>13</v>
      </c>
      <c r="J1908" t="s">
        <v>13</v>
      </c>
      <c r="K1908">
        <v>2.38</v>
      </c>
    </row>
    <row r="1909" spans="1:11" x14ac:dyDescent="0.35">
      <c r="E1909" s="1"/>
      <c r="F1909" s="1"/>
      <c r="G1909" s="1"/>
      <c r="H1909" s="1"/>
    </row>
    <row r="1910" spans="1:11" x14ac:dyDescent="0.35">
      <c r="A1910" t="s">
        <v>404</v>
      </c>
      <c r="B1910" t="str">
        <f>"67186"</f>
        <v>67186</v>
      </c>
      <c r="C1910" t="str">
        <f>"001"</f>
        <v>001</v>
      </c>
      <c r="D1910">
        <v>2020</v>
      </c>
      <c r="E1910" s="1">
        <v>0</v>
      </c>
      <c r="F1910" s="1">
        <v>0</v>
      </c>
      <c r="G1910" s="1" t="s">
        <v>11</v>
      </c>
      <c r="H1910" s="1" t="s">
        <v>38</v>
      </c>
      <c r="I1910" t="s">
        <v>13</v>
      </c>
      <c r="J1910" t="s">
        <v>13</v>
      </c>
    </row>
    <row r="1911" spans="1:11" x14ac:dyDescent="0.35">
      <c r="A1911" t="s">
        <v>39</v>
      </c>
      <c r="B1911" t="s">
        <v>13</v>
      </c>
      <c r="C1911" t="s">
        <v>7</v>
      </c>
      <c r="D1911" t="s">
        <v>8</v>
      </c>
      <c r="E1911" s="1">
        <v>0</v>
      </c>
      <c r="F1911" s="1">
        <v>0</v>
      </c>
      <c r="G1911" s="1" t="s">
        <v>11</v>
      </c>
      <c r="H1911" s="1">
        <v>1104662300</v>
      </c>
      <c r="I1911" t="s">
        <v>13</v>
      </c>
      <c r="J1911" t="s">
        <v>13</v>
      </c>
      <c r="K1911">
        <v>0</v>
      </c>
    </row>
    <row r="1912" spans="1:11" x14ac:dyDescent="0.35">
      <c r="E1912" s="1"/>
      <c r="F1912" s="1"/>
      <c r="G1912" s="1"/>
      <c r="H1912" s="1"/>
    </row>
    <row r="1913" spans="1:11" x14ac:dyDescent="0.35">
      <c r="A1913" t="s">
        <v>405</v>
      </c>
      <c r="B1913" t="str">
        <f>"13286"</f>
        <v>13286</v>
      </c>
      <c r="C1913" t="str">
        <f>"004"</f>
        <v>004</v>
      </c>
      <c r="D1913">
        <v>1996</v>
      </c>
      <c r="E1913" s="1">
        <v>49636500</v>
      </c>
      <c r="F1913" s="1">
        <v>40794100</v>
      </c>
      <c r="G1913" s="1" t="s">
        <v>11</v>
      </c>
      <c r="H1913" s="1" t="s">
        <v>38</v>
      </c>
      <c r="I1913" t="s">
        <v>13</v>
      </c>
      <c r="J1913" t="s">
        <v>13</v>
      </c>
    </row>
    <row r="1914" spans="1:11" x14ac:dyDescent="0.35">
      <c r="A1914" t="s">
        <v>5</v>
      </c>
      <c r="B1914" t="str">
        <f>"13286"</f>
        <v>13286</v>
      </c>
      <c r="C1914" t="str">
        <f>"006"</f>
        <v>006</v>
      </c>
      <c r="D1914">
        <v>2000</v>
      </c>
      <c r="E1914" s="1">
        <v>93730900</v>
      </c>
      <c r="F1914" s="1">
        <v>93255700</v>
      </c>
      <c r="G1914" s="1" t="s">
        <v>11</v>
      </c>
      <c r="H1914" s="1" t="s">
        <v>38</v>
      </c>
      <c r="I1914" t="s">
        <v>13</v>
      </c>
      <c r="J1914" t="s">
        <v>13</v>
      </c>
    </row>
    <row r="1915" spans="1:11" x14ac:dyDescent="0.35">
      <c r="A1915" t="s">
        <v>5</v>
      </c>
      <c r="B1915" t="str">
        <f>"13286"</f>
        <v>13286</v>
      </c>
      <c r="C1915" t="str">
        <f>"008"</f>
        <v>008</v>
      </c>
      <c r="D1915">
        <v>2017</v>
      </c>
      <c r="E1915" s="1">
        <v>30198200</v>
      </c>
      <c r="F1915" s="1">
        <v>1033500</v>
      </c>
      <c r="G1915" s="1" t="s">
        <v>11</v>
      </c>
      <c r="H1915" s="1" t="s">
        <v>38</v>
      </c>
      <c r="I1915" t="s">
        <v>13</v>
      </c>
      <c r="J1915" t="s">
        <v>13</v>
      </c>
    </row>
    <row r="1916" spans="1:11" x14ac:dyDescent="0.35">
      <c r="A1916" t="s">
        <v>5</v>
      </c>
      <c r="B1916" t="str">
        <f>"13286"</f>
        <v>13286</v>
      </c>
      <c r="C1916" t="str">
        <f>"009"</f>
        <v>009</v>
      </c>
      <c r="D1916">
        <v>2017</v>
      </c>
      <c r="E1916" s="1">
        <v>6583400</v>
      </c>
      <c r="F1916" s="1">
        <v>964300</v>
      </c>
      <c r="G1916" s="1" t="s">
        <v>11</v>
      </c>
      <c r="H1916" s="1" t="s">
        <v>38</v>
      </c>
      <c r="I1916" t="s">
        <v>13</v>
      </c>
      <c r="J1916" t="s">
        <v>13</v>
      </c>
    </row>
    <row r="1917" spans="1:11" x14ac:dyDescent="0.35">
      <c r="A1917" t="s">
        <v>5</v>
      </c>
      <c r="B1917" t="str">
        <f>"13286"</f>
        <v>13286</v>
      </c>
      <c r="C1917" t="str">
        <f>"010"</f>
        <v>010</v>
      </c>
      <c r="D1917">
        <v>2020</v>
      </c>
      <c r="E1917" s="1">
        <v>8237300</v>
      </c>
      <c r="F1917" s="1">
        <v>6442000</v>
      </c>
      <c r="G1917" s="1" t="s">
        <v>11</v>
      </c>
      <c r="H1917" s="1" t="s">
        <v>38</v>
      </c>
      <c r="I1917" t="s">
        <v>13</v>
      </c>
      <c r="J1917" t="s">
        <v>13</v>
      </c>
    </row>
    <row r="1918" spans="1:11" x14ac:dyDescent="0.35">
      <c r="A1918" t="s">
        <v>39</v>
      </c>
      <c r="B1918" t="s">
        <v>13</v>
      </c>
      <c r="C1918" t="s">
        <v>7</v>
      </c>
      <c r="D1918" t="s">
        <v>8</v>
      </c>
      <c r="E1918" s="1">
        <v>188386300</v>
      </c>
      <c r="F1918" s="1">
        <v>142489600</v>
      </c>
      <c r="G1918" s="1" t="s">
        <v>11</v>
      </c>
      <c r="H1918" s="1">
        <v>3199968100</v>
      </c>
      <c r="I1918" t="s">
        <v>13</v>
      </c>
      <c r="J1918" t="s">
        <v>13</v>
      </c>
      <c r="K1918">
        <v>4.45</v>
      </c>
    </row>
    <row r="1919" spans="1:11" x14ac:dyDescent="0.35">
      <c r="E1919" s="1"/>
      <c r="F1919" s="1"/>
      <c r="G1919" s="1"/>
      <c r="H1919" s="1"/>
    </row>
    <row r="1920" spans="1:11" x14ac:dyDescent="0.35">
      <c r="A1920" t="s">
        <v>406</v>
      </c>
      <c r="B1920" t="str">
        <f>"71186"</f>
        <v>71186</v>
      </c>
      <c r="C1920" t="str">
        <f>"001"</f>
        <v>001</v>
      </c>
      <c r="D1920">
        <v>2006</v>
      </c>
      <c r="E1920" s="1">
        <v>4126400</v>
      </c>
      <c r="F1920" s="1">
        <v>1489100</v>
      </c>
      <c r="G1920" s="1" t="s">
        <v>11</v>
      </c>
      <c r="H1920" s="1" t="s">
        <v>38</v>
      </c>
      <c r="I1920" t="s">
        <v>13</v>
      </c>
      <c r="J1920" t="s">
        <v>13</v>
      </c>
    </row>
    <row r="1921" spans="1:11" x14ac:dyDescent="0.35">
      <c r="A1921" t="s">
        <v>39</v>
      </c>
      <c r="B1921" t="s">
        <v>13</v>
      </c>
      <c r="C1921" t="s">
        <v>7</v>
      </c>
      <c r="D1921" t="s">
        <v>8</v>
      </c>
      <c r="E1921" s="1">
        <v>4126400</v>
      </c>
      <c r="F1921" s="1">
        <v>1489100</v>
      </c>
      <c r="G1921" s="1" t="s">
        <v>11</v>
      </c>
      <c r="H1921" s="1">
        <v>33240200</v>
      </c>
      <c r="I1921" t="s">
        <v>13</v>
      </c>
      <c r="J1921" t="s">
        <v>13</v>
      </c>
      <c r="K1921">
        <v>4.4800000000000004</v>
      </c>
    </row>
    <row r="1922" spans="1:11" x14ac:dyDescent="0.35">
      <c r="E1922" s="1"/>
      <c r="F1922" s="1"/>
      <c r="G1922" s="1"/>
      <c r="H1922" s="1"/>
    </row>
    <row r="1923" spans="1:11" x14ac:dyDescent="0.35">
      <c r="A1923" t="s">
        <v>407</v>
      </c>
      <c r="B1923" t="str">
        <f>"52186"</f>
        <v>52186</v>
      </c>
      <c r="C1923" t="str">
        <f>"003"</f>
        <v>003</v>
      </c>
      <c r="D1923">
        <v>1995</v>
      </c>
      <c r="E1923" s="1">
        <v>1308500</v>
      </c>
      <c r="F1923" s="1">
        <v>647600</v>
      </c>
      <c r="G1923" s="1" t="s">
        <v>11</v>
      </c>
      <c r="H1923" s="1" t="s">
        <v>38</v>
      </c>
      <c r="I1923" t="s">
        <v>13</v>
      </c>
      <c r="J1923" t="s">
        <v>13</v>
      </c>
    </row>
    <row r="1924" spans="1:11" x14ac:dyDescent="0.35">
      <c r="A1924" t="s">
        <v>5</v>
      </c>
      <c r="B1924" t="str">
        <f>"62186"</f>
        <v>62186</v>
      </c>
      <c r="C1924" t="str">
        <f>"004"</f>
        <v>004</v>
      </c>
      <c r="D1924">
        <v>2007</v>
      </c>
      <c r="E1924" s="1">
        <v>5603500</v>
      </c>
      <c r="F1924" s="1">
        <v>5284000</v>
      </c>
      <c r="G1924" s="1" t="s">
        <v>11</v>
      </c>
      <c r="H1924" s="1" t="s">
        <v>38</v>
      </c>
      <c r="I1924" t="s">
        <v>13</v>
      </c>
      <c r="J1924" t="s">
        <v>13</v>
      </c>
    </row>
    <row r="1925" spans="1:11" x14ac:dyDescent="0.35">
      <c r="A1925" t="s">
        <v>5</v>
      </c>
      <c r="B1925" t="str">
        <f>"62186"</f>
        <v>62186</v>
      </c>
      <c r="C1925" t="str">
        <f>"005"</f>
        <v>005</v>
      </c>
      <c r="D1925">
        <v>2019</v>
      </c>
      <c r="E1925" s="1">
        <v>1475800</v>
      </c>
      <c r="F1925" s="1">
        <v>415900</v>
      </c>
      <c r="G1925" s="1" t="s">
        <v>11</v>
      </c>
      <c r="H1925" s="1" t="s">
        <v>38</v>
      </c>
      <c r="I1925" t="s">
        <v>13</v>
      </c>
      <c r="J1925" t="s">
        <v>13</v>
      </c>
    </row>
    <row r="1926" spans="1:11" x14ac:dyDescent="0.35">
      <c r="A1926" t="s">
        <v>5</v>
      </c>
      <c r="B1926" t="str">
        <f>"52186"</f>
        <v>52186</v>
      </c>
      <c r="C1926" t="str">
        <f>"006"</f>
        <v>006</v>
      </c>
      <c r="D1926">
        <v>2019</v>
      </c>
      <c r="E1926" s="1">
        <v>707500</v>
      </c>
      <c r="F1926" s="1">
        <v>121500</v>
      </c>
      <c r="G1926" s="1" t="s">
        <v>11</v>
      </c>
      <c r="H1926" s="1" t="s">
        <v>38</v>
      </c>
      <c r="I1926" t="s">
        <v>13</v>
      </c>
      <c r="J1926" t="s">
        <v>13</v>
      </c>
    </row>
    <row r="1927" spans="1:11" x14ac:dyDescent="0.35">
      <c r="A1927" t="s">
        <v>39</v>
      </c>
      <c r="B1927" t="s">
        <v>13</v>
      </c>
      <c r="C1927" t="s">
        <v>7</v>
      </c>
      <c r="D1927" t="s">
        <v>8</v>
      </c>
      <c r="E1927" s="1">
        <v>9095300</v>
      </c>
      <c r="F1927" s="1">
        <v>6469000</v>
      </c>
      <c r="G1927" s="1" t="s">
        <v>11</v>
      </c>
      <c r="H1927" s="1">
        <v>30340400</v>
      </c>
      <c r="I1927" t="s">
        <v>13</v>
      </c>
      <c r="J1927" t="s">
        <v>13</v>
      </c>
      <c r="K1927">
        <v>21.32</v>
      </c>
    </row>
    <row r="1928" spans="1:11" x14ac:dyDescent="0.35">
      <c r="E1928" s="1"/>
      <c r="F1928" s="1"/>
      <c r="G1928" s="1"/>
      <c r="H1928" s="1"/>
    </row>
    <row r="1929" spans="1:11" x14ac:dyDescent="0.35">
      <c r="A1929" t="s">
        <v>408</v>
      </c>
      <c r="B1929" t="str">
        <f t="shared" ref="B1929:B1934" si="41">"62286"</f>
        <v>62286</v>
      </c>
      <c r="C1929" t="str">
        <f>"002"</f>
        <v>002</v>
      </c>
      <c r="D1929">
        <v>1994</v>
      </c>
      <c r="E1929" s="1">
        <v>1401700</v>
      </c>
      <c r="F1929" s="1">
        <v>1046200</v>
      </c>
      <c r="G1929" s="1" t="s">
        <v>11</v>
      </c>
      <c r="H1929" s="1" t="s">
        <v>38</v>
      </c>
      <c r="I1929" t="s">
        <v>13</v>
      </c>
      <c r="J1929" t="s">
        <v>13</v>
      </c>
    </row>
    <row r="1930" spans="1:11" x14ac:dyDescent="0.35">
      <c r="A1930" t="s">
        <v>5</v>
      </c>
      <c r="B1930" t="str">
        <f t="shared" si="41"/>
        <v>62286</v>
      </c>
      <c r="C1930" t="str">
        <f>"003"</f>
        <v>003</v>
      </c>
      <c r="D1930">
        <v>1995</v>
      </c>
      <c r="E1930" s="1">
        <v>18061300</v>
      </c>
      <c r="F1930" s="1">
        <v>14250700</v>
      </c>
      <c r="G1930" s="1" t="s">
        <v>11</v>
      </c>
      <c r="H1930" s="1" t="s">
        <v>38</v>
      </c>
      <c r="I1930" t="s">
        <v>13</v>
      </c>
      <c r="J1930" t="s">
        <v>13</v>
      </c>
    </row>
    <row r="1931" spans="1:11" x14ac:dyDescent="0.35">
      <c r="A1931" t="s">
        <v>5</v>
      </c>
      <c r="B1931" t="str">
        <f t="shared" si="41"/>
        <v>62286</v>
      </c>
      <c r="C1931" t="str">
        <f>"004"</f>
        <v>004</v>
      </c>
      <c r="D1931">
        <v>1999</v>
      </c>
      <c r="E1931" s="1">
        <v>3714700</v>
      </c>
      <c r="F1931" s="1">
        <v>3421700</v>
      </c>
      <c r="G1931" s="1" t="s">
        <v>11</v>
      </c>
      <c r="H1931" s="1" t="s">
        <v>38</v>
      </c>
      <c r="I1931" t="s">
        <v>13</v>
      </c>
      <c r="J1931" t="s">
        <v>13</v>
      </c>
    </row>
    <row r="1932" spans="1:11" x14ac:dyDescent="0.35">
      <c r="A1932" t="s">
        <v>5</v>
      </c>
      <c r="B1932" t="str">
        <f t="shared" si="41"/>
        <v>62286</v>
      </c>
      <c r="C1932" t="str">
        <f>"005"</f>
        <v>005</v>
      </c>
      <c r="D1932">
        <v>2006</v>
      </c>
      <c r="E1932" s="1">
        <v>3146700</v>
      </c>
      <c r="F1932" s="1">
        <v>2867100</v>
      </c>
      <c r="G1932" s="1" t="s">
        <v>11</v>
      </c>
      <c r="H1932" s="1" t="s">
        <v>38</v>
      </c>
      <c r="I1932" t="s">
        <v>13</v>
      </c>
      <c r="J1932" t="s">
        <v>13</v>
      </c>
    </row>
    <row r="1933" spans="1:11" x14ac:dyDescent="0.35">
      <c r="A1933" t="s">
        <v>5</v>
      </c>
      <c r="B1933" t="str">
        <f t="shared" si="41"/>
        <v>62286</v>
      </c>
      <c r="C1933" t="str">
        <f>"006"</f>
        <v>006</v>
      </c>
      <c r="D1933">
        <v>2015</v>
      </c>
      <c r="E1933" s="1">
        <v>21833900</v>
      </c>
      <c r="F1933" s="1">
        <v>8809600</v>
      </c>
      <c r="G1933" s="1" t="s">
        <v>11</v>
      </c>
      <c r="H1933" s="1" t="s">
        <v>38</v>
      </c>
      <c r="I1933" t="s">
        <v>13</v>
      </c>
      <c r="J1933" t="s">
        <v>13</v>
      </c>
    </row>
    <row r="1934" spans="1:11" x14ac:dyDescent="0.35">
      <c r="A1934" t="s">
        <v>5</v>
      </c>
      <c r="B1934" t="str">
        <f t="shared" si="41"/>
        <v>62286</v>
      </c>
      <c r="C1934" t="str">
        <f>"007"</f>
        <v>007</v>
      </c>
      <c r="D1934">
        <v>2019</v>
      </c>
      <c r="E1934" s="1">
        <v>8056000</v>
      </c>
      <c r="F1934" s="1">
        <v>2294700</v>
      </c>
      <c r="G1934" s="1" t="s">
        <v>11</v>
      </c>
      <c r="H1934" s="1" t="s">
        <v>38</v>
      </c>
      <c r="I1934" t="s">
        <v>13</v>
      </c>
      <c r="J1934" t="s">
        <v>13</v>
      </c>
    </row>
    <row r="1935" spans="1:11" x14ac:dyDescent="0.35">
      <c r="A1935" t="s">
        <v>39</v>
      </c>
      <c r="B1935" t="s">
        <v>13</v>
      </c>
      <c r="C1935" t="s">
        <v>7</v>
      </c>
      <c r="D1935" t="s">
        <v>8</v>
      </c>
      <c r="E1935" s="1">
        <v>56214300</v>
      </c>
      <c r="F1935" s="1">
        <v>32690000</v>
      </c>
      <c r="G1935" s="1" t="s">
        <v>11</v>
      </c>
      <c r="H1935" s="1">
        <v>336245200</v>
      </c>
      <c r="I1935" t="s">
        <v>13</v>
      </c>
      <c r="J1935" t="s">
        <v>13</v>
      </c>
      <c r="K1935">
        <v>9.7200000000000006</v>
      </c>
    </row>
    <row r="1936" spans="1:11" x14ac:dyDescent="0.35">
      <c r="E1936" s="1"/>
      <c r="F1936" s="1"/>
      <c r="G1936" s="1"/>
      <c r="H1936" s="1"/>
    </row>
    <row r="1937" spans="1:11" x14ac:dyDescent="0.35">
      <c r="A1937" t="s">
        <v>409</v>
      </c>
      <c r="B1937" t="str">
        <f>"67191"</f>
        <v>67191</v>
      </c>
      <c r="C1937" t="str">
        <f>"001"</f>
        <v>001</v>
      </c>
      <c r="D1937">
        <v>2006</v>
      </c>
      <c r="E1937" s="1">
        <v>67172900</v>
      </c>
      <c r="F1937" s="1">
        <v>42604600</v>
      </c>
      <c r="G1937" s="1" t="s">
        <v>11</v>
      </c>
      <c r="H1937" s="1" t="s">
        <v>38</v>
      </c>
      <c r="I1937" t="s">
        <v>13</v>
      </c>
      <c r="J1937" t="s">
        <v>13</v>
      </c>
    </row>
    <row r="1938" spans="1:11" x14ac:dyDescent="0.35">
      <c r="A1938" t="s">
        <v>39</v>
      </c>
      <c r="B1938" t="s">
        <v>13</v>
      </c>
      <c r="C1938" t="s">
        <v>7</v>
      </c>
      <c r="D1938" t="s">
        <v>8</v>
      </c>
      <c r="E1938" s="1">
        <v>67172900</v>
      </c>
      <c r="F1938" s="1">
        <v>42604600</v>
      </c>
      <c r="G1938" s="1" t="s">
        <v>11</v>
      </c>
      <c r="H1938" s="1">
        <v>482931600</v>
      </c>
      <c r="I1938" t="s">
        <v>13</v>
      </c>
      <c r="J1938" t="s">
        <v>13</v>
      </c>
      <c r="K1938">
        <v>8.82</v>
      </c>
    </row>
    <row r="1939" spans="1:11" x14ac:dyDescent="0.35">
      <c r="E1939" s="1"/>
      <c r="F1939" s="1"/>
      <c r="G1939" s="1"/>
      <c r="H1939" s="1"/>
    </row>
    <row r="1940" spans="1:11" x14ac:dyDescent="0.35">
      <c r="A1940" t="s">
        <v>410</v>
      </c>
      <c r="B1940" t="str">
        <f>"64191"</f>
        <v>64191</v>
      </c>
      <c r="C1940" t="str">
        <f>"001"</f>
        <v>001</v>
      </c>
      <c r="D1940">
        <v>2011</v>
      </c>
      <c r="E1940" s="1">
        <v>8571800</v>
      </c>
      <c r="F1940" s="1">
        <v>1607900</v>
      </c>
      <c r="G1940" s="1" t="s">
        <v>11</v>
      </c>
      <c r="H1940" s="1" t="s">
        <v>38</v>
      </c>
      <c r="I1940" t="s">
        <v>13</v>
      </c>
      <c r="J1940" t="s">
        <v>13</v>
      </c>
    </row>
    <row r="1941" spans="1:11" x14ac:dyDescent="0.35">
      <c r="A1941" t="s">
        <v>39</v>
      </c>
      <c r="B1941" t="s">
        <v>13</v>
      </c>
      <c r="C1941" t="s">
        <v>7</v>
      </c>
      <c r="D1941" t="s">
        <v>8</v>
      </c>
      <c r="E1941" s="1">
        <v>8571800</v>
      </c>
      <c r="F1941" s="1">
        <v>1607900</v>
      </c>
      <c r="G1941" s="1" t="s">
        <v>11</v>
      </c>
      <c r="H1941" s="1">
        <v>263661500</v>
      </c>
      <c r="I1941" t="s">
        <v>13</v>
      </c>
      <c r="J1941" t="s">
        <v>13</v>
      </c>
      <c r="K1941">
        <v>0.61</v>
      </c>
    </row>
    <row r="1942" spans="1:11" x14ac:dyDescent="0.35">
      <c r="E1942" s="1"/>
      <c r="F1942" s="1"/>
      <c r="G1942" s="1"/>
      <c r="H1942" s="1"/>
    </row>
    <row r="1943" spans="1:11" x14ac:dyDescent="0.35">
      <c r="A1943" t="s">
        <v>411</v>
      </c>
      <c r="B1943" t="str">
        <f>"41185"</f>
        <v>41185</v>
      </c>
      <c r="C1943" t="str">
        <f>"001"</f>
        <v>001</v>
      </c>
      <c r="D1943">
        <v>1998</v>
      </c>
      <c r="E1943" s="1">
        <v>52545600</v>
      </c>
      <c r="F1943" s="1">
        <v>44432200</v>
      </c>
      <c r="G1943" s="1" t="s">
        <v>11</v>
      </c>
      <c r="H1943" s="1" t="s">
        <v>38</v>
      </c>
      <c r="I1943" t="s">
        <v>13</v>
      </c>
      <c r="J1943" t="s">
        <v>13</v>
      </c>
    </row>
    <row r="1944" spans="1:11" x14ac:dyDescent="0.35">
      <c r="A1944" t="s">
        <v>39</v>
      </c>
      <c r="B1944" t="s">
        <v>13</v>
      </c>
      <c r="C1944" t="s">
        <v>7</v>
      </c>
      <c r="D1944" t="s">
        <v>8</v>
      </c>
      <c r="E1944" s="1">
        <v>52545600</v>
      </c>
      <c r="F1944" s="1">
        <v>44432200</v>
      </c>
      <c r="G1944" s="1" t="s">
        <v>11</v>
      </c>
      <c r="H1944" s="1">
        <v>64954500</v>
      </c>
      <c r="I1944" t="s">
        <v>13</v>
      </c>
      <c r="J1944" t="s">
        <v>13</v>
      </c>
      <c r="K1944">
        <v>68.41</v>
      </c>
    </row>
    <row r="1945" spans="1:11" x14ac:dyDescent="0.35">
      <c r="E1945" s="1"/>
      <c r="F1945" s="1"/>
      <c r="G1945" s="1"/>
      <c r="H1945" s="1"/>
    </row>
    <row r="1946" spans="1:11" x14ac:dyDescent="0.35">
      <c r="A1946" t="s">
        <v>412</v>
      </c>
      <c r="B1946" t="str">
        <f>"04291"</f>
        <v>04291</v>
      </c>
      <c r="C1946" t="str">
        <f>"002"</f>
        <v>002</v>
      </c>
      <c r="D1946">
        <v>1995</v>
      </c>
      <c r="E1946" s="1">
        <v>20723500</v>
      </c>
      <c r="F1946" s="1">
        <v>11582300</v>
      </c>
      <c r="G1946" s="1" t="s">
        <v>11</v>
      </c>
      <c r="H1946" s="1" t="s">
        <v>38</v>
      </c>
      <c r="I1946" t="s">
        <v>13</v>
      </c>
      <c r="J1946" t="s">
        <v>13</v>
      </c>
    </row>
    <row r="1947" spans="1:11" x14ac:dyDescent="0.35">
      <c r="A1947" t="s">
        <v>5</v>
      </c>
      <c r="B1947" t="str">
        <f>"04291"</f>
        <v>04291</v>
      </c>
      <c r="C1947" t="str">
        <f>"003"</f>
        <v>003</v>
      </c>
      <c r="D1947">
        <v>2015</v>
      </c>
      <c r="E1947" s="1">
        <v>12056000</v>
      </c>
      <c r="F1947" s="1">
        <v>2308200</v>
      </c>
      <c r="G1947" s="1" t="s">
        <v>11</v>
      </c>
      <c r="H1947" s="1" t="s">
        <v>38</v>
      </c>
      <c r="I1947" t="s">
        <v>13</v>
      </c>
      <c r="J1947" t="s">
        <v>13</v>
      </c>
    </row>
    <row r="1948" spans="1:11" x14ac:dyDescent="0.35">
      <c r="A1948" t="s">
        <v>39</v>
      </c>
      <c r="B1948" t="s">
        <v>13</v>
      </c>
      <c r="C1948" t="s">
        <v>7</v>
      </c>
      <c r="D1948" t="s">
        <v>8</v>
      </c>
      <c r="E1948" s="1">
        <v>32779500</v>
      </c>
      <c r="F1948" s="1">
        <v>13890500</v>
      </c>
      <c r="G1948" s="1" t="s">
        <v>11</v>
      </c>
      <c r="H1948" s="1">
        <v>149115300</v>
      </c>
      <c r="I1948" t="s">
        <v>13</v>
      </c>
      <c r="J1948" t="s">
        <v>13</v>
      </c>
      <c r="K1948">
        <v>9.32</v>
      </c>
    </row>
    <row r="1949" spans="1:11" x14ac:dyDescent="0.35">
      <c r="E1949" s="1"/>
      <c r="F1949" s="1"/>
      <c r="G1949" s="1"/>
      <c r="H1949" s="1"/>
    </row>
    <row r="1950" spans="1:11" x14ac:dyDescent="0.35">
      <c r="A1950" t="s">
        <v>413</v>
      </c>
      <c r="B1950" t="str">
        <f>"51191"</f>
        <v>51191</v>
      </c>
      <c r="C1950" t="str">
        <f>"002"</f>
        <v>002</v>
      </c>
      <c r="D1950">
        <v>2000</v>
      </c>
      <c r="E1950" s="1">
        <v>31712700</v>
      </c>
      <c r="F1950" s="1">
        <v>17925200</v>
      </c>
      <c r="G1950" s="1" t="s">
        <v>11</v>
      </c>
      <c r="H1950" s="1" t="s">
        <v>38</v>
      </c>
      <c r="I1950" t="s">
        <v>13</v>
      </c>
      <c r="J1950" t="s">
        <v>13</v>
      </c>
    </row>
    <row r="1951" spans="1:11" x14ac:dyDescent="0.35">
      <c r="A1951" t="s">
        <v>5</v>
      </c>
      <c r="B1951" t="str">
        <f>"51191"</f>
        <v>51191</v>
      </c>
      <c r="C1951" t="str">
        <f>"003"</f>
        <v>003</v>
      </c>
      <c r="D1951">
        <v>2019</v>
      </c>
      <c r="E1951" s="1">
        <v>21204400</v>
      </c>
      <c r="F1951" s="1">
        <v>9887800</v>
      </c>
      <c r="G1951" s="1" t="s">
        <v>11</v>
      </c>
      <c r="H1951" s="1" t="s">
        <v>38</v>
      </c>
      <c r="I1951" t="s">
        <v>13</v>
      </c>
      <c r="J1951" t="s">
        <v>13</v>
      </c>
    </row>
    <row r="1952" spans="1:11" x14ac:dyDescent="0.35">
      <c r="A1952" t="s">
        <v>5</v>
      </c>
      <c r="B1952" t="str">
        <f>"51191"</f>
        <v>51191</v>
      </c>
      <c r="C1952" t="str">
        <f>"004"</f>
        <v>004</v>
      </c>
      <c r="D1952">
        <v>2020</v>
      </c>
      <c r="E1952" s="1">
        <v>7685900</v>
      </c>
      <c r="F1952" s="1">
        <v>535500</v>
      </c>
      <c r="G1952" s="1" t="s">
        <v>11</v>
      </c>
      <c r="H1952" s="1" t="s">
        <v>38</v>
      </c>
      <c r="I1952" t="s">
        <v>13</v>
      </c>
      <c r="J1952" t="s">
        <v>13</v>
      </c>
    </row>
    <row r="1953" spans="1:11" x14ac:dyDescent="0.35">
      <c r="A1953" t="s">
        <v>39</v>
      </c>
      <c r="B1953" t="s">
        <v>13</v>
      </c>
      <c r="C1953" t="s">
        <v>7</v>
      </c>
      <c r="D1953" t="s">
        <v>8</v>
      </c>
      <c r="E1953" s="1">
        <v>60603000</v>
      </c>
      <c r="F1953" s="1">
        <v>28348500</v>
      </c>
      <c r="G1953" s="1" t="s">
        <v>11</v>
      </c>
      <c r="H1953" s="1">
        <v>598646600</v>
      </c>
      <c r="I1953" t="s">
        <v>13</v>
      </c>
      <c r="J1953" t="s">
        <v>13</v>
      </c>
      <c r="K1953">
        <v>4.74</v>
      </c>
    </row>
    <row r="1954" spans="1:11" x14ac:dyDescent="0.35">
      <c r="E1954" s="1"/>
      <c r="F1954" s="1"/>
      <c r="G1954" s="1"/>
      <c r="H1954" s="1"/>
    </row>
    <row r="1955" spans="1:11" x14ac:dyDescent="0.35">
      <c r="A1955" t="s">
        <v>414</v>
      </c>
      <c r="B1955" t="str">
        <f>"28290"</f>
        <v>28290</v>
      </c>
      <c r="C1955" t="str">
        <f>"002"</f>
        <v>002</v>
      </c>
      <c r="D1955">
        <v>2011</v>
      </c>
      <c r="E1955" s="1">
        <v>12966700</v>
      </c>
      <c r="F1955" s="1">
        <v>5808700</v>
      </c>
      <c r="G1955" s="1" t="s">
        <v>11</v>
      </c>
      <c r="H1955" s="1" t="s">
        <v>38</v>
      </c>
      <c r="I1955" t="s">
        <v>13</v>
      </c>
      <c r="J1955" t="s">
        <v>13</v>
      </c>
    </row>
    <row r="1956" spans="1:11" x14ac:dyDescent="0.35">
      <c r="A1956" t="s">
        <v>5</v>
      </c>
      <c r="B1956" t="str">
        <f>"28290"</f>
        <v>28290</v>
      </c>
      <c r="C1956" t="str">
        <f>"003"</f>
        <v>003</v>
      </c>
      <c r="D1956">
        <v>2012</v>
      </c>
      <c r="E1956" s="1">
        <v>5626000</v>
      </c>
      <c r="F1956" s="1">
        <v>4042900</v>
      </c>
      <c r="G1956" s="1" t="s">
        <v>11</v>
      </c>
      <c r="H1956" s="1" t="s">
        <v>38</v>
      </c>
      <c r="I1956" t="s">
        <v>13</v>
      </c>
      <c r="J1956" t="s">
        <v>13</v>
      </c>
    </row>
    <row r="1957" spans="1:11" x14ac:dyDescent="0.35">
      <c r="A1957" t="s">
        <v>5</v>
      </c>
      <c r="B1957" t="str">
        <f>"28290"</f>
        <v>28290</v>
      </c>
      <c r="C1957" t="str">
        <f>"004"</f>
        <v>004</v>
      </c>
      <c r="D1957">
        <v>2014</v>
      </c>
      <c r="E1957" s="1">
        <v>2805900</v>
      </c>
      <c r="F1957" s="1">
        <v>485800</v>
      </c>
      <c r="G1957" s="1" t="s">
        <v>11</v>
      </c>
      <c r="H1957" s="1" t="s">
        <v>38</v>
      </c>
      <c r="I1957" t="s">
        <v>13</v>
      </c>
      <c r="J1957" t="s">
        <v>13</v>
      </c>
    </row>
    <row r="1958" spans="1:11" x14ac:dyDescent="0.35">
      <c r="A1958" t="s">
        <v>39</v>
      </c>
      <c r="B1958" t="s">
        <v>13</v>
      </c>
      <c r="C1958" t="s">
        <v>7</v>
      </c>
      <c r="D1958" t="s">
        <v>8</v>
      </c>
      <c r="E1958" s="1">
        <v>21398600</v>
      </c>
      <c r="F1958" s="1">
        <v>10337400</v>
      </c>
      <c r="G1958" s="1" t="s">
        <v>11</v>
      </c>
      <c r="H1958" s="1">
        <v>266675400</v>
      </c>
      <c r="I1958" t="s">
        <v>13</v>
      </c>
      <c r="J1958" t="s">
        <v>13</v>
      </c>
      <c r="K1958">
        <v>3.88</v>
      </c>
    </row>
    <row r="1959" spans="1:11" x14ac:dyDescent="0.35">
      <c r="E1959" s="1"/>
      <c r="F1959" s="1"/>
      <c r="G1959" s="1"/>
      <c r="H1959" s="1"/>
    </row>
    <row r="1960" spans="1:11" x14ac:dyDescent="0.35">
      <c r="A1960" t="s">
        <v>415</v>
      </c>
      <c r="B1960" t="str">
        <f>"28291"</f>
        <v>28291</v>
      </c>
      <c r="C1960" t="str">
        <f>"004"</f>
        <v>004</v>
      </c>
      <c r="D1960">
        <v>2005</v>
      </c>
      <c r="E1960" s="1">
        <v>44631100</v>
      </c>
      <c r="F1960" s="1">
        <v>43583500</v>
      </c>
      <c r="G1960" s="1" t="s">
        <v>11</v>
      </c>
      <c r="H1960" s="1" t="s">
        <v>38</v>
      </c>
      <c r="I1960" t="s">
        <v>13</v>
      </c>
      <c r="J1960" t="s">
        <v>13</v>
      </c>
    </row>
    <row r="1961" spans="1:11" x14ac:dyDescent="0.35">
      <c r="A1961" t="s">
        <v>5</v>
      </c>
      <c r="B1961" t="str">
        <f>"28291"</f>
        <v>28291</v>
      </c>
      <c r="C1961" t="str">
        <f>"005"</f>
        <v>005</v>
      </c>
      <c r="D1961">
        <v>2005</v>
      </c>
      <c r="E1961" s="1">
        <v>61892600</v>
      </c>
      <c r="F1961" s="1">
        <v>22261600</v>
      </c>
      <c r="G1961" s="1" t="s">
        <v>11</v>
      </c>
      <c r="H1961" s="1" t="s">
        <v>38</v>
      </c>
      <c r="I1961" t="s">
        <v>13</v>
      </c>
      <c r="J1961" t="s">
        <v>13</v>
      </c>
    </row>
    <row r="1962" spans="1:11" x14ac:dyDescent="0.35">
      <c r="A1962" t="s">
        <v>5</v>
      </c>
      <c r="B1962" t="str">
        <f>"28291"</f>
        <v>28291</v>
      </c>
      <c r="C1962" t="str">
        <f>"006"</f>
        <v>006</v>
      </c>
      <c r="D1962">
        <v>2005</v>
      </c>
      <c r="E1962" s="1">
        <v>3596000</v>
      </c>
      <c r="F1962" s="1">
        <v>3370200</v>
      </c>
      <c r="G1962" s="1" t="s">
        <v>11</v>
      </c>
      <c r="H1962" s="1" t="s">
        <v>38</v>
      </c>
      <c r="I1962" t="s">
        <v>13</v>
      </c>
      <c r="J1962" t="s">
        <v>13</v>
      </c>
    </row>
    <row r="1963" spans="1:11" x14ac:dyDescent="0.35">
      <c r="A1963" t="s">
        <v>5</v>
      </c>
      <c r="B1963" t="str">
        <f>"28291"</f>
        <v>28291</v>
      </c>
      <c r="C1963" t="str">
        <f>"007"</f>
        <v>007</v>
      </c>
      <c r="D1963">
        <v>2016</v>
      </c>
      <c r="E1963" s="1">
        <v>46458400</v>
      </c>
      <c r="F1963" s="1">
        <v>4014800</v>
      </c>
      <c r="G1963" s="1" t="s">
        <v>11</v>
      </c>
      <c r="H1963" s="1" t="s">
        <v>38</v>
      </c>
      <c r="I1963" t="s">
        <v>13</v>
      </c>
      <c r="J1963" t="s">
        <v>13</v>
      </c>
    </row>
    <row r="1964" spans="1:11" x14ac:dyDescent="0.35">
      <c r="A1964" t="s">
        <v>39</v>
      </c>
      <c r="B1964" t="s">
        <v>13</v>
      </c>
      <c r="C1964" t="s">
        <v>7</v>
      </c>
      <c r="D1964" t="s">
        <v>8</v>
      </c>
      <c r="E1964" s="1">
        <v>156578100</v>
      </c>
      <c r="F1964" s="1">
        <v>73230100</v>
      </c>
      <c r="G1964" s="1" t="s">
        <v>11</v>
      </c>
      <c r="H1964" s="1">
        <v>1671095900</v>
      </c>
      <c r="I1964" t="s">
        <v>13</v>
      </c>
      <c r="J1964" t="s">
        <v>13</v>
      </c>
      <c r="K1964">
        <v>4.38</v>
      </c>
    </row>
    <row r="1965" spans="1:11" x14ac:dyDescent="0.35">
      <c r="E1965" s="1"/>
      <c r="F1965" s="1"/>
      <c r="G1965" s="1"/>
      <c r="H1965" s="1"/>
    </row>
    <row r="1966" spans="1:11" x14ac:dyDescent="0.35">
      <c r="A1966" t="s">
        <v>416</v>
      </c>
      <c r="B1966" t="str">
        <f>"67195"</f>
        <v>67195</v>
      </c>
      <c r="C1966" t="str">
        <f>"001"</f>
        <v>001</v>
      </c>
      <c r="D1966">
        <v>2020</v>
      </c>
      <c r="E1966" s="1">
        <v>22581200</v>
      </c>
      <c r="F1966" s="1">
        <v>796100</v>
      </c>
      <c r="G1966" s="1" t="s">
        <v>11</v>
      </c>
      <c r="H1966" s="1" t="s">
        <v>38</v>
      </c>
      <c r="I1966" t="s">
        <v>13</v>
      </c>
      <c r="J1966" t="s">
        <v>13</v>
      </c>
    </row>
    <row r="1967" spans="1:11" x14ac:dyDescent="0.35">
      <c r="A1967" t="s">
        <v>39</v>
      </c>
      <c r="B1967" t="s">
        <v>13</v>
      </c>
      <c r="C1967" t="s">
        <v>7</v>
      </c>
      <c r="D1967" t="s">
        <v>8</v>
      </c>
      <c r="E1967" s="1">
        <v>22581200</v>
      </c>
      <c r="F1967" s="1">
        <v>796100</v>
      </c>
      <c r="G1967" s="1" t="s">
        <v>11</v>
      </c>
      <c r="H1967" s="1">
        <v>1236613000</v>
      </c>
      <c r="I1967" t="s">
        <v>13</v>
      </c>
      <c r="J1967" t="s">
        <v>13</v>
      </c>
      <c r="K1967">
        <v>0.06</v>
      </c>
    </row>
    <row r="1968" spans="1:11" x14ac:dyDescent="0.35">
      <c r="A1968" t="s">
        <v>416</v>
      </c>
      <c r="B1968" t="str">
        <f t="shared" ref="B1968:B1984" si="42">"67291"</f>
        <v>67291</v>
      </c>
      <c r="C1968" t="str">
        <f>"011"</f>
        <v>011</v>
      </c>
      <c r="D1968">
        <v>1997</v>
      </c>
      <c r="E1968" s="1">
        <v>110624600</v>
      </c>
      <c r="F1968" s="1">
        <v>73100000</v>
      </c>
      <c r="G1968" s="1" t="s">
        <v>11</v>
      </c>
      <c r="H1968" s="1" t="s">
        <v>38</v>
      </c>
      <c r="I1968" t="s">
        <v>13</v>
      </c>
      <c r="J1968" t="s">
        <v>13</v>
      </c>
    </row>
    <row r="1969" spans="1:10" x14ac:dyDescent="0.35">
      <c r="A1969" t="s">
        <v>5</v>
      </c>
      <c r="B1969" t="str">
        <f t="shared" si="42"/>
        <v>67291</v>
      </c>
      <c r="C1969" t="str">
        <f>"012"</f>
        <v>012</v>
      </c>
      <c r="D1969">
        <v>2001</v>
      </c>
      <c r="E1969" s="1">
        <v>23585100</v>
      </c>
      <c r="F1969" s="1">
        <v>23477400</v>
      </c>
      <c r="G1969" s="1" t="s">
        <v>11</v>
      </c>
      <c r="H1969" s="1" t="s">
        <v>38</v>
      </c>
      <c r="I1969" t="s">
        <v>13</v>
      </c>
      <c r="J1969" t="s">
        <v>13</v>
      </c>
    </row>
    <row r="1970" spans="1:10" x14ac:dyDescent="0.35">
      <c r="A1970" t="s">
        <v>5</v>
      </c>
      <c r="B1970" t="str">
        <f t="shared" si="42"/>
        <v>67291</v>
      </c>
      <c r="C1970" t="str">
        <f>"013"</f>
        <v>013</v>
      </c>
      <c r="D1970">
        <v>2003</v>
      </c>
      <c r="E1970" s="1">
        <v>4813700</v>
      </c>
      <c r="F1970" s="1">
        <v>4331900</v>
      </c>
      <c r="G1970" s="1" t="s">
        <v>11</v>
      </c>
      <c r="H1970" s="1" t="s">
        <v>38</v>
      </c>
      <c r="I1970" t="s">
        <v>13</v>
      </c>
      <c r="J1970" t="s">
        <v>13</v>
      </c>
    </row>
    <row r="1971" spans="1:10" x14ac:dyDescent="0.35">
      <c r="A1971" t="s">
        <v>5</v>
      </c>
      <c r="B1971" t="str">
        <f t="shared" si="42"/>
        <v>67291</v>
      </c>
      <c r="C1971" t="str">
        <f>"014"</f>
        <v>014</v>
      </c>
      <c r="D1971">
        <v>2003</v>
      </c>
      <c r="E1971" s="1">
        <v>110000200</v>
      </c>
      <c r="F1971" s="1">
        <v>100110400</v>
      </c>
      <c r="G1971" s="1" t="s">
        <v>11</v>
      </c>
      <c r="H1971" s="1" t="s">
        <v>38</v>
      </c>
      <c r="I1971" t="s">
        <v>13</v>
      </c>
      <c r="J1971" t="s">
        <v>13</v>
      </c>
    </row>
    <row r="1972" spans="1:10" x14ac:dyDescent="0.35">
      <c r="A1972" t="s">
        <v>5</v>
      </c>
      <c r="B1972" t="str">
        <f t="shared" si="42"/>
        <v>67291</v>
      </c>
      <c r="C1972" t="str">
        <f>"017"</f>
        <v>017</v>
      </c>
      <c r="D1972">
        <v>2007</v>
      </c>
      <c r="E1972" s="1">
        <v>102959900</v>
      </c>
      <c r="F1972" s="1">
        <v>45630900</v>
      </c>
      <c r="G1972" s="1" t="s">
        <v>11</v>
      </c>
      <c r="H1972" s="1" t="s">
        <v>38</v>
      </c>
      <c r="I1972" t="s">
        <v>13</v>
      </c>
      <c r="J1972" t="s">
        <v>13</v>
      </c>
    </row>
    <row r="1973" spans="1:10" x14ac:dyDescent="0.35">
      <c r="A1973" t="s">
        <v>5</v>
      </c>
      <c r="B1973" t="str">
        <f t="shared" si="42"/>
        <v>67291</v>
      </c>
      <c r="C1973" t="str">
        <f>"018"</f>
        <v>018</v>
      </c>
      <c r="D1973">
        <v>2009</v>
      </c>
      <c r="E1973" s="1">
        <v>9736700</v>
      </c>
      <c r="F1973" s="1">
        <v>9032400</v>
      </c>
      <c r="G1973" s="1" t="s">
        <v>11</v>
      </c>
      <c r="H1973" s="1" t="s">
        <v>38</v>
      </c>
      <c r="I1973" t="s">
        <v>13</v>
      </c>
      <c r="J1973" t="s">
        <v>13</v>
      </c>
    </row>
    <row r="1974" spans="1:10" x14ac:dyDescent="0.35">
      <c r="A1974" t="s">
        <v>5</v>
      </c>
      <c r="B1974" t="str">
        <f t="shared" si="42"/>
        <v>67291</v>
      </c>
      <c r="C1974" t="str">
        <f>"019"</f>
        <v>019</v>
      </c>
      <c r="D1974">
        <v>2010</v>
      </c>
      <c r="E1974" s="1">
        <v>31913200</v>
      </c>
      <c r="F1974" s="1">
        <v>18286800</v>
      </c>
      <c r="G1974" s="1" t="s">
        <v>11</v>
      </c>
      <c r="H1974" s="1" t="s">
        <v>38</v>
      </c>
      <c r="I1974" t="s">
        <v>13</v>
      </c>
      <c r="J1974" t="s">
        <v>13</v>
      </c>
    </row>
    <row r="1975" spans="1:10" x14ac:dyDescent="0.35">
      <c r="A1975" t="s">
        <v>5</v>
      </c>
      <c r="B1975" t="str">
        <f t="shared" si="42"/>
        <v>67291</v>
      </c>
      <c r="C1975" t="str">
        <f>"020"</f>
        <v>020</v>
      </c>
      <c r="D1975">
        <v>2010</v>
      </c>
      <c r="E1975" s="1">
        <v>27522700</v>
      </c>
      <c r="F1975" s="1">
        <v>5176600</v>
      </c>
      <c r="G1975" s="1" t="s">
        <v>11</v>
      </c>
      <c r="H1975" s="1" t="s">
        <v>38</v>
      </c>
      <c r="I1975" t="s">
        <v>13</v>
      </c>
      <c r="J1975" t="s">
        <v>13</v>
      </c>
    </row>
    <row r="1976" spans="1:10" x14ac:dyDescent="0.35">
      <c r="A1976" t="s">
        <v>5</v>
      </c>
      <c r="B1976" t="str">
        <f t="shared" si="42"/>
        <v>67291</v>
      </c>
      <c r="C1976" t="str">
        <f>"021"</f>
        <v>021</v>
      </c>
      <c r="D1976">
        <v>2012</v>
      </c>
      <c r="E1976" s="1">
        <v>42537800</v>
      </c>
      <c r="F1976" s="1">
        <v>31193900</v>
      </c>
      <c r="G1976" s="1" t="s">
        <v>11</v>
      </c>
      <c r="H1976" s="1" t="s">
        <v>38</v>
      </c>
      <c r="I1976" t="s">
        <v>13</v>
      </c>
      <c r="J1976" t="s">
        <v>13</v>
      </c>
    </row>
    <row r="1977" spans="1:10" x14ac:dyDescent="0.35">
      <c r="A1977" t="s">
        <v>5</v>
      </c>
      <c r="B1977" t="str">
        <f t="shared" si="42"/>
        <v>67291</v>
      </c>
      <c r="C1977" t="str">
        <f>"022"</f>
        <v>022</v>
      </c>
      <c r="D1977">
        <v>2013</v>
      </c>
      <c r="E1977" s="1">
        <v>84967600</v>
      </c>
      <c r="F1977" s="1">
        <v>46567100</v>
      </c>
      <c r="G1977" s="1" t="s">
        <v>11</v>
      </c>
      <c r="H1977" s="1" t="s">
        <v>38</v>
      </c>
      <c r="I1977" t="s">
        <v>13</v>
      </c>
      <c r="J1977" t="s">
        <v>13</v>
      </c>
    </row>
    <row r="1978" spans="1:10" x14ac:dyDescent="0.35">
      <c r="A1978" t="s">
        <v>5</v>
      </c>
      <c r="B1978" t="str">
        <f t="shared" si="42"/>
        <v>67291</v>
      </c>
      <c r="C1978" t="str">
        <f>"023"</f>
        <v>023</v>
      </c>
      <c r="D1978">
        <v>2014</v>
      </c>
      <c r="E1978" s="1">
        <v>12786800</v>
      </c>
      <c r="F1978" s="1">
        <v>8486200</v>
      </c>
      <c r="G1978" s="1" t="s">
        <v>11</v>
      </c>
      <c r="H1978" s="1" t="s">
        <v>38</v>
      </c>
      <c r="I1978" t="s">
        <v>13</v>
      </c>
      <c r="J1978" t="s">
        <v>13</v>
      </c>
    </row>
    <row r="1979" spans="1:10" x14ac:dyDescent="0.35">
      <c r="A1979" t="s">
        <v>5</v>
      </c>
      <c r="B1979" t="str">
        <f t="shared" si="42"/>
        <v>67291</v>
      </c>
      <c r="C1979" t="str">
        <f>"024"</f>
        <v>024</v>
      </c>
      <c r="D1979">
        <v>2018</v>
      </c>
      <c r="E1979" s="1">
        <v>16212600</v>
      </c>
      <c r="F1979" s="1">
        <v>5867400</v>
      </c>
      <c r="G1979" s="1" t="s">
        <v>11</v>
      </c>
      <c r="H1979" s="1" t="s">
        <v>38</v>
      </c>
      <c r="I1979" t="s">
        <v>13</v>
      </c>
      <c r="J1979" t="s">
        <v>13</v>
      </c>
    </row>
    <row r="1980" spans="1:10" x14ac:dyDescent="0.35">
      <c r="A1980" t="s">
        <v>5</v>
      </c>
      <c r="B1980" t="str">
        <f t="shared" si="42"/>
        <v>67291</v>
      </c>
      <c r="C1980" t="str">
        <f>"025"</f>
        <v>025</v>
      </c>
      <c r="D1980">
        <v>2015</v>
      </c>
      <c r="E1980" s="1">
        <v>22833700</v>
      </c>
      <c r="F1980" s="1">
        <v>16607100</v>
      </c>
      <c r="G1980" s="1" t="s">
        <v>11</v>
      </c>
      <c r="H1980" s="1" t="s">
        <v>38</v>
      </c>
      <c r="I1980" t="s">
        <v>13</v>
      </c>
      <c r="J1980" t="s">
        <v>13</v>
      </c>
    </row>
    <row r="1981" spans="1:10" x14ac:dyDescent="0.35">
      <c r="A1981" t="s">
        <v>5</v>
      </c>
      <c r="B1981" t="str">
        <f t="shared" si="42"/>
        <v>67291</v>
      </c>
      <c r="C1981" t="str">
        <f>"026"</f>
        <v>026</v>
      </c>
      <c r="D1981">
        <v>2019</v>
      </c>
      <c r="E1981" s="1">
        <v>6225300</v>
      </c>
      <c r="F1981" s="1">
        <v>1002400</v>
      </c>
      <c r="G1981" s="1" t="s">
        <v>11</v>
      </c>
      <c r="H1981" s="1" t="s">
        <v>38</v>
      </c>
      <c r="I1981" t="s">
        <v>13</v>
      </c>
      <c r="J1981" t="s">
        <v>13</v>
      </c>
    </row>
    <row r="1982" spans="1:10" x14ac:dyDescent="0.35">
      <c r="A1982" t="s">
        <v>5</v>
      </c>
      <c r="B1982" t="str">
        <f t="shared" si="42"/>
        <v>67291</v>
      </c>
      <c r="C1982" t="str">
        <f>"027"</f>
        <v>027</v>
      </c>
      <c r="D1982">
        <v>2020</v>
      </c>
      <c r="E1982" s="1">
        <v>11218000</v>
      </c>
      <c r="F1982" s="1">
        <v>8343600</v>
      </c>
      <c r="G1982" s="1" t="s">
        <v>11</v>
      </c>
      <c r="H1982" s="1" t="s">
        <v>38</v>
      </c>
      <c r="I1982" t="s">
        <v>13</v>
      </c>
      <c r="J1982" t="s">
        <v>13</v>
      </c>
    </row>
    <row r="1983" spans="1:10" x14ac:dyDescent="0.35">
      <c r="A1983" t="s">
        <v>5</v>
      </c>
      <c r="B1983" t="str">
        <f t="shared" si="42"/>
        <v>67291</v>
      </c>
      <c r="C1983" t="str">
        <f>"028"</f>
        <v>028</v>
      </c>
      <c r="D1983">
        <v>2020</v>
      </c>
      <c r="E1983" s="1">
        <v>1258800</v>
      </c>
      <c r="F1983" s="1">
        <v>103700</v>
      </c>
      <c r="G1983" s="1" t="s">
        <v>11</v>
      </c>
      <c r="H1983" s="1" t="s">
        <v>38</v>
      </c>
      <c r="I1983" t="s">
        <v>13</v>
      </c>
      <c r="J1983" t="s">
        <v>13</v>
      </c>
    </row>
    <row r="1984" spans="1:10" x14ac:dyDescent="0.35">
      <c r="A1984" t="s">
        <v>5</v>
      </c>
      <c r="B1984" t="str">
        <f t="shared" si="42"/>
        <v>67291</v>
      </c>
      <c r="C1984" t="str">
        <f>"029"</f>
        <v>029</v>
      </c>
      <c r="D1984">
        <v>2020</v>
      </c>
      <c r="E1984" s="1">
        <v>1316500</v>
      </c>
      <c r="F1984" s="1">
        <v>109200</v>
      </c>
      <c r="G1984" s="1" t="s">
        <v>11</v>
      </c>
      <c r="H1984" s="1" t="s">
        <v>38</v>
      </c>
      <c r="I1984" t="s">
        <v>13</v>
      </c>
      <c r="J1984" t="s">
        <v>13</v>
      </c>
    </row>
    <row r="1985" spans="1:11" x14ac:dyDescent="0.35">
      <c r="A1985" t="s">
        <v>39</v>
      </c>
      <c r="B1985" t="s">
        <v>13</v>
      </c>
      <c r="C1985" t="s">
        <v>7</v>
      </c>
      <c r="D1985" t="s">
        <v>8</v>
      </c>
      <c r="E1985" s="1">
        <v>620513200</v>
      </c>
      <c r="F1985" s="1">
        <v>397427000</v>
      </c>
      <c r="G1985" s="1" t="s">
        <v>11</v>
      </c>
      <c r="H1985" s="1">
        <v>7762818900</v>
      </c>
      <c r="I1985" t="s">
        <v>13</v>
      </c>
      <c r="J1985" t="s">
        <v>13</v>
      </c>
      <c r="K1985">
        <v>5.12</v>
      </c>
    </row>
    <row r="1986" spans="1:11" x14ac:dyDescent="0.35">
      <c r="E1986" s="1"/>
      <c r="F1986" s="1"/>
      <c r="G1986" s="1"/>
      <c r="H1986" s="1"/>
    </row>
    <row r="1987" spans="1:11" x14ac:dyDescent="0.35">
      <c r="A1987" t="s">
        <v>417</v>
      </c>
      <c r="B1987" t="str">
        <f t="shared" ref="B1987:B1994" si="43">"13191"</f>
        <v>13191</v>
      </c>
      <c r="C1987" t="str">
        <f>"002"</f>
        <v>002</v>
      </c>
      <c r="D1987">
        <v>2000</v>
      </c>
      <c r="E1987" s="1">
        <v>23670200</v>
      </c>
      <c r="F1987" s="1">
        <v>23571400</v>
      </c>
      <c r="G1987" s="1" t="s">
        <v>11</v>
      </c>
      <c r="H1987" s="1" t="s">
        <v>38</v>
      </c>
      <c r="I1987" t="s">
        <v>13</v>
      </c>
      <c r="J1987" t="s">
        <v>13</v>
      </c>
    </row>
    <row r="1988" spans="1:11" x14ac:dyDescent="0.35">
      <c r="A1988" t="s">
        <v>5</v>
      </c>
      <c r="B1988" t="str">
        <f t="shared" si="43"/>
        <v>13191</v>
      </c>
      <c r="C1988" t="str">
        <f>"003"</f>
        <v>003</v>
      </c>
      <c r="D1988">
        <v>2000</v>
      </c>
      <c r="E1988" s="1">
        <v>59685400</v>
      </c>
      <c r="F1988" s="1">
        <v>59050700</v>
      </c>
      <c r="G1988" s="1" t="s">
        <v>11</v>
      </c>
      <c r="H1988" s="1" t="s">
        <v>38</v>
      </c>
      <c r="I1988" t="s">
        <v>13</v>
      </c>
      <c r="J1988" t="s">
        <v>13</v>
      </c>
    </row>
    <row r="1989" spans="1:11" x14ac:dyDescent="0.35">
      <c r="A1989" t="s">
        <v>5</v>
      </c>
      <c r="B1989" t="str">
        <f t="shared" si="43"/>
        <v>13191</v>
      </c>
      <c r="C1989" t="str">
        <f>"004"</f>
        <v>004</v>
      </c>
      <c r="D1989">
        <v>2003</v>
      </c>
      <c r="E1989" s="1">
        <v>6134300</v>
      </c>
      <c r="F1989" s="1">
        <v>5456900</v>
      </c>
      <c r="G1989" s="1" t="s">
        <v>11</v>
      </c>
      <c r="H1989" s="1" t="s">
        <v>38</v>
      </c>
      <c r="I1989" t="s">
        <v>13</v>
      </c>
      <c r="J1989" t="s">
        <v>13</v>
      </c>
    </row>
    <row r="1990" spans="1:11" x14ac:dyDescent="0.35">
      <c r="A1990" t="s">
        <v>5</v>
      </c>
      <c r="B1990" t="str">
        <f t="shared" si="43"/>
        <v>13191</v>
      </c>
      <c r="C1990" t="str">
        <f>"005"</f>
        <v>005</v>
      </c>
      <c r="D1990">
        <v>2005</v>
      </c>
      <c r="E1990" s="1">
        <v>53685300</v>
      </c>
      <c r="F1990" s="1">
        <v>26142100</v>
      </c>
      <c r="G1990" s="1" t="s">
        <v>11</v>
      </c>
      <c r="H1990" s="1" t="s">
        <v>38</v>
      </c>
      <c r="I1990" t="s">
        <v>13</v>
      </c>
      <c r="J1990" t="s">
        <v>13</v>
      </c>
    </row>
    <row r="1991" spans="1:11" x14ac:dyDescent="0.35">
      <c r="A1991" t="s">
        <v>5</v>
      </c>
      <c r="B1991" t="str">
        <f t="shared" si="43"/>
        <v>13191</v>
      </c>
      <c r="C1991" t="str">
        <f>"006"</f>
        <v>006</v>
      </c>
      <c r="D1991">
        <v>2015</v>
      </c>
      <c r="E1991" s="1">
        <v>76970900</v>
      </c>
      <c r="F1991" s="1">
        <v>65209800</v>
      </c>
      <c r="G1991" s="1" t="s">
        <v>11</v>
      </c>
      <c r="H1991" s="1" t="s">
        <v>38</v>
      </c>
      <c r="I1991" t="s">
        <v>13</v>
      </c>
      <c r="J1991" t="s">
        <v>13</v>
      </c>
    </row>
    <row r="1992" spans="1:11" x14ac:dyDescent="0.35">
      <c r="A1992" t="s">
        <v>5</v>
      </c>
      <c r="B1992" t="str">
        <f t="shared" si="43"/>
        <v>13191</v>
      </c>
      <c r="C1992" t="str">
        <f>"007"</f>
        <v>007</v>
      </c>
      <c r="D1992">
        <v>2016</v>
      </c>
      <c r="E1992" s="1">
        <v>9799500</v>
      </c>
      <c r="F1992" s="1">
        <v>5353800</v>
      </c>
      <c r="G1992" s="1" t="s">
        <v>11</v>
      </c>
      <c r="H1992" s="1" t="s">
        <v>38</v>
      </c>
      <c r="I1992" t="s">
        <v>13</v>
      </c>
      <c r="J1992" t="s">
        <v>13</v>
      </c>
    </row>
    <row r="1993" spans="1:11" x14ac:dyDescent="0.35">
      <c r="A1993" t="s">
        <v>5</v>
      </c>
      <c r="B1993" t="str">
        <f t="shared" si="43"/>
        <v>13191</v>
      </c>
      <c r="C1993" t="str">
        <f>"008"</f>
        <v>008</v>
      </c>
      <c r="D1993">
        <v>2018</v>
      </c>
      <c r="E1993" s="1">
        <v>33318600</v>
      </c>
      <c r="F1993" s="1">
        <v>17333200</v>
      </c>
      <c r="G1993" s="1" t="s">
        <v>11</v>
      </c>
      <c r="H1993" s="1" t="s">
        <v>38</v>
      </c>
      <c r="I1993" t="s">
        <v>13</v>
      </c>
      <c r="J1993" t="s">
        <v>13</v>
      </c>
    </row>
    <row r="1994" spans="1:11" x14ac:dyDescent="0.35">
      <c r="A1994" t="s">
        <v>5</v>
      </c>
      <c r="B1994" t="str">
        <f t="shared" si="43"/>
        <v>13191</v>
      </c>
      <c r="C1994" t="str">
        <f>"009"</f>
        <v>009</v>
      </c>
      <c r="D1994">
        <v>2018</v>
      </c>
      <c r="E1994" s="1">
        <v>1044200</v>
      </c>
      <c r="F1994" s="1">
        <v>-102800</v>
      </c>
      <c r="G1994" s="1" t="s">
        <v>48</v>
      </c>
      <c r="H1994" s="1" t="s">
        <v>38</v>
      </c>
      <c r="I1994" t="s">
        <v>13</v>
      </c>
      <c r="J1994" t="s">
        <v>13</v>
      </c>
    </row>
    <row r="1995" spans="1:11" x14ac:dyDescent="0.35">
      <c r="A1995" t="s">
        <v>39</v>
      </c>
      <c r="B1995" t="s">
        <v>13</v>
      </c>
      <c r="C1995" t="s">
        <v>7</v>
      </c>
      <c r="D1995" t="s">
        <v>8</v>
      </c>
      <c r="E1995" s="1">
        <v>264308400</v>
      </c>
      <c r="F1995" s="1">
        <v>202117900</v>
      </c>
      <c r="G1995" s="1" t="s">
        <v>11</v>
      </c>
      <c r="H1995" s="1">
        <v>2306924000</v>
      </c>
      <c r="I1995" t="s">
        <v>13</v>
      </c>
      <c r="J1995" t="s">
        <v>13</v>
      </c>
      <c r="K1995">
        <v>8.76</v>
      </c>
    </row>
    <row r="1996" spans="1:11" x14ac:dyDescent="0.35">
      <c r="E1996" s="1"/>
      <c r="F1996" s="1"/>
      <c r="G1996" s="1"/>
      <c r="H1996" s="1"/>
    </row>
    <row r="1997" spans="1:11" x14ac:dyDescent="0.35">
      <c r="A1997" t="s">
        <v>418</v>
      </c>
      <c r="B1997" t="str">
        <f t="shared" ref="B1997:B2002" si="44">"68291"</f>
        <v>68291</v>
      </c>
      <c r="C1997" t="str">
        <f>"003"</f>
        <v>003</v>
      </c>
      <c r="D1997">
        <v>2000</v>
      </c>
      <c r="E1997" s="1">
        <v>19448300</v>
      </c>
      <c r="F1997" s="1">
        <v>17535800</v>
      </c>
      <c r="G1997" s="1" t="s">
        <v>11</v>
      </c>
      <c r="H1997" s="1" t="s">
        <v>38</v>
      </c>
      <c r="I1997" t="s">
        <v>13</v>
      </c>
      <c r="J1997" t="s">
        <v>13</v>
      </c>
    </row>
    <row r="1998" spans="1:11" x14ac:dyDescent="0.35">
      <c r="A1998" t="s">
        <v>5</v>
      </c>
      <c r="B1998" t="str">
        <f t="shared" si="44"/>
        <v>68291</v>
      </c>
      <c r="C1998" t="str">
        <f>"004"</f>
        <v>004</v>
      </c>
      <c r="D1998">
        <v>2000</v>
      </c>
      <c r="E1998" s="1">
        <v>32925300</v>
      </c>
      <c r="F1998" s="1">
        <v>30023700</v>
      </c>
      <c r="G1998" s="1" t="s">
        <v>11</v>
      </c>
      <c r="H1998" s="1" t="s">
        <v>38</v>
      </c>
      <c r="I1998" t="s">
        <v>13</v>
      </c>
      <c r="J1998" t="s">
        <v>13</v>
      </c>
    </row>
    <row r="1999" spans="1:11" x14ac:dyDescent="0.35">
      <c r="A1999" t="s">
        <v>5</v>
      </c>
      <c r="B1999" t="str">
        <f t="shared" si="44"/>
        <v>68291</v>
      </c>
      <c r="C1999" t="str">
        <f>"006"</f>
        <v>006</v>
      </c>
      <c r="D1999">
        <v>2000</v>
      </c>
      <c r="E1999" s="1">
        <v>36335900</v>
      </c>
      <c r="F1999" s="1">
        <v>25429300</v>
      </c>
      <c r="G1999" s="1" t="s">
        <v>11</v>
      </c>
      <c r="H1999" s="1" t="s">
        <v>38</v>
      </c>
      <c r="I1999" t="s">
        <v>13</v>
      </c>
      <c r="J1999" t="s">
        <v>13</v>
      </c>
    </row>
    <row r="2000" spans="1:11" x14ac:dyDescent="0.35">
      <c r="A2000" t="s">
        <v>5</v>
      </c>
      <c r="B2000" t="str">
        <f t="shared" si="44"/>
        <v>68291</v>
      </c>
      <c r="C2000" t="str">
        <f>"008"</f>
        <v>008</v>
      </c>
      <c r="D2000">
        <v>2001</v>
      </c>
      <c r="E2000" s="1">
        <v>14425400</v>
      </c>
      <c r="F2000" s="1">
        <v>12652800</v>
      </c>
      <c r="G2000" s="1" t="s">
        <v>11</v>
      </c>
      <c r="H2000" s="1" t="s">
        <v>38</v>
      </c>
      <c r="I2000" t="s">
        <v>13</v>
      </c>
      <c r="J2000" t="s">
        <v>13</v>
      </c>
    </row>
    <row r="2001" spans="1:11" x14ac:dyDescent="0.35">
      <c r="A2001" t="s">
        <v>5</v>
      </c>
      <c r="B2001" t="str">
        <f t="shared" si="44"/>
        <v>68291</v>
      </c>
      <c r="C2001" t="str">
        <f>"009"</f>
        <v>009</v>
      </c>
      <c r="D2001">
        <v>2001</v>
      </c>
      <c r="E2001" s="1">
        <v>1749300</v>
      </c>
      <c r="F2001" s="1">
        <v>-458800</v>
      </c>
      <c r="G2001" s="1" t="s">
        <v>48</v>
      </c>
      <c r="H2001" s="1" t="s">
        <v>38</v>
      </c>
      <c r="I2001" t="s">
        <v>13</v>
      </c>
      <c r="J2001" t="s">
        <v>13</v>
      </c>
    </row>
    <row r="2002" spans="1:11" x14ac:dyDescent="0.35">
      <c r="A2002" t="s">
        <v>5</v>
      </c>
      <c r="B2002" t="str">
        <f t="shared" si="44"/>
        <v>68291</v>
      </c>
      <c r="C2002" t="str">
        <f>"010"</f>
        <v>010</v>
      </c>
      <c r="D2002">
        <v>2001</v>
      </c>
      <c r="E2002" s="1">
        <v>2896500</v>
      </c>
      <c r="F2002" s="1">
        <v>2614700</v>
      </c>
      <c r="G2002" s="1" t="s">
        <v>11</v>
      </c>
      <c r="H2002" s="1" t="s">
        <v>38</v>
      </c>
      <c r="I2002" t="s">
        <v>13</v>
      </c>
      <c r="J2002" t="s">
        <v>13</v>
      </c>
    </row>
    <row r="2003" spans="1:11" x14ac:dyDescent="0.35">
      <c r="A2003" t="s">
        <v>39</v>
      </c>
      <c r="B2003" t="s">
        <v>13</v>
      </c>
      <c r="C2003" t="s">
        <v>7</v>
      </c>
      <c r="D2003" t="s">
        <v>8</v>
      </c>
      <c r="E2003" s="1">
        <v>107780700</v>
      </c>
      <c r="F2003" s="1">
        <v>88256300</v>
      </c>
      <c r="G2003" s="1" t="s">
        <v>11</v>
      </c>
      <c r="H2003" s="1">
        <v>475264900</v>
      </c>
      <c r="I2003" t="s">
        <v>13</v>
      </c>
      <c r="J2003" t="s">
        <v>13</v>
      </c>
      <c r="K2003">
        <v>18.57</v>
      </c>
    </row>
    <row r="2004" spans="1:11" x14ac:dyDescent="0.35">
      <c r="E2004" s="1"/>
      <c r="F2004" s="1"/>
      <c r="G2004" s="1"/>
      <c r="H2004" s="1"/>
    </row>
    <row r="2005" spans="1:11" x14ac:dyDescent="0.35">
      <c r="A2005" t="s">
        <v>419</v>
      </c>
      <c r="B2005" t="str">
        <f>"14292"</f>
        <v>14292</v>
      </c>
      <c r="C2005" t="str">
        <f>"003"</f>
        <v>003</v>
      </c>
      <c r="D2005">
        <v>2005</v>
      </c>
      <c r="E2005" s="1">
        <v>9739800</v>
      </c>
      <c r="F2005" s="1">
        <v>2701000</v>
      </c>
      <c r="G2005" s="1" t="s">
        <v>11</v>
      </c>
      <c r="H2005" s="1" t="s">
        <v>38</v>
      </c>
      <c r="I2005" t="s">
        <v>13</v>
      </c>
      <c r="J2005" t="s">
        <v>13</v>
      </c>
    </row>
    <row r="2006" spans="1:11" x14ac:dyDescent="0.35">
      <c r="A2006" t="s">
        <v>5</v>
      </c>
      <c r="B2006" t="str">
        <f>"20292"</f>
        <v>20292</v>
      </c>
      <c r="C2006" t="str">
        <f>"003"</f>
        <v>003</v>
      </c>
      <c r="D2006">
        <v>2005</v>
      </c>
      <c r="E2006" s="1">
        <v>14981600</v>
      </c>
      <c r="F2006" s="1">
        <v>4717900</v>
      </c>
      <c r="G2006" s="1" t="s">
        <v>11</v>
      </c>
      <c r="H2006" s="1" t="s">
        <v>38</v>
      </c>
      <c r="I2006" t="s">
        <v>13</v>
      </c>
      <c r="J2006" t="s">
        <v>13</v>
      </c>
    </row>
    <row r="2007" spans="1:11" x14ac:dyDescent="0.35">
      <c r="A2007" t="s">
        <v>5</v>
      </c>
      <c r="B2007" t="str">
        <f>"14292"</f>
        <v>14292</v>
      </c>
      <c r="C2007" t="str">
        <f>"005"</f>
        <v>005</v>
      </c>
      <c r="D2007">
        <v>2008</v>
      </c>
      <c r="E2007" s="1">
        <v>22814700</v>
      </c>
      <c r="F2007" s="1">
        <v>20864400</v>
      </c>
      <c r="G2007" s="1" t="s">
        <v>11</v>
      </c>
      <c r="H2007" s="1" t="s">
        <v>38</v>
      </c>
      <c r="I2007" t="s">
        <v>13</v>
      </c>
      <c r="J2007" t="s">
        <v>13</v>
      </c>
    </row>
    <row r="2008" spans="1:11" x14ac:dyDescent="0.35">
      <c r="A2008" t="s">
        <v>5</v>
      </c>
      <c r="B2008" t="str">
        <f>"20292"</f>
        <v>20292</v>
      </c>
      <c r="C2008" t="str">
        <f>"006"</f>
        <v>006</v>
      </c>
      <c r="D2008">
        <v>2012</v>
      </c>
      <c r="E2008" s="1">
        <v>8042400</v>
      </c>
      <c r="F2008" s="1">
        <v>-1112200</v>
      </c>
      <c r="G2008" s="1" t="s">
        <v>48</v>
      </c>
      <c r="H2008" s="1" t="s">
        <v>38</v>
      </c>
      <c r="I2008" t="s">
        <v>13</v>
      </c>
      <c r="J2008" t="s">
        <v>13</v>
      </c>
    </row>
    <row r="2009" spans="1:11" x14ac:dyDescent="0.35">
      <c r="A2009" t="s">
        <v>5</v>
      </c>
      <c r="B2009" t="str">
        <f>"14292"</f>
        <v>14292</v>
      </c>
      <c r="C2009" t="str">
        <f>"006"</f>
        <v>006</v>
      </c>
      <c r="D2009">
        <v>2012</v>
      </c>
      <c r="E2009" s="1">
        <v>12027100</v>
      </c>
      <c r="F2009" s="1">
        <v>6748000</v>
      </c>
      <c r="G2009" s="1" t="s">
        <v>11</v>
      </c>
      <c r="H2009" s="1" t="s">
        <v>38</v>
      </c>
      <c r="I2009" t="s">
        <v>13</v>
      </c>
      <c r="J2009" t="s">
        <v>13</v>
      </c>
    </row>
    <row r="2010" spans="1:11" x14ac:dyDescent="0.35">
      <c r="A2010" t="s">
        <v>5</v>
      </c>
      <c r="B2010" t="str">
        <f>"14292"</f>
        <v>14292</v>
      </c>
      <c r="C2010" t="str">
        <f>"007"</f>
        <v>007</v>
      </c>
      <c r="D2010">
        <v>2017</v>
      </c>
      <c r="E2010" s="1">
        <v>3234800</v>
      </c>
      <c r="F2010" s="1">
        <v>3212700</v>
      </c>
      <c r="G2010" s="1" t="s">
        <v>11</v>
      </c>
      <c r="H2010" s="1" t="s">
        <v>38</v>
      </c>
      <c r="I2010" t="s">
        <v>13</v>
      </c>
      <c r="J2010" t="s">
        <v>13</v>
      </c>
    </row>
    <row r="2011" spans="1:11" x14ac:dyDescent="0.35">
      <c r="A2011" t="s">
        <v>5</v>
      </c>
      <c r="B2011" t="str">
        <f>"20292"</f>
        <v>20292</v>
      </c>
      <c r="C2011" t="str">
        <f>"008"</f>
        <v>008</v>
      </c>
      <c r="D2011">
        <v>2018</v>
      </c>
      <c r="E2011" s="1">
        <v>9384400</v>
      </c>
      <c r="F2011" s="1">
        <v>4336500</v>
      </c>
      <c r="G2011" s="1" t="s">
        <v>11</v>
      </c>
      <c r="H2011" s="1" t="s">
        <v>38</v>
      </c>
      <c r="I2011" t="s">
        <v>13</v>
      </c>
      <c r="J2011" t="s">
        <v>13</v>
      </c>
    </row>
    <row r="2012" spans="1:11" x14ac:dyDescent="0.35">
      <c r="A2012" t="s">
        <v>39</v>
      </c>
      <c r="B2012" t="s">
        <v>13</v>
      </c>
      <c r="C2012" t="s">
        <v>7</v>
      </c>
      <c r="D2012" t="s">
        <v>8</v>
      </c>
      <c r="E2012" s="1">
        <v>80224800</v>
      </c>
      <c r="F2012" s="1">
        <v>42580500</v>
      </c>
      <c r="G2012" s="1" t="s">
        <v>11</v>
      </c>
      <c r="H2012" s="1">
        <v>545384000</v>
      </c>
      <c r="I2012" t="s">
        <v>13</v>
      </c>
      <c r="J2012" t="s">
        <v>13</v>
      </c>
      <c r="K2012">
        <v>7.81</v>
      </c>
    </row>
    <row r="2013" spans="1:11" x14ac:dyDescent="0.35">
      <c r="E2013" s="1"/>
      <c r="F2013" s="1"/>
      <c r="G2013" s="1"/>
      <c r="H2013" s="1"/>
    </row>
    <row r="2014" spans="1:11" x14ac:dyDescent="0.35">
      <c r="A2014" t="s">
        <v>420</v>
      </c>
      <c r="B2014" t="str">
        <f t="shared" ref="B2014:B2021" si="45">"37291"</f>
        <v>37291</v>
      </c>
      <c r="C2014" t="str">
        <f>"003"</f>
        <v>003</v>
      </c>
      <c r="D2014">
        <v>1994</v>
      </c>
      <c r="E2014" s="1">
        <v>154854600</v>
      </c>
      <c r="F2014" s="1">
        <v>112035900</v>
      </c>
      <c r="G2014" s="1" t="s">
        <v>11</v>
      </c>
      <c r="H2014" s="1" t="s">
        <v>38</v>
      </c>
      <c r="I2014" t="s">
        <v>13</v>
      </c>
      <c r="J2014" t="s">
        <v>13</v>
      </c>
    </row>
    <row r="2015" spans="1:11" x14ac:dyDescent="0.35">
      <c r="A2015" t="s">
        <v>5</v>
      </c>
      <c r="B2015" t="str">
        <f t="shared" si="45"/>
        <v>37291</v>
      </c>
      <c r="C2015" t="str">
        <f>"006"</f>
        <v>006</v>
      </c>
      <c r="D2015">
        <v>2005</v>
      </c>
      <c r="E2015" s="1">
        <v>222689800</v>
      </c>
      <c r="F2015" s="1">
        <v>142110500</v>
      </c>
      <c r="G2015" s="1" t="s">
        <v>11</v>
      </c>
      <c r="H2015" s="1" t="s">
        <v>38</v>
      </c>
      <c r="I2015" t="s">
        <v>13</v>
      </c>
      <c r="J2015" t="s">
        <v>13</v>
      </c>
    </row>
    <row r="2016" spans="1:11" x14ac:dyDescent="0.35">
      <c r="A2016" t="s">
        <v>5</v>
      </c>
      <c r="B2016" t="str">
        <f t="shared" si="45"/>
        <v>37291</v>
      </c>
      <c r="C2016" t="str">
        <f>"007"</f>
        <v>007</v>
      </c>
      <c r="D2016">
        <v>2006</v>
      </c>
      <c r="E2016" s="1">
        <v>86717600</v>
      </c>
      <c r="F2016" s="1">
        <v>57276000</v>
      </c>
      <c r="G2016" s="1" t="s">
        <v>11</v>
      </c>
      <c r="H2016" s="1" t="s">
        <v>38</v>
      </c>
      <c r="I2016" t="s">
        <v>13</v>
      </c>
      <c r="J2016" t="s">
        <v>13</v>
      </c>
    </row>
    <row r="2017" spans="1:11" x14ac:dyDescent="0.35">
      <c r="A2017" t="s">
        <v>5</v>
      </c>
      <c r="B2017" t="str">
        <f t="shared" si="45"/>
        <v>37291</v>
      </c>
      <c r="C2017" t="str">
        <f>"008"</f>
        <v>008</v>
      </c>
      <c r="D2017">
        <v>2012</v>
      </c>
      <c r="E2017" s="1">
        <v>66093100</v>
      </c>
      <c r="F2017" s="1">
        <v>24749900</v>
      </c>
      <c r="G2017" s="1" t="s">
        <v>11</v>
      </c>
      <c r="H2017" s="1" t="s">
        <v>38</v>
      </c>
      <c r="I2017" t="s">
        <v>13</v>
      </c>
      <c r="J2017" t="s">
        <v>13</v>
      </c>
    </row>
    <row r="2018" spans="1:11" x14ac:dyDescent="0.35">
      <c r="A2018" t="s">
        <v>5</v>
      </c>
      <c r="B2018" t="str">
        <f t="shared" si="45"/>
        <v>37291</v>
      </c>
      <c r="C2018" t="str">
        <f>"009"</f>
        <v>009</v>
      </c>
      <c r="D2018">
        <v>2012</v>
      </c>
      <c r="E2018" s="1">
        <v>1860600</v>
      </c>
      <c r="F2018" s="1">
        <v>628200</v>
      </c>
      <c r="G2018" s="1" t="s">
        <v>11</v>
      </c>
      <c r="H2018" s="1" t="s">
        <v>38</v>
      </c>
      <c r="I2018" t="s">
        <v>13</v>
      </c>
      <c r="J2018" t="s">
        <v>13</v>
      </c>
    </row>
    <row r="2019" spans="1:11" x14ac:dyDescent="0.35">
      <c r="A2019" t="s">
        <v>5</v>
      </c>
      <c r="B2019" t="str">
        <f t="shared" si="45"/>
        <v>37291</v>
      </c>
      <c r="C2019" t="str">
        <f>"010"</f>
        <v>010</v>
      </c>
      <c r="D2019">
        <v>2013</v>
      </c>
      <c r="E2019" s="1">
        <v>60322800</v>
      </c>
      <c r="F2019" s="1">
        <v>14609800</v>
      </c>
      <c r="G2019" s="1" t="s">
        <v>11</v>
      </c>
      <c r="H2019" s="1" t="s">
        <v>38</v>
      </c>
      <c r="I2019" t="s">
        <v>13</v>
      </c>
      <c r="J2019" t="s">
        <v>13</v>
      </c>
    </row>
    <row r="2020" spans="1:11" x14ac:dyDescent="0.35">
      <c r="A2020" t="s">
        <v>5</v>
      </c>
      <c r="B2020" t="str">
        <f t="shared" si="45"/>
        <v>37291</v>
      </c>
      <c r="C2020" t="str">
        <f>"011"</f>
        <v>011</v>
      </c>
      <c r="D2020">
        <v>2017</v>
      </c>
      <c r="E2020" s="1">
        <v>67444200</v>
      </c>
      <c r="F2020" s="1">
        <v>66057800</v>
      </c>
      <c r="G2020" s="1" t="s">
        <v>11</v>
      </c>
      <c r="H2020" s="1" t="s">
        <v>38</v>
      </c>
      <c r="I2020" t="s">
        <v>13</v>
      </c>
      <c r="J2020" t="s">
        <v>13</v>
      </c>
    </row>
    <row r="2021" spans="1:11" x14ac:dyDescent="0.35">
      <c r="A2021" t="s">
        <v>5</v>
      </c>
      <c r="B2021" t="str">
        <f t="shared" si="45"/>
        <v>37291</v>
      </c>
      <c r="C2021" t="str">
        <f>"012"</f>
        <v>012</v>
      </c>
      <c r="D2021">
        <v>2017</v>
      </c>
      <c r="E2021" s="1">
        <v>24807900</v>
      </c>
      <c r="F2021" s="1">
        <v>12366600</v>
      </c>
      <c r="G2021" s="1" t="s">
        <v>11</v>
      </c>
      <c r="H2021" s="1" t="s">
        <v>38</v>
      </c>
      <c r="I2021" t="s">
        <v>13</v>
      </c>
      <c r="J2021" t="s">
        <v>13</v>
      </c>
    </row>
    <row r="2022" spans="1:11" x14ac:dyDescent="0.35">
      <c r="A2022" t="s">
        <v>39</v>
      </c>
      <c r="B2022" t="s">
        <v>13</v>
      </c>
      <c r="C2022" t="s">
        <v>7</v>
      </c>
      <c r="D2022" t="s">
        <v>8</v>
      </c>
      <c r="E2022" s="1">
        <v>684790600</v>
      </c>
      <c r="F2022" s="1">
        <v>429834700</v>
      </c>
      <c r="G2022" s="1" t="s">
        <v>11</v>
      </c>
      <c r="H2022" s="1">
        <v>3265016200</v>
      </c>
      <c r="I2022" t="s">
        <v>13</v>
      </c>
      <c r="J2022" t="s">
        <v>13</v>
      </c>
      <c r="K2022">
        <v>13.16</v>
      </c>
    </row>
    <row r="2023" spans="1:11" x14ac:dyDescent="0.35">
      <c r="E2023" s="1"/>
      <c r="F2023" s="1"/>
      <c r="G2023" s="1"/>
      <c r="H2023" s="1"/>
    </row>
    <row r="2024" spans="1:11" x14ac:dyDescent="0.35">
      <c r="A2024" t="s">
        <v>421</v>
      </c>
      <c r="B2024" t="str">
        <f>"38191"</f>
        <v>38191</v>
      </c>
      <c r="C2024" t="str">
        <f>"001"</f>
        <v>001</v>
      </c>
      <c r="D2024">
        <v>2020</v>
      </c>
      <c r="E2024" s="1">
        <v>3267800</v>
      </c>
      <c r="F2024" s="1">
        <v>172000</v>
      </c>
      <c r="G2024" s="1" t="s">
        <v>11</v>
      </c>
      <c r="H2024" s="1" t="s">
        <v>38</v>
      </c>
      <c r="I2024" t="s">
        <v>13</v>
      </c>
      <c r="J2024" t="s">
        <v>13</v>
      </c>
    </row>
    <row r="2025" spans="1:11" x14ac:dyDescent="0.35">
      <c r="A2025" t="s">
        <v>39</v>
      </c>
      <c r="B2025" t="s">
        <v>13</v>
      </c>
      <c r="C2025" t="s">
        <v>7</v>
      </c>
      <c r="D2025" t="s">
        <v>8</v>
      </c>
      <c r="E2025" s="1">
        <v>3267800</v>
      </c>
      <c r="F2025" s="1">
        <v>172000</v>
      </c>
      <c r="G2025" s="1" t="s">
        <v>11</v>
      </c>
      <c r="H2025" s="1">
        <v>29308900</v>
      </c>
      <c r="I2025" t="s">
        <v>13</v>
      </c>
      <c r="J2025" t="s">
        <v>13</v>
      </c>
      <c r="K2025">
        <v>0.59</v>
      </c>
    </row>
    <row r="2026" spans="1:11" x14ac:dyDescent="0.35">
      <c r="E2026" s="1"/>
      <c r="F2026" s="1"/>
      <c r="G2026" s="1"/>
      <c r="H2026" s="1"/>
    </row>
    <row r="2027" spans="1:11" x14ac:dyDescent="0.35">
      <c r="A2027" t="s">
        <v>422</v>
      </c>
      <c r="B2027" t="str">
        <f>"69291"</f>
        <v>69291</v>
      </c>
      <c r="C2027" t="str">
        <f>"001"</f>
        <v>001</v>
      </c>
      <c r="D2027">
        <v>1995</v>
      </c>
      <c r="E2027" s="1">
        <v>30561700</v>
      </c>
      <c r="F2027" s="1">
        <v>26423800</v>
      </c>
      <c r="G2027" s="1" t="s">
        <v>11</v>
      </c>
      <c r="H2027" s="1" t="s">
        <v>38</v>
      </c>
      <c r="I2027" t="s">
        <v>13</v>
      </c>
      <c r="J2027" t="s">
        <v>13</v>
      </c>
    </row>
    <row r="2028" spans="1:11" x14ac:dyDescent="0.35">
      <c r="A2028" t="s">
        <v>39</v>
      </c>
      <c r="B2028" t="s">
        <v>13</v>
      </c>
      <c r="C2028" t="s">
        <v>7</v>
      </c>
      <c r="D2028" t="s">
        <v>8</v>
      </c>
      <c r="E2028" s="1">
        <v>30561700</v>
      </c>
      <c r="F2028" s="1">
        <v>26423800</v>
      </c>
      <c r="G2028" s="1" t="s">
        <v>11</v>
      </c>
      <c r="H2028" s="1">
        <v>120491500</v>
      </c>
      <c r="I2028" t="s">
        <v>13</v>
      </c>
      <c r="J2028" t="s">
        <v>13</v>
      </c>
      <c r="K2028">
        <v>21.93</v>
      </c>
    </row>
    <row r="2029" spans="1:11" x14ac:dyDescent="0.35">
      <c r="E2029" s="1"/>
      <c r="F2029" s="1"/>
      <c r="G2029" s="1"/>
      <c r="H2029" s="1"/>
    </row>
    <row r="2030" spans="1:11" x14ac:dyDescent="0.35">
      <c r="A2030" t="s">
        <v>423</v>
      </c>
      <c r="B2030" t="str">
        <f t="shared" ref="B2030:B2037" si="46">"40291"</f>
        <v>40291</v>
      </c>
      <c r="C2030" t="str">
        <f>"006"</f>
        <v>006</v>
      </c>
      <c r="D2030">
        <v>2010</v>
      </c>
      <c r="E2030" s="1">
        <v>144763400</v>
      </c>
      <c r="F2030" s="1">
        <v>117995000</v>
      </c>
      <c r="G2030" s="1" t="s">
        <v>11</v>
      </c>
      <c r="H2030" s="1" t="s">
        <v>38</v>
      </c>
      <c r="I2030" t="s">
        <v>13</v>
      </c>
      <c r="J2030" t="s">
        <v>13</v>
      </c>
    </row>
    <row r="2031" spans="1:11" x14ac:dyDescent="0.35">
      <c r="A2031" t="s">
        <v>5</v>
      </c>
      <c r="B2031" t="str">
        <f t="shared" si="46"/>
        <v>40291</v>
      </c>
      <c r="C2031" t="str">
        <f>"007"</f>
        <v>007</v>
      </c>
      <c r="D2031">
        <v>2013</v>
      </c>
      <c r="E2031" s="1">
        <v>167278500</v>
      </c>
      <c r="F2031" s="1">
        <v>146463500</v>
      </c>
      <c r="G2031" s="1" t="s">
        <v>11</v>
      </c>
      <c r="H2031" s="1" t="s">
        <v>38</v>
      </c>
      <c r="I2031" t="s">
        <v>13</v>
      </c>
      <c r="J2031" t="s">
        <v>13</v>
      </c>
    </row>
    <row r="2032" spans="1:11" x14ac:dyDescent="0.35">
      <c r="A2032" t="s">
        <v>5</v>
      </c>
      <c r="B2032" t="str">
        <f t="shared" si="46"/>
        <v>40291</v>
      </c>
      <c r="C2032" t="str">
        <f>"008"</f>
        <v>008</v>
      </c>
      <c r="D2032">
        <v>2014</v>
      </c>
      <c r="E2032" s="1">
        <v>57315500</v>
      </c>
      <c r="F2032" s="1">
        <v>35591900</v>
      </c>
      <c r="G2032" s="1" t="s">
        <v>11</v>
      </c>
      <c r="H2032" s="1" t="s">
        <v>38</v>
      </c>
      <c r="I2032" t="s">
        <v>13</v>
      </c>
      <c r="J2032" t="s">
        <v>13</v>
      </c>
    </row>
    <row r="2033" spans="1:11" x14ac:dyDescent="0.35">
      <c r="A2033" t="s">
        <v>5</v>
      </c>
      <c r="B2033" t="str">
        <f t="shared" si="46"/>
        <v>40291</v>
      </c>
      <c r="C2033" t="str">
        <f>"009"</f>
        <v>009</v>
      </c>
      <c r="D2033">
        <v>2015</v>
      </c>
      <c r="E2033" s="1">
        <v>17528100</v>
      </c>
      <c r="F2033" s="1">
        <v>12399900</v>
      </c>
      <c r="G2033" s="1" t="s">
        <v>11</v>
      </c>
      <c r="H2033" s="1" t="s">
        <v>38</v>
      </c>
      <c r="I2033" t="s">
        <v>13</v>
      </c>
      <c r="J2033" t="s">
        <v>13</v>
      </c>
    </row>
    <row r="2034" spans="1:11" x14ac:dyDescent="0.35">
      <c r="A2034" t="s">
        <v>5</v>
      </c>
      <c r="B2034" t="str">
        <f t="shared" si="46"/>
        <v>40291</v>
      </c>
      <c r="C2034" t="str">
        <f>"010"</f>
        <v>010</v>
      </c>
      <c r="D2034">
        <v>2015</v>
      </c>
      <c r="E2034" s="1">
        <v>39071500</v>
      </c>
      <c r="F2034" s="1">
        <v>35101100</v>
      </c>
      <c r="G2034" s="1" t="s">
        <v>11</v>
      </c>
      <c r="H2034" s="1" t="s">
        <v>38</v>
      </c>
      <c r="I2034" t="s">
        <v>13</v>
      </c>
      <c r="J2034" t="s">
        <v>13</v>
      </c>
    </row>
    <row r="2035" spans="1:11" x14ac:dyDescent="0.35">
      <c r="A2035" t="s">
        <v>5</v>
      </c>
      <c r="B2035" t="str">
        <f t="shared" si="46"/>
        <v>40291</v>
      </c>
      <c r="C2035" t="str">
        <f>"011"</f>
        <v>011</v>
      </c>
      <c r="D2035">
        <v>2015</v>
      </c>
      <c r="E2035" s="1">
        <v>45997800</v>
      </c>
      <c r="F2035" s="1">
        <v>34834400</v>
      </c>
      <c r="G2035" s="1" t="s">
        <v>11</v>
      </c>
      <c r="H2035" s="1" t="s">
        <v>38</v>
      </c>
      <c r="I2035" t="s">
        <v>13</v>
      </c>
      <c r="J2035" t="s">
        <v>13</v>
      </c>
    </row>
    <row r="2036" spans="1:11" x14ac:dyDescent="0.35">
      <c r="A2036" t="s">
        <v>5</v>
      </c>
      <c r="B2036" t="str">
        <f t="shared" si="46"/>
        <v>40291</v>
      </c>
      <c r="C2036" t="str">
        <f>"012"</f>
        <v>012</v>
      </c>
      <c r="D2036">
        <v>2018</v>
      </c>
      <c r="E2036" s="1">
        <v>59382600</v>
      </c>
      <c r="F2036" s="1">
        <v>23841400</v>
      </c>
      <c r="G2036" s="1" t="s">
        <v>11</v>
      </c>
      <c r="H2036" s="1" t="s">
        <v>38</v>
      </c>
      <c r="I2036" t="s">
        <v>13</v>
      </c>
      <c r="J2036" t="s">
        <v>13</v>
      </c>
    </row>
    <row r="2037" spans="1:11" x14ac:dyDescent="0.35">
      <c r="A2037" t="s">
        <v>5</v>
      </c>
      <c r="B2037" t="str">
        <f t="shared" si="46"/>
        <v>40291</v>
      </c>
      <c r="C2037" t="str">
        <f>"013"</f>
        <v>013</v>
      </c>
      <c r="D2037">
        <v>2020</v>
      </c>
      <c r="E2037" s="1">
        <v>3297500</v>
      </c>
      <c r="F2037" s="1">
        <v>168100</v>
      </c>
      <c r="G2037" s="1" t="s">
        <v>11</v>
      </c>
      <c r="H2037" s="1" t="s">
        <v>38</v>
      </c>
      <c r="I2037" t="s">
        <v>13</v>
      </c>
      <c r="J2037" t="s">
        <v>13</v>
      </c>
    </row>
    <row r="2038" spans="1:11" x14ac:dyDescent="0.35">
      <c r="A2038" t="s">
        <v>39</v>
      </c>
      <c r="B2038" t="s">
        <v>13</v>
      </c>
      <c r="C2038" t="s">
        <v>7</v>
      </c>
      <c r="D2038" t="s">
        <v>8</v>
      </c>
      <c r="E2038" s="1">
        <v>534634900</v>
      </c>
      <c r="F2038" s="1">
        <v>406395300</v>
      </c>
      <c r="G2038" s="1" t="s">
        <v>11</v>
      </c>
      <c r="H2038" s="1">
        <v>7545981900</v>
      </c>
      <c r="I2038" t="s">
        <v>13</v>
      </c>
      <c r="J2038" t="s">
        <v>13</v>
      </c>
      <c r="K2038">
        <v>5.39</v>
      </c>
    </row>
    <row r="2039" spans="1:11" x14ac:dyDescent="0.35">
      <c r="E2039" s="1"/>
      <c r="F2039" s="1"/>
      <c r="G2039" s="1"/>
      <c r="H2039" s="1"/>
    </row>
    <row r="2040" spans="1:11" x14ac:dyDescent="0.35">
      <c r="A2040" t="s">
        <v>424</v>
      </c>
      <c r="B2040" t="str">
        <f>"07191"</f>
        <v>07191</v>
      </c>
      <c r="C2040" t="str">
        <f>"002"</f>
        <v>002</v>
      </c>
      <c r="D2040">
        <v>2005</v>
      </c>
      <c r="E2040" s="1">
        <v>4316100</v>
      </c>
      <c r="F2040" s="1">
        <v>1092900</v>
      </c>
      <c r="G2040" s="1" t="s">
        <v>11</v>
      </c>
      <c r="H2040" s="1" t="s">
        <v>38</v>
      </c>
      <c r="I2040" t="s">
        <v>13</v>
      </c>
      <c r="J2040" t="s">
        <v>13</v>
      </c>
    </row>
    <row r="2041" spans="1:11" x14ac:dyDescent="0.35">
      <c r="A2041" t="s">
        <v>39</v>
      </c>
      <c r="B2041" t="s">
        <v>13</v>
      </c>
      <c r="C2041" t="s">
        <v>7</v>
      </c>
      <c r="D2041" t="s">
        <v>8</v>
      </c>
      <c r="E2041" s="1">
        <v>4316100</v>
      </c>
      <c r="F2041" s="1">
        <v>1092900</v>
      </c>
      <c r="G2041" s="1" t="s">
        <v>11</v>
      </c>
      <c r="H2041" s="1">
        <v>36512400</v>
      </c>
      <c r="I2041" t="s">
        <v>13</v>
      </c>
      <c r="J2041" t="s">
        <v>13</v>
      </c>
      <c r="K2041">
        <v>2.99</v>
      </c>
    </row>
    <row r="2042" spans="1:11" x14ac:dyDescent="0.35">
      <c r="E2042" s="1"/>
      <c r="F2042" s="1"/>
      <c r="G2042" s="1"/>
      <c r="H2042" s="1"/>
    </row>
    <row r="2043" spans="1:11" x14ac:dyDescent="0.35">
      <c r="A2043" t="s">
        <v>425</v>
      </c>
      <c r="B2043" t="str">
        <f t="shared" ref="B2043:B2054" si="47">"40292"</f>
        <v>40292</v>
      </c>
      <c r="C2043" t="str">
        <f>"005"</f>
        <v>005</v>
      </c>
      <c r="D2043">
        <v>2001</v>
      </c>
      <c r="E2043" s="1">
        <v>56513800</v>
      </c>
      <c r="F2043" s="1">
        <v>37989800</v>
      </c>
      <c r="G2043" s="1" t="s">
        <v>11</v>
      </c>
      <c r="H2043" s="1" t="s">
        <v>38</v>
      </c>
      <c r="I2043" t="s">
        <v>13</v>
      </c>
      <c r="J2043" t="s">
        <v>13</v>
      </c>
    </row>
    <row r="2044" spans="1:11" x14ac:dyDescent="0.35">
      <c r="A2044" t="s">
        <v>5</v>
      </c>
      <c r="B2044" t="str">
        <f t="shared" si="47"/>
        <v>40292</v>
      </c>
      <c r="C2044" t="str">
        <f>"006"</f>
        <v>006</v>
      </c>
      <c r="D2044">
        <v>2004</v>
      </c>
      <c r="E2044" s="1">
        <v>6258400</v>
      </c>
      <c r="F2044" s="1">
        <v>4927800</v>
      </c>
      <c r="G2044" s="1" t="s">
        <v>11</v>
      </c>
      <c r="H2044" s="1" t="s">
        <v>38</v>
      </c>
      <c r="I2044" t="s">
        <v>13</v>
      </c>
      <c r="J2044" t="s">
        <v>13</v>
      </c>
    </row>
    <row r="2045" spans="1:11" x14ac:dyDescent="0.35">
      <c r="A2045" t="s">
        <v>5</v>
      </c>
      <c r="B2045" t="str">
        <f t="shared" si="47"/>
        <v>40292</v>
      </c>
      <c r="C2045" t="str">
        <f>"007"</f>
        <v>007</v>
      </c>
      <c r="D2045">
        <v>2004</v>
      </c>
      <c r="E2045" s="1">
        <v>98442100</v>
      </c>
      <c r="F2045" s="1">
        <v>82527700</v>
      </c>
      <c r="G2045" s="1" t="s">
        <v>11</v>
      </c>
      <c r="H2045" s="1" t="s">
        <v>38</v>
      </c>
      <c r="I2045" t="s">
        <v>13</v>
      </c>
      <c r="J2045" t="s">
        <v>13</v>
      </c>
    </row>
    <row r="2046" spans="1:11" x14ac:dyDescent="0.35">
      <c r="A2046" t="s">
        <v>5</v>
      </c>
      <c r="B2046" t="str">
        <f t="shared" si="47"/>
        <v>40292</v>
      </c>
      <c r="C2046" t="str">
        <f>"010"</f>
        <v>010</v>
      </c>
      <c r="D2046">
        <v>2008</v>
      </c>
      <c r="E2046" s="1">
        <v>15742800</v>
      </c>
      <c r="F2046" s="1">
        <v>12279200</v>
      </c>
      <c r="G2046" s="1" t="s">
        <v>11</v>
      </c>
      <c r="H2046" s="1" t="s">
        <v>38</v>
      </c>
      <c r="I2046" t="s">
        <v>13</v>
      </c>
      <c r="J2046" t="s">
        <v>13</v>
      </c>
    </row>
    <row r="2047" spans="1:11" x14ac:dyDescent="0.35">
      <c r="A2047" t="s">
        <v>5</v>
      </c>
      <c r="B2047" t="str">
        <f t="shared" si="47"/>
        <v>40292</v>
      </c>
      <c r="C2047" t="str">
        <f>"011"</f>
        <v>011</v>
      </c>
      <c r="D2047">
        <v>2010</v>
      </c>
      <c r="E2047" s="1">
        <v>43675900</v>
      </c>
      <c r="F2047" s="1">
        <v>38997900</v>
      </c>
      <c r="G2047" s="1" t="s">
        <v>11</v>
      </c>
      <c r="H2047" s="1" t="s">
        <v>38</v>
      </c>
      <c r="I2047" t="s">
        <v>13</v>
      </c>
      <c r="J2047" t="s">
        <v>13</v>
      </c>
    </row>
    <row r="2048" spans="1:11" x14ac:dyDescent="0.35">
      <c r="A2048" t="s">
        <v>5</v>
      </c>
      <c r="B2048" t="str">
        <f t="shared" si="47"/>
        <v>40292</v>
      </c>
      <c r="C2048" t="str">
        <f>"012"</f>
        <v>012</v>
      </c>
      <c r="D2048">
        <v>2011</v>
      </c>
      <c r="E2048" s="1">
        <v>0</v>
      </c>
      <c r="F2048" s="1">
        <v>-232900</v>
      </c>
      <c r="G2048" s="1" t="s">
        <v>48</v>
      </c>
      <c r="H2048" s="1" t="s">
        <v>38</v>
      </c>
      <c r="I2048" t="s">
        <v>13</v>
      </c>
      <c r="J2048" t="s">
        <v>13</v>
      </c>
    </row>
    <row r="2049" spans="1:11" x14ac:dyDescent="0.35">
      <c r="A2049" t="s">
        <v>5</v>
      </c>
      <c r="B2049" t="str">
        <f t="shared" si="47"/>
        <v>40292</v>
      </c>
      <c r="C2049" t="str">
        <f>"013"</f>
        <v>013</v>
      </c>
      <c r="D2049">
        <v>2011</v>
      </c>
      <c r="E2049" s="1">
        <v>979300</v>
      </c>
      <c r="F2049" s="1">
        <v>441900</v>
      </c>
      <c r="G2049" s="1" t="s">
        <v>11</v>
      </c>
      <c r="H2049" s="1" t="s">
        <v>38</v>
      </c>
      <c r="I2049" t="s">
        <v>13</v>
      </c>
      <c r="J2049" t="s">
        <v>13</v>
      </c>
    </row>
    <row r="2050" spans="1:11" x14ac:dyDescent="0.35">
      <c r="A2050" t="s">
        <v>5</v>
      </c>
      <c r="B2050" t="str">
        <f t="shared" si="47"/>
        <v>40292</v>
      </c>
      <c r="C2050" t="str">
        <f>"014"</f>
        <v>014</v>
      </c>
      <c r="D2050">
        <v>2015</v>
      </c>
      <c r="E2050" s="1">
        <v>17901700</v>
      </c>
      <c r="F2050" s="1">
        <v>16547400</v>
      </c>
      <c r="G2050" s="1" t="s">
        <v>11</v>
      </c>
      <c r="H2050" s="1" t="s">
        <v>38</v>
      </c>
      <c r="I2050" t="s">
        <v>13</v>
      </c>
      <c r="J2050" t="s">
        <v>13</v>
      </c>
    </row>
    <row r="2051" spans="1:11" x14ac:dyDescent="0.35">
      <c r="A2051" t="s">
        <v>5</v>
      </c>
      <c r="B2051" t="str">
        <f t="shared" si="47"/>
        <v>40292</v>
      </c>
      <c r="C2051" t="str">
        <f>"015"</f>
        <v>015</v>
      </c>
      <c r="D2051">
        <v>2016</v>
      </c>
      <c r="E2051" s="1">
        <v>40584200</v>
      </c>
      <c r="F2051" s="1">
        <v>40584200</v>
      </c>
      <c r="G2051" s="1" t="s">
        <v>11</v>
      </c>
      <c r="H2051" s="1" t="s">
        <v>38</v>
      </c>
      <c r="I2051" t="s">
        <v>13</v>
      </c>
      <c r="J2051" t="s">
        <v>13</v>
      </c>
    </row>
    <row r="2052" spans="1:11" x14ac:dyDescent="0.35">
      <c r="A2052" t="s">
        <v>5</v>
      </c>
      <c r="B2052" t="str">
        <f t="shared" si="47"/>
        <v>40292</v>
      </c>
      <c r="C2052" t="str">
        <f>"016"</f>
        <v>016</v>
      </c>
      <c r="D2052">
        <v>2018</v>
      </c>
      <c r="E2052" s="1">
        <v>17219200</v>
      </c>
      <c r="F2052" s="1">
        <v>13936000</v>
      </c>
      <c r="G2052" s="1" t="s">
        <v>11</v>
      </c>
      <c r="H2052" s="1" t="s">
        <v>38</v>
      </c>
      <c r="I2052" t="s">
        <v>13</v>
      </c>
      <c r="J2052" t="s">
        <v>13</v>
      </c>
    </row>
    <row r="2053" spans="1:11" x14ac:dyDescent="0.35">
      <c r="A2053" t="s">
        <v>5</v>
      </c>
      <c r="B2053" t="str">
        <f t="shared" si="47"/>
        <v>40292</v>
      </c>
      <c r="C2053" t="str">
        <f>"017"</f>
        <v>017</v>
      </c>
      <c r="D2053">
        <v>2019</v>
      </c>
      <c r="E2053" s="1">
        <v>35650200</v>
      </c>
      <c r="F2053" s="1">
        <v>20135700</v>
      </c>
      <c r="G2053" s="1" t="s">
        <v>11</v>
      </c>
      <c r="H2053" s="1" t="s">
        <v>38</v>
      </c>
      <c r="I2053" t="s">
        <v>13</v>
      </c>
      <c r="J2053" t="s">
        <v>13</v>
      </c>
    </row>
    <row r="2054" spans="1:11" x14ac:dyDescent="0.35">
      <c r="A2054" t="s">
        <v>5</v>
      </c>
      <c r="B2054" t="str">
        <f t="shared" si="47"/>
        <v>40292</v>
      </c>
      <c r="C2054" t="str">
        <f>"018"</f>
        <v>018</v>
      </c>
      <c r="D2054">
        <v>2020</v>
      </c>
      <c r="E2054" s="1">
        <v>8379600</v>
      </c>
      <c r="F2054" s="1">
        <v>1267500</v>
      </c>
      <c r="G2054" s="1" t="s">
        <v>11</v>
      </c>
      <c r="H2054" s="1" t="s">
        <v>38</v>
      </c>
      <c r="I2054" t="s">
        <v>13</v>
      </c>
      <c r="J2054" t="s">
        <v>13</v>
      </c>
    </row>
    <row r="2055" spans="1:11" x14ac:dyDescent="0.35">
      <c r="A2055" t="s">
        <v>39</v>
      </c>
      <c r="B2055" t="s">
        <v>13</v>
      </c>
      <c r="C2055" t="s">
        <v>7</v>
      </c>
      <c r="D2055" t="s">
        <v>8</v>
      </c>
      <c r="E2055" s="1">
        <v>341347200</v>
      </c>
      <c r="F2055" s="1">
        <v>269635100</v>
      </c>
      <c r="G2055" s="1" t="s">
        <v>11</v>
      </c>
      <c r="H2055" s="1">
        <v>4780305200</v>
      </c>
      <c r="I2055" t="s">
        <v>13</v>
      </c>
      <c r="J2055" t="s">
        <v>13</v>
      </c>
      <c r="K2055">
        <v>5.64</v>
      </c>
    </row>
    <row r="2056" spans="1:11" x14ac:dyDescent="0.35">
      <c r="E2056" s="1"/>
      <c r="F2056" s="1"/>
      <c r="G2056" s="1"/>
      <c r="H2056" s="1"/>
    </row>
    <row r="2057" spans="1:11" x14ac:dyDescent="0.35">
      <c r="A2057" t="s">
        <v>426</v>
      </c>
      <c r="B2057" t="str">
        <f>"56191"</f>
        <v>56191</v>
      </c>
      <c r="C2057" t="str">
        <f>"003"</f>
        <v>003</v>
      </c>
      <c r="D2057">
        <v>2018</v>
      </c>
      <c r="E2057" s="1">
        <v>9562100</v>
      </c>
      <c r="F2057" s="1">
        <v>-1049500</v>
      </c>
      <c r="G2057" s="1" t="s">
        <v>48</v>
      </c>
      <c r="H2057" s="1" t="s">
        <v>38</v>
      </c>
      <c r="I2057" t="s">
        <v>13</v>
      </c>
      <c r="J2057" t="s">
        <v>13</v>
      </c>
    </row>
    <row r="2058" spans="1:11" x14ac:dyDescent="0.35">
      <c r="A2058" t="s">
        <v>39</v>
      </c>
      <c r="B2058" t="s">
        <v>13</v>
      </c>
      <c r="C2058" t="s">
        <v>7</v>
      </c>
      <c r="D2058" t="s">
        <v>8</v>
      </c>
      <c r="E2058" s="1">
        <v>9562100</v>
      </c>
      <c r="F2058" s="1">
        <v>0</v>
      </c>
      <c r="G2058" s="1" t="s">
        <v>11</v>
      </c>
      <c r="H2058" s="1">
        <v>132251700</v>
      </c>
      <c r="I2058" t="s">
        <v>13</v>
      </c>
      <c r="J2058" t="s">
        <v>13</v>
      </c>
      <c r="K2058">
        <v>0</v>
      </c>
    </row>
    <row r="2059" spans="1:11" x14ac:dyDescent="0.35">
      <c r="E2059" s="1"/>
      <c r="F2059" s="1"/>
      <c r="G2059" s="1"/>
      <c r="H2059" s="1"/>
    </row>
    <row r="2060" spans="1:11" x14ac:dyDescent="0.35">
      <c r="A2060" t="s">
        <v>427</v>
      </c>
      <c r="B2060" t="str">
        <f t="shared" ref="B2060:B2071" si="48">"66291"</f>
        <v>66291</v>
      </c>
      <c r="C2060" t="str">
        <f>"003"</f>
        <v>003</v>
      </c>
      <c r="D2060">
        <v>1995</v>
      </c>
      <c r="E2060" s="1">
        <v>36297400</v>
      </c>
      <c r="F2060" s="1">
        <v>31479700</v>
      </c>
      <c r="G2060" s="1" t="s">
        <v>11</v>
      </c>
      <c r="H2060" s="1" t="s">
        <v>38</v>
      </c>
      <c r="I2060" t="s">
        <v>13</v>
      </c>
      <c r="J2060" t="s">
        <v>13</v>
      </c>
    </row>
    <row r="2061" spans="1:11" x14ac:dyDescent="0.35">
      <c r="A2061" t="s">
        <v>5</v>
      </c>
      <c r="B2061" t="str">
        <f t="shared" si="48"/>
        <v>66291</v>
      </c>
      <c r="C2061" t="str">
        <f>"004"</f>
        <v>004</v>
      </c>
      <c r="D2061">
        <v>1997</v>
      </c>
      <c r="E2061" s="1">
        <v>83000700</v>
      </c>
      <c r="F2061" s="1">
        <v>82170800</v>
      </c>
      <c r="G2061" s="1" t="s">
        <v>11</v>
      </c>
      <c r="H2061" s="1" t="s">
        <v>38</v>
      </c>
      <c r="I2061" t="s">
        <v>13</v>
      </c>
      <c r="J2061" t="s">
        <v>13</v>
      </c>
    </row>
    <row r="2062" spans="1:11" x14ac:dyDescent="0.35">
      <c r="A2062" t="s">
        <v>5</v>
      </c>
      <c r="B2062" t="str">
        <f t="shared" si="48"/>
        <v>66291</v>
      </c>
      <c r="C2062" t="str">
        <f>"005"</f>
        <v>005</v>
      </c>
      <c r="D2062">
        <v>1998</v>
      </c>
      <c r="E2062" s="1">
        <v>16659200</v>
      </c>
      <c r="F2062" s="1">
        <v>14865800</v>
      </c>
      <c r="G2062" s="1" t="s">
        <v>11</v>
      </c>
      <c r="H2062" s="1" t="s">
        <v>38</v>
      </c>
      <c r="I2062" t="s">
        <v>13</v>
      </c>
      <c r="J2062" t="s">
        <v>13</v>
      </c>
    </row>
    <row r="2063" spans="1:11" x14ac:dyDescent="0.35">
      <c r="A2063" t="s">
        <v>5</v>
      </c>
      <c r="B2063" t="str">
        <f t="shared" si="48"/>
        <v>66291</v>
      </c>
      <c r="C2063" t="str">
        <f>"006"</f>
        <v>006</v>
      </c>
      <c r="D2063">
        <v>1999</v>
      </c>
      <c r="E2063" s="1">
        <v>67735600</v>
      </c>
      <c r="F2063" s="1">
        <v>63432200</v>
      </c>
      <c r="G2063" s="1" t="s">
        <v>11</v>
      </c>
      <c r="H2063" s="1" t="s">
        <v>38</v>
      </c>
      <c r="I2063" t="s">
        <v>13</v>
      </c>
      <c r="J2063" t="s">
        <v>13</v>
      </c>
    </row>
    <row r="2064" spans="1:11" x14ac:dyDescent="0.35">
      <c r="A2064" t="s">
        <v>5</v>
      </c>
      <c r="B2064" t="str">
        <f t="shared" si="48"/>
        <v>66291</v>
      </c>
      <c r="C2064" t="str">
        <f>"007"</f>
        <v>007</v>
      </c>
      <c r="D2064">
        <v>1999</v>
      </c>
      <c r="E2064" s="1">
        <v>32155400</v>
      </c>
      <c r="F2064" s="1">
        <v>11178600</v>
      </c>
      <c r="G2064" s="1" t="s">
        <v>11</v>
      </c>
      <c r="H2064" s="1" t="s">
        <v>38</v>
      </c>
      <c r="I2064" t="s">
        <v>13</v>
      </c>
      <c r="J2064" t="s">
        <v>13</v>
      </c>
    </row>
    <row r="2065" spans="1:11" x14ac:dyDescent="0.35">
      <c r="A2065" t="s">
        <v>5</v>
      </c>
      <c r="B2065" t="str">
        <f t="shared" si="48"/>
        <v>66291</v>
      </c>
      <c r="C2065" t="str">
        <f>"008"</f>
        <v>008</v>
      </c>
      <c r="D2065">
        <v>1999</v>
      </c>
      <c r="E2065" s="1">
        <v>1432700</v>
      </c>
      <c r="F2065" s="1">
        <v>1366500</v>
      </c>
      <c r="G2065" s="1" t="s">
        <v>11</v>
      </c>
      <c r="H2065" s="1" t="s">
        <v>38</v>
      </c>
      <c r="I2065" t="s">
        <v>13</v>
      </c>
      <c r="J2065" t="s">
        <v>13</v>
      </c>
    </row>
    <row r="2066" spans="1:11" x14ac:dyDescent="0.35">
      <c r="A2066" t="s">
        <v>5</v>
      </c>
      <c r="B2066" t="str">
        <f t="shared" si="48"/>
        <v>66291</v>
      </c>
      <c r="C2066" t="str">
        <f>"009"</f>
        <v>009</v>
      </c>
      <c r="D2066">
        <v>2003</v>
      </c>
      <c r="E2066" s="1">
        <v>5824500</v>
      </c>
      <c r="F2066" s="1">
        <v>1680300</v>
      </c>
      <c r="G2066" s="1" t="s">
        <v>11</v>
      </c>
      <c r="H2066" s="1" t="s">
        <v>38</v>
      </c>
      <c r="I2066" t="s">
        <v>13</v>
      </c>
      <c r="J2066" t="s">
        <v>13</v>
      </c>
    </row>
    <row r="2067" spans="1:11" x14ac:dyDescent="0.35">
      <c r="A2067" t="s">
        <v>5</v>
      </c>
      <c r="B2067" t="str">
        <f t="shared" si="48"/>
        <v>66291</v>
      </c>
      <c r="C2067" t="str">
        <f>"010"</f>
        <v>010</v>
      </c>
      <c r="D2067">
        <v>2004</v>
      </c>
      <c r="E2067" s="1">
        <v>46356500</v>
      </c>
      <c r="F2067" s="1">
        <v>39763000</v>
      </c>
      <c r="G2067" s="1" t="s">
        <v>11</v>
      </c>
      <c r="H2067" s="1" t="s">
        <v>38</v>
      </c>
      <c r="I2067" t="s">
        <v>13</v>
      </c>
      <c r="J2067" t="s">
        <v>13</v>
      </c>
    </row>
    <row r="2068" spans="1:11" x14ac:dyDescent="0.35">
      <c r="A2068" t="s">
        <v>5</v>
      </c>
      <c r="B2068" t="str">
        <f t="shared" si="48"/>
        <v>66291</v>
      </c>
      <c r="C2068" t="str">
        <f>"011"</f>
        <v>011</v>
      </c>
      <c r="D2068">
        <v>2005</v>
      </c>
      <c r="E2068" s="1">
        <v>29854300</v>
      </c>
      <c r="F2068" s="1">
        <v>20231300</v>
      </c>
      <c r="G2068" s="1" t="s">
        <v>11</v>
      </c>
      <c r="H2068" s="1" t="s">
        <v>38</v>
      </c>
      <c r="I2068" t="s">
        <v>13</v>
      </c>
      <c r="J2068" t="s">
        <v>13</v>
      </c>
    </row>
    <row r="2069" spans="1:11" x14ac:dyDescent="0.35">
      <c r="A2069" t="s">
        <v>5</v>
      </c>
      <c r="B2069" t="str">
        <f t="shared" si="48"/>
        <v>66291</v>
      </c>
      <c r="C2069" t="str">
        <f>"012"</f>
        <v>012</v>
      </c>
      <c r="D2069">
        <v>2008</v>
      </c>
      <c r="E2069" s="1">
        <v>43800700</v>
      </c>
      <c r="F2069" s="1">
        <v>31996200</v>
      </c>
      <c r="G2069" s="1" t="s">
        <v>11</v>
      </c>
      <c r="H2069" s="1" t="s">
        <v>38</v>
      </c>
      <c r="I2069" t="s">
        <v>13</v>
      </c>
      <c r="J2069" t="s">
        <v>13</v>
      </c>
    </row>
    <row r="2070" spans="1:11" x14ac:dyDescent="0.35">
      <c r="A2070" t="s">
        <v>5</v>
      </c>
      <c r="B2070" t="str">
        <f t="shared" si="48"/>
        <v>66291</v>
      </c>
      <c r="C2070" t="str">
        <f>"013"</f>
        <v>013</v>
      </c>
      <c r="D2070">
        <v>2011</v>
      </c>
      <c r="E2070" s="1">
        <v>5515000</v>
      </c>
      <c r="F2070" s="1">
        <v>1880800</v>
      </c>
      <c r="G2070" s="1" t="s">
        <v>11</v>
      </c>
      <c r="H2070" s="1" t="s">
        <v>38</v>
      </c>
      <c r="I2070" t="s">
        <v>13</v>
      </c>
      <c r="J2070" t="s">
        <v>13</v>
      </c>
    </row>
    <row r="2071" spans="1:11" x14ac:dyDescent="0.35">
      <c r="A2071" t="s">
        <v>5</v>
      </c>
      <c r="B2071" t="str">
        <f t="shared" si="48"/>
        <v>66291</v>
      </c>
      <c r="C2071" t="str">
        <f>"014"</f>
        <v>014</v>
      </c>
      <c r="D2071">
        <v>2020</v>
      </c>
      <c r="E2071" s="1">
        <v>3688600</v>
      </c>
      <c r="F2071" s="1">
        <v>3666800</v>
      </c>
      <c r="G2071" s="1" t="s">
        <v>11</v>
      </c>
      <c r="H2071" s="1" t="s">
        <v>38</v>
      </c>
      <c r="I2071" t="s">
        <v>13</v>
      </c>
      <c r="J2071" t="s">
        <v>13</v>
      </c>
    </row>
    <row r="2072" spans="1:11" x14ac:dyDescent="0.35">
      <c r="A2072" t="s">
        <v>39</v>
      </c>
      <c r="B2072" t="s">
        <v>13</v>
      </c>
      <c r="C2072" t="s">
        <v>7</v>
      </c>
      <c r="D2072" t="s">
        <v>8</v>
      </c>
      <c r="E2072" s="1">
        <v>372320600</v>
      </c>
      <c r="F2072" s="1">
        <v>303712000</v>
      </c>
      <c r="G2072" s="1" t="s">
        <v>11</v>
      </c>
      <c r="H2072" s="1">
        <v>3483278500</v>
      </c>
      <c r="I2072" t="s">
        <v>13</v>
      </c>
      <c r="J2072" t="s">
        <v>13</v>
      </c>
      <c r="K2072">
        <v>8.7200000000000006</v>
      </c>
    </row>
    <row r="2073" spans="1:11" x14ac:dyDescent="0.35">
      <c r="E2073" s="1"/>
      <c r="F2073" s="1"/>
      <c r="G2073" s="1"/>
      <c r="H2073" s="1"/>
    </row>
    <row r="2074" spans="1:11" x14ac:dyDescent="0.35">
      <c r="A2074" t="s">
        <v>428</v>
      </c>
      <c r="B2074" t="str">
        <f>"40191"</f>
        <v>40191</v>
      </c>
      <c r="C2074" t="str">
        <f>"002"</f>
        <v>002</v>
      </c>
      <c r="D2074">
        <v>2001</v>
      </c>
      <c r="E2074" s="1">
        <v>21350400</v>
      </c>
      <c r="F2074" s="1">
        <v>16328100</v>
      </c>
      <c r="G2074" s="1" t="s">
        <v>11</v>
      </c>
      <c r="H2074" s="1" t="s">
        <v>38</v>
      </c>
      <c r="I2074" t="s">
        <v>13</v>
      </c>
      <c r="J2074" t="s">
        <v>13</v>
      </c>
    </row>
    <row r="2075" spans="1:11" x14ac:dyDescent="0.35">
      <c r="A2075" t="s">
        <v>5</v>
      </c>
      <c r="B2075" t="str">
        <f>"40191"</f>
        <v>40191</v>
      </c>
      <c r="C2075" t="str">
        <f>"003"</f>
        <v>003</v>
      </c>
      <c r="D2075">
        <v>2003</v>
      </c>
      <c r="E2075" s="1">
        <v>2686100</v>
      </c>
      <c r="F2075" s="1">
        <v>2518900</v>
      </c>
      <c r="G2075" s="1" t="s">
        <v>11</v>
      </c>
      <c r="H2075" s="1" t="s">
        <v>38</v>
      </c>
      <c r="I2075" t="s">
        <v>13</v>
      </c>
      <c r="J2075" t="s">
        <v>13</v>
      </c>
    </row>
    <row r="2076" spans="1:11" x14ac:dyDescent="0.35">
      <c r="A2076" t="s">
        <v>39</v>
      </c>
      <c r="B2076" t="s">
        <v>13</v>
      </c>
      <c r="C2076" t="s">
        <v>7</v>
      </c>
      <c r="D2076" t="s">
        <v>8</v>
      </c>
      <c r="E2076" s="1">
        <v>24036500</v>
      </c>
      <c r="F2076" s="1">
        <v>18847000</v>
      </c>
      <c r="G2076" s="1" t="s">
        <v>11</v>
      </c>
      <c r="H2076" s="1">
        <v>406900900</v>
      </c>
      <c r="I2076" t="s">
        <v>13</v>
      </c>
      <c r="J2076" t="s">
        <v>13</v>
      </c>
      <c r="K2076">
        <v>4.63</v>
      </c>
    </row>
    <row r="2077" spans="1:11" x14ac:dyDescent="0.35">
      <c r="E2077" s="1"/>
      <c r="F2077" s="1"/>
      <c r="G2077" s="1"/>
      <c r="H2077" s="1"/>
    </row>
    <row r="2078" spans="1:11" x14ac:dyDescent="0.35">
      <c r="A2078" t="s">
        <v>429</v>
      </c>
      <c r="B2078" t="str">
        <f>"32191"</f>
        <v>32191</v>
      </c>
      <c r="C2078" t="str">
        <f>"001"</f>
        <v>001</v>
      </c>
      <c r="D2078">
        <v>2007</v>
      </c>
      <c r="E2078" s="1">
        <v>27109400</v>
      </c>
      <c r="F2078" s="1">
        <v>22198600</v>
      </c>
      <c r="G2078" s="1" t="s">
        <v>11</v>
      </c>
      <c r="H2078" s="1" t="s">
        <v>38</v>
      </c>
      <c r="I2078" t="s">
        <v>13</v>
      </c>
      <c r="J2078" t="s">
        <v>13</v>
      </c>
    </row>
    <row r="2079" spans="1:11" x14ac:dyDescent="0.35">
      <c r="A2079" t="s">
        <v>39</v>
      </c>
      <c r="B2079" t="s">
        <v>13</v>
      </c>
      <c r="C2079" t="s">
        <v>7</v>
      </c>
      <c r="D2079" t="s">
        <v>8</v>
      </c>
      <c r="E2079" s="1">
        <v>27109400</v>
      </c>
      <c r="F2079" s="1">
        <v>22198600</v>
      </c>
      <c r="G2079" s="1" t="s">
        <v>11</v>
      </c>
      <c r="H2079" s="1">
        <v>515012500</v>
      </c>
      <c r="I2079" t="s">
        <v>13</v>
      </c>
      <c r="J2079" t="s">
        <v>13</v>
      </c>
      <c r="K2079">
        <v>4.3099999999999996</v>
      </c>
    </row>
    <row r="2080" spans="1:11" x14ac:dyDescent="0.35">
      <c r="E2080" s="1"/>
      <c r="F2080" s="1"/>
      <c r="G2080" s="1"/>
      <c r="H2080" s="1"/>
    </row>
    <row r="2081" spans="1:11" x14ac:dyDescent="0.35">
      <c r="A2081" t="s">
        <v>430</v>
      </c>
      <c r="B2081" t="str">
        <f>"62291"</f>
        <v>62291</v>
      </c>
      <c r="C2081" t="str">
        <f>"002"</f>
        <v>002</v>
      </c>
      <c r="D2081">
        <v>2007</v>
      </c>
      <c r="E2081" s="1">
        <v>15303300</v>
      </c>
      <c r="F2081" s="1">
        <v>9076600</v>
      </c>
      <c r="G2081" s="1" t="s">
        <v>11</v>
      </c>
      <c r="H2081" s="1" t="s">
        <v>38</v>
      </c>
      <c r="I2081" t="s">
        <v>13</v>
      </c>
      <c r="J2081" t="s">
        <v>13</v>
      </c>
    </row>
    <row r="2082" spans="1:11" x14ac:dyDescent="0.35">
      <c r="A2082" t="s">
        <v>5</v>
      </c>
      <c r="B2082" t="str">
        <f>"62291"</f>
        <v>62291</v>
      </c>
      <c r="C2082" t="str">
        <f>"003"</f>
        <v>003</v>
      </c>
      <c r="D2082">
        <v>2008</v>
      </c>
      <c r="E2082" s="1">
        <v>17689100</v>
      </c>
      <c r="F2082" s="1">
        <v>11097400</v>
      </c>
      <c r="G2082" s="1" t="s">
        <v>11</v>
      </c>
      <c r="H2082" s="1" t="s">
        <v>38</v>
      </c>
      <c r="I2082" t="s">
        <v>13</v>
      </c>
      <c r="J2082" t="s">
        <v>13</v>
      </c>
    </row>
    <row r="2083" spans="1:11" x14ac:dyDescent="0.35">
      <c r="A2083" t="s">
        <v>39</v>
      </c>
      <c r="B2083" t="s">
        <v>13</v>
      </c>
      <c r="C2083" t="s">
        <v>7</v>
      </c>
      <c r="D2083" t="s">
        <v>8</v>
      </c>
      <c r="E2083" s="1">
        <v>32992400</v>
      </c>
      <c r="F2083" s="1">
        <v>20174000</v>
      </c>
      <c r="G2083" s="1" t="s">
        <v>11</v>
      </c>
      <c r="H2083" s="1">
        <v>156335800</v>
      </c>
      <c r="I2083" t="s">
        <v>13</v>
      </c>
      <c r="J2083" t="s">
        <v>13</v>
      </c>
      <c r="K2083">
        <v>12.9</v>
      </c>
    </row>
    <row r="2084" spans="1:11" x14ac:dyDescent="0.35">
      <c r="E2084" s="1"/>
      <c r="F2084" s="1"/>
      <c r="G2084" s="1"/>
      <c r="H2084" s="1"/>
    </row>
    <row r="2085" spans="1:11" x14ac:dyDescent="0.35">
      <c r="A2085" t="s">
        <v>431</v>
      </c>
      <c r="B2085" t="str">
        <f>"39191"</f>
        <v>39191</v>
      </c>
      <c r="C2085" t="str">
        <f>"001"</f>
        <v>001</v>
      </c>
      <c r="D2085">
        <v>1993</v>
      </c>
      <c r="E2085" s="1">
        <v>14550000</v>
      </c>
      <c r="F2085" s="1">
        <v>11801500</v>
      </c>
      <c r="G2085" s="1" t="s">
        <v>11</v>
      </c>
      <c r="H2085" s="1" t="s">
        <v>38</v>
      </c>
      <c r="I2085" t="s">
        <v>13</v>
      </c>
      <c r="J2085" t="s">
        <v>13</v>
      </c>
    </row>
    <row r="2086" spans="1:11" x14ac:dyDescent="0.35">
      <c r="A2086" t="s">
        <v>39</v>
      </c>
      <c r="B2086" t="s">
        <v>13</v>
      </c>
      <c r="C2086" t="s">
        <v>7</v>
      </c>
      <c r="D2086" t="s">
        <v>8</v>
      </c>
      <c r="E2086" s="1">
        <v>14550000</v>
      </c>
      <c r="F2086" s="1">
        <v>11801500</v>
      </c>
      <c r="G2086" s="1" t="s">
        <v>11</v>
      </c>
      <c r="H2086" s="1">
        <v>66393100</v>
      </c>
      <c r="I2086" t="s">
        <v>13</v>
      </c>
      <c r="J2086" t="s">
        <v>13</v>
      </c>
      <c r="K2086">
        <v>17.78</v>
      </c>
    </row>
    <row r="2087" spans="1:11" x14ac:dyDescent="0.35">
      <c r="E2087" s="1"/>
      <c r="F2087" s="1"/>
      <c r="G2087" s="1"/>
      <c r="H2087" s="1"/>
    </row>
    <row r="2088" spans="1:11" x14ac:dyDescent="0.35">
      <c r="A2088" t="s">
        <v>432</v>
      </c>
      <c r="B2088" t="str">
        <f>"37192"</f>
        <v>37192</v>
      </c>
      <c r="C2088" t="str">
        <f>"001"</f>
        <v>001</v>
      </c>
      <c r="D2088">
        <v>1998</v>
      </c>
      <c r="E2088" s="1">
        <v>333914100</v>
      </c>
      <c r="F2088" s="1">
        <v>295262500</v>
      </c>
      <c r="G2088" s="1" t="s">
        <v>11</v>
      </c>
      <c r="H2088" s="1" t="s">
        <v>38</v>
      </c>
      <c r="I2088" t="s">
        <v>13</v>
      </c>
      <c r="J2088" t="s">
        <v>13</v>
      </c>
    </row>
    <row r="2089" spans="1:11" x14ac:dyDescent="0.35">
      <c r="A2089" t="s">
        <v>5</v>
      </c>
      <c r="B2089" t="str">
        <f>"37192"</f>
        <v>37192</v>
      </c>
      <c r="C2089" t="str">
        <f>"002"</f>
        <v>002</v>
      </c>
      <c r="D2089">
        <v>2004</v>
      </c>
      <c r="E2089" s="1">
        <v>63928400</v>
      </c>
      <c r="F2089" s="1">
        <v>29075400</v>
      </c>
      <c r="G2089" s="1" t="s">
        <v>11</v>
      </c>
      <c r="H2089" s="1" t="s">
        <v>38</v>
      </c>
      <c r="I2089" t="s">
        <v>13</v>
      </c>
      <c r="J2089" t="s">
        <v>13</v>
      </c>
    </row>
    <row r="2090" spans="1:11" x14ac:dyDescent="0.35">
      <c r="A2090" t="s">
        <v>39</v>
      </c>
      <c r="B2090" t="s">
        <v>13</v>
      </c>
      <c r="C2090" t="s">
        <v>7</v>
      </c>
      <c r="D2090" t="s">
        <v>8</v>
      </c>
      <c r="E2090" s="1">
        <v>397842500</v>
      </c>
      <c r="F2090" s="1">
        <v>324337900</v>
      </c>
      <c r="G2090" s="1" t="s">
        <v>11</v>
      </c>
      <c r="H2090" s="1">
        <v>1402109500</v>
      </c>
      <c r="I2090" t="s">
        <v>13</v>
      </c>
      <c r="J2090" t="s">
        <v>13</v>
      </c>
      <c r="K2090">
        <v>23.13</v>
      </c>
    </row>
    <row r="2091" spans="1:11" x14ac:dyDescent="0.35">
      <c r="E2091" s="1"/>
      <c r="F2091" s="1"/>
      <c r="G2091" s="1"/>
      <c r="H2091" s="1"/>
    </row>
    <row r="2092" spans="1:11" x14ac:dyDescent="0.35">
      <c r="A2092" t="s">
        <v>433</v>
      </c>
      <c r="B2092" t="str">
        <f>"68042"</f>
        <v>68042</v>
      </c>
      <c r="C2092" t="str">
        <f>"001T"</f>
        <v>001T</v>
      </c>
      <c r="D2092">
        <v>2005</v>
      </c>
      <c r="E2092" s="1">
        <v>7429700</v>
      </c>
      <c r="F2092" s="1">
        <v>5761000</v>
      </c>
      <c r="G2092" s="1" t="s">
        <v>11</v>
      </c>
      <c r="H2092" s="1" t="s">
        <v>38</v>
      </c>
      <c r="I2092" t="s">
        <v>13</v>
      </c>
      <c r="J2092" t="s">
        <v>13</v>
      </c>
    </row>
    <row r="2093" spans="1:11" x14ac:dyDescent="0.35">
      <c r="A2093" t="s">
        <v>39</v>
      </c>
      <c r="B2093" t="s">
        <v>13</v>
      </c>
      <c r="C2093" t="s">
        <v>7</v>
      </c>
      <c r="D2093" t="s">
        <v>8</v>
      </c>
      <c r="E2093" s="1">
        <v>7429700</v>
      </c>
      <c r="F2093" s="1">
        <v>5761000</v>
      </c>
      <c r="G2093" s="1" t="s">
        <v>11</v>
      </c>
      <c r="H2093" s="1">
        <v>65465700</v>
      </c>
      <c r="I2093">
        <v>8.8000000000000007</v>
      </c>
      <c r="J2093">
        <v>11.35</v>
      </c>
    </row>
    <row r="2094" spans="1:11" x14ac:dyDescent="0.35">
      <c r="A2094" t="s">
        <v>433</v>
      </c>
      <c r="B2094" t="str">
        <f>"68292"</f>
        <v>68292</v>
      </c>
      <c r="C2094" t="str">
        <f>"004"</f>
        <v>004</v>
      </c>
      <c r="D2094">
        <v>2001</v>
      </c>
      <c r="E2094" s="1">
        <v>6516300</v>
      </c>
      <c r="F2094" s="1">
        <v>6057500</v>
      </c>
      <c r="G2094" s="1" t="s">
        <v>11</v>
      </c>
      <c r="H2094" s="1" t="s">
        <v>38</v>
      </c>
      <c r="I2094" t="s">
        <v>13</v>
      </c>
      <c r="J2094" t="s">
        <v>13</v>
      </c>
    </row>
    <row r="2095" spans="1:11" x14ac:dyDescent="0.35">
      <c r="A2095" t="s">
        <v>5</v>
      </c>
      <c r="B2095" t="str">
        <f>"68292"</f>
        <v>68292</v>
      </c>
      <c r="C2095" t="str">
        <f>"005"</f>
        <v>005</v>
      </c>
      <c r="D2095">
        <v>2007</v>
      </c>
      <c r="E2095" s="1">
        <v>2593200</v>
      </c>
      <c r="F2095" s="1">
        <v>734400</v>
      </c>
      <c r="G2095" s="1" t="s">
        <v>11</v>
      </c>
      <c r="H2095" s="1" t="s">
        <v>38</v>
      </c>
      <c r="I2095" t="s">
        <v>13</v>
      </c>
      <c r="J2095" t="s">
        <v>13</v>
      </c>
    </row>
    <row r="2096" spans="1:11" x14ac:dyDescent="0.35">
      <c r="A2096" t="s">
        <v>5</v>
      </c>
      <c r="B2096" t="str">
        <f>"68292"</f>
        <v>68292</v>
      </c>
      <c r="C2096" t="str">
        <f>"006"</f>
        <v>006</v>
      </c>
      <c r="D2096">
        <v>2015</v>
      </c>
      <c r="E2096" s="1">
        <v>10958100</v>
      </c>
      <c r="F2096" s="1">
        <v>4347100</v>
      </c>
      <c r="G2096" s="1" t="s">
        <v>11</v>
      </c>
      <c r="H2096" s="1" t="s">
        <v>38</v>
      </c>
      <c r="I2096" t="s">
        <v>13</v>
      </c>
      <c r="J2096" t="s">
        <v>13</v>
      </c>
    </row>
    <row r="2097" spans="1:11" x14ac:dyDescent="0.35">
      <c r="A2097" t="s">
        <v>5</v>
      </c>
      <c r="B2097" t="str">
        <f>"68292"</f>
        <v>68292</v>
      </c>
      <c r="C2097" t="str">
        <f>"007"</f>
        <v>007</v>
      </c>
      <c r="D2097">
        <v>2015</v>
      </c>
      <c r="E2097" s="1">
        <v>1504700</v>
      </c>
      <c r="F2097" s="1">
        <v>755000</v>
      </c>
      <c r="G2097" s="1" t="s">
        <v>11</v>
      </c>
      <c r="H2097" s="1" t="s">
        <v>38</v>
      </c>
      <c r="I2097" t="s">
        <v>13</v>
      </c>
      <c r="J2097" t="s">
        <v>13</v>
      </c>
    </row>
    <row r="2098" spans="1:11" x14ac:dyDescent="0.35">
      <c r="A2098" t="s">
        <v>39</v>
      </c>
      <c r="B2098" t="s">
        <v>13</v>
      </c>
      <c r="C2098" t="s">
        <v>7</v>
      </c>
      <c r="D2098" t="s">
        <v>8</v>
      </c>
      <c r="E2098" s="1">
        <v>21572300</v>
      </c>
      <c r="F2098" s="1">
        <v>11894000</v>
      </c>
      <c r="G2098" s="1" t="s">
        <v>11</v>
      </c>
      <c r="H2098" s="1">
        <v>114218700</v>
      </c>
      <c r="I2098" t="s">
        <v>13</v>
      </c>
      <c r="J2098" t="s">
        <v>13</v>
      </c>
      <c r="K2098">
        <v>10.41</v>
      </c>
    </row>
    <row r="2099" spans="1:11" x14ac:dyDescent="0.35">
      <c r="E2099" s="1"/>
      <c r="F2099" s="1"/>
      <c r="G2099" s="1"/>
      <c r="H2099" s="1"/>
    </row>
    <row r="2100" spans="1:11" x14ac:dyDescent="0.35">
      <c r="A2100" t="s">
        <v>434</v>
      </c>
      <c r="B2100" t="str">
        <f>"54191"</f>
        <v>54191</v>
      </c>
      <c r="C2100" t="str">
        <f>"001"</f>
        <v>001</v>
      </c>
      <c r="D2100">
        <v>2013</v>
      </c>
      <c r="E2100" s="1">
        <v>12329100</v>
      </c>
      <c r="F2100" s="1">
        <v>11600400</v>
      </c>
      <c r="G2100" s="1" t="s">
        <v>11</v>
      </c>
      <c r="H2100" s="1" t="s">
        <v>38</v>
      </c>
      <c r="I2100" t="s">
        <v>13</v>
      </c>
      <c r="J2100" t="s">
        <v>13</v>
      </c>
    </row>
    <row r="2101" spans="1:11" x14ac:dyDescent="0.35">
      <c r="A2101" t="s">
        <v>39</v>
      </c>
      <c r="B2101" t="s">
        <v>13</v>
      </c>
      <c r="C2101" t="s">
        <v>7</v>
      </c>
      <c r="D2101" t="s">
        <v>8</v>
      </c>
      <c r="E2101" s="1">
        <v>12329100</v>
      </c>
      <c r="F2101" s="1">
        <v>11600400</v>
      </c>
      <c r="G2101" s="1" t="s">
        <v>11</v>
      </c>
      <c r="H2101" s="1">
        <v>18719700</v>
      </c>
      <c r="I2101" t="s">
        <v>13</v>
      </c>
      <c r="J2101" t="s">
        <v>13</v>
      </c>
      <c r="K2101">
        <v>61.97</v>
      </c>
    </row>
    <row r="2102" spans="1:11" x14ac:dyDescent="0.35">
      <c r="E2102" s="1"/>
      <c r="F2102" s="1"/>
      <c r="G2102" s="1"/>
      <c r="H2102" s="1"/>
    </row>
    <row r="2103" spans="1:11" x14ac:dyDescent="0.35">
      <c r="A2103" t="s">
        <v>435</v>
      </c>
      <c r="B2103" t="str">
        <f>"40192"</f>
        <v>40192</v>
      </c>
      <c r="C2103" t="str">
        <f>"001"</f>
        <v>001</v>
      </c>
      <c r="D2103">
        <v>2004</v>
      </c>
      <c r="E2103" s="1">
        <v>65540100</v>
      </c>
      <c r="F2103" s="1">
        <v>27136400</v>
      </c>
      <c r="G2103" s="1" t="s">
        <v>11</v>
      </c>
      <c r="H2103" s="1" t="s">
        <v>38</v>
      </c>
      <c r="I2103" t="s">
        <v>13</v>
      </c>
      <c r="J2103" t="s">
        <v>13</v>
      </c>
    </row>
    <row r="2104" spans="1:11" x14ac:dyDescent="0.35">
      <c r="A2104" t="s">
        <v>5</v>
      </c>
      <c r="B2104" t="str">
        <f>"40192"</f>
        <v>40192</v>
      </c>
      <c r="C2104" t="str">
        <f>"002"</f>
        <v>002</v>
      </c>
      <c r="D2104">
        <v>2013</v>
      </c>
      <c r="E2104" s="1">
        <v>16885800</v>
      </c>
      <c r="F2104" s="1">
        <v>16480200</v>
      </c>
      <c r="G2104" s="1" t="s">
        <v>11</v>
      </c>
      <c r="H2104" s="1" t="s">
        <v>38</v>
      </c>
      <c r="I2104" t="s">
        <v>13</v>
      </c>
      <c r="J2104" t="s">
        <v>13</v>
      </c>
    </row>
    <row r="2105" spans="1:11" x14ac:dyDescent="0.35">
      <c r="A2105" t="s">
        <v>39</v>
      </c>
      <c r="B2105" t="s">
        <v>13</v>
      </c>
      <c r="C2105" t="s">
        <v>7</v>
      </c>
      <c r="D2105" t="s">
        <v>8</v>
      </c>
      <c r="E2105" s="1">
        <v>82425900</v>
      </c>
      <c r="F2105" s="1">
        <v>43616600</v>
      </c>
      <c r="G2105" s="1" t="s">
        <v>11</v>
      </c>
      <c r="H2105" s="1">
        <v>2563353300</v>
      </c>
      <c r="I2105" t="s">
        <v>13</v>
      </c>
      <c r="J2105" t="s">
        <v>13</v>
      </c>
      <c r="K2105">
        <v>1.7</v>
      </c>
    </row>
    <row r="2106" spans="1:11" x14ac:dyDescent="0.35">
      <c r="E2106" s="1"/>
      <c r="F2106" s="1"/>
      <c r="G2106" s="1"/>
      <c r="H2106" s="1"/>
    </row>
    <row r="2107" spans="1:11" x14ac:dyDescent="0.35">
      <c r="A2107" t="s">
        <v>436</v>
      </c>
      <c r="B2107" t="str">
        <f>"61291"</f>
        <v>61291</v>
      </c>
      <c r="C2107" t="str">
        <f>"002"</f>
        <v>002</v>
      </c>
      <c r="D2107">
        <v>2006</v>
      </c>
      <c r="E2107" s="1">
        <v>6411900</v>
      </c>
      <c r="F2107" s="1">
        <v>5422800</v>
      </c>
      <c r="G2107" s="1" t="s">
        <v>11</v>
      </c>
      <c r="H2107" s="1" t="s">
        <v>38</v>
      </c>
      <c r="I2107" t="s">
        <v>13</v>
      </c>
      <c r="J2107" t="s">
        <v>13</v>
      </c>
    </row>
    <row r="2108" spans="1:11" x14ac:dyDescent="0.35">
      <c r="A2108" t="s">
        <v>5</v>
      </c>
      <c r="B2108" t="str">
        <f>"61291"</f>
        <v>61291</v>
      </c>
      <c r="C2108" t="str">
        <f>"003"</f>
        <v>003</v>
      </c>
      <c r="D2108">
        <v>2006</v>
      </c>
      <c r="E2108" s="1">
        <v>20738000</v>
      </c>
      <c r="F2108" s="1">
        <v>13032000</v>
      </c>
      <c r="G2108" s="1" t="s">
        <v>11</v>
      </c>
      <c r="H2108" s="1" t="s">
        <v>38</v>
      </c>
      <c r="I2108" t="s">
        <v>13</v>
      </c>
      <c r="J2108" t="s">
        <v>13</v>
      </c>
    </row>
    <row r="2109" spans="1:11" x14ac:dyDescent="0.35">
      <c r="A2109" t="s">
        <v>39</v>
      </c>
      <c r="B2109" t="s">
        <v>13</v>
      </c>
      <c r="C2109" t="s">
        <v>7</v>
      </c>
      <c r="D2109" t="s">
        <v>8</v>
      </c>
      <c r="E2109" s="1">
        <v>27149900</v>
      </c>
      <c r="F2109" s="1">
        <v>18454800</v>
      </c>
      <c r="G2109" s="1" t="s">
        <v>11</v>
      </c>
      <c r="H2109" s="1">
        <v>115817100</v>
      </c>
      <c r="I2109" t="s">
        <v>13</v>
      </c>
      <c r="J2109" t="s">
        <v>13</v>
      </c>
      <c r="K2109">
        <v>15.93</v>
      </c>
    </row>
    <row r="2110" spans="1:11" x14ac:dyDescent="0.35">
      <c r="E2110" s="1"/>
      <c r="F2110" s="1"/>
      <c r="G2110" s="1"/>
      <c r="H2110" s="1"/>
    </row>
    <row r="2111" spans="1:11" x14ac:dyDescent="0.35">
      <c r="A2111" t="s">
        <v>437</v>
      </c>
      <c r="B2111" t="str">
        <f>"36191"</f>
        <v>36191</v>
      </c>
      <c r="C2111" t="str">
        <f>"002"</f>
        <v>002</v>
      </c>
      <c r="D2111">
        <v>2010</v>
      </c>
      <c r="E2111" s="1">
        <v>3983100</v>
      </c>
      <c r="F2111" s="1">
        <v>1693000</v>
      </c>
      <c r="G2111" s="1" t="s">
        <v>11</v>
      </c>
      <c r="H2111" s="1" t="s">
        <v>38</v>
      </c>
      <c r="I2111" t="s">
        <v>13</v>
      </c>
      <c r="J2111" t="s">
        <v>13</v>
      </c>
    </row>
    <row r="2112" spans="1:11" x14ac:dyDescent="0.35">
      <c r="A2112" t="s">
        <v>39</v>
      </c>
      <c r="B2112" t="s">
        <v>13</v>
      </c>
      <c r="C2112" t="s">
        <v>7</v>
      </c>
      <c r="D2112" t="s">
        <v>8</v>
      </c>
      <c r="E2112" s="1">
        <v>3983100</v>
      </c>
      <c r="F2112" s="1">
        <v>1693000</v>
      </c>
      <c r="G2112" s="1" t="s">
        <v>11</v>
      </c>
      <c r="H2112" s="1">
        <v>44319100</v>
      </c>
      <c r="I2112" t="s">
        <v>13</v>
      </c>
      <c r="J2112" t="s">
        <v>13</v>
      </c>
      <c r="K2112">
        <v>3.82</v>
      </c>
    </row>
    <row r="2113" spans="1:11" x14ac:dyDescent="0.35">
      <c r="E2113" s="1"/>
      <c r="F2113" s="1"/>
      <c r="G2113" s="1"/>
      <c r="H2113" s="1"/>
    </row>
    <row r="2114" spans="1:11" x14ac:dyDescent="0.35">
      <c r="A2114" t="s">
        <v>438</v>
      </c>
      <c r="B2114" t="str">
        <f>"64291"</f>
        <v>64291</v>
      </c>
      <c r="C2114" t="str">
        <f>"004"</f>
        <v>004</v>
      </c>
      <c r="D2114">
        <v>1990</v>
      </c>
      <c r="E2114" s="1">
        <v>86539700</v>
      </c>
      <c r="F2114" s="1">
        <v>65062600</v>
      </c>
      <c r="G2114" s="1" t="s">
        <v>11</v>
      </c>
      <c r="H2114" s="1" t="s">
        <v>38</v>
      </c>
      <c r="I2114" t="s">
        <v>13</v>
      </c>
      <c r="J2114" t="s">
        <v>13</v>
      </c>
    </row>
    <row r="2115" spans="1:11" x14ac:dyDescent="0.35">
      <c r="A2115" t="s">
        <v>5</v>
      </c>
      <c r="B2115" t="str">
        <f>"28292"</f>
        <v>28292</v>
      </c>
      <c r="C2115" t="str">
        <f>"004"</f>
        <v>004</v>
      </c>
      <c r="D2115">
        <v>1990</v>
      </c>
      <c r="E2115" s="1">
        <v>33862500</v>
      </c>
      <c r="F2115" s="1">
        <v>31926100</v>
      </c>
      <c r="G2115" s="1" t="s">
        <v>11</v>
      </c>
      <c r="H2115" s="1" t="s">
        <v>38</v>
      </c>
      <c r="I2115" t="s">
        <v>13</v>
      </c>
      <c r="J2115" t="s">
        <v>13</v>
      </c>
    </row>
    <row r="2116" spans="1:11" x14ac:dyDescent="0.35">
      <c r="A2116" t="s">
        <v>39</v>
      </c>
      <c r="B2116" t="s">
        <v>13</v>
      </c>
      <c r="C2116" t="s">
        <v>7</v>
      </c>
      <c r="D2116" t="s">
        <v>8</v>
      </c>
      <c r="E2116" s="1">
        <v>120402200</v>
      </c>
      <c r="F2116" s="1">
        <v>96988700</v>
      </c>
      <c r="G2116" s="1" t="s">
        <v>11</v>
      </c>
      <c r="H2116" s="1">
        <v>802302500</v>
      </c>
      <c r="I2116" t="s">
        <v>13</v>
      </c>
      <c r="J2116" t="s">
        <v>13</v>
      </c>
      <c r="K2116">
        <v>12.09</v>
      </c>
    </row>
    <row r="2117" spans="1:11" x14ac:dyDescent="0.35">
      <c r="E2117" s="1"/>
      <c r="F2117" s="1"/>
      <c r="G2117" s="1"/>
      <c r="H2117" s="1"/>
    </row>
    <row r="2118" spans="1:11" x14ac:dyDescent="0.35">
      <c r="A2118" t="s">
        <v>439</v>
      </c>
      <c r="B2118" t="str">
        <f>"49191"</f>
        <v>49191</v>
      </c>
      <c r="C2118" t="str">
        <f>"001"</f>
        <v>001</v>
      </c>
      <c r="D2118">
        <v>1994</v>
      </c>
      <c r="E2118" s="1">
        <v>5302000</v>
      </c>
      <c r="F2118" s="1">
        <v>3597200</v>
      </c>
      <c r="G2118" s="1" t="s">
        <v>11</v>
      </c>
      <c r="H2118" s="1" t="s">
        <v>38</v>
      </c>
      <c r="I2118" t="s">
        <v>13</v>
      </c>
      <c r="J2118" t="s">
        <v>13</v>
      </c>
    </row>
    <row r="2119" spans="1:11" x14ac:dyDescent="0.35">
      <c r="A2119" t="s">
        <v>39</v>
      </c>
      <c r="B2119" t="s">
        <v>13</v>
      </c>
      <c r="C2119" t="s">
        <v>7</v>
      </c>
      <c r="D2119" t="s">
        <v>8</v>
      </c>
      <c r="E2119" s="1">
        <v>5302000</v>
      </c>
      <c r="F2119" s="1">
        <v>3597200</v>
      </c>
      <c r="G2119" s="1" t="s">
        <v>11</v>
      </c>
      <c r="H2119" s="1">
        <v>146256900</v>
      </c>
      <c r="I2119" t="s">
        <v>13</v>
      </c>
      <c r="J2119" t="s">
        <v>13</v>
      </c>
      <c r="K2119">
        <v>2.46</v>
      </c>
    </row>
    <row r="2120" spans="1:11" x14ac:dyDescent="0.35">
      <c r="E2120" s="1"/>
      <c r="F2120" s="1"/>
      <c r="G2120" s="1"/>
      <c r="H2120" s="1"/>
    </row>
    <row r="2121" spans="1:11" x14ac:dyDescent="0.35">
      <c r="A2121" t="s">
        <v>440</v>
      </c>
      <c r="B2121" t="str">
        <f>"69191"</f>
        <v>69191</v>
      </c>
      <c r="C2121" t="str">
        <f>"002"</f>
        <v>002</v>
      </c>
      <c r="D2121">
        <v>2000</v>
      </c>
      <c r="E2121" s="1">
        <v>2371000</v>
      </c>
      <c r="F2121" s="1">
        <v>1366000</v>
      </c>
      <c r="G2121" s="1" t="s">
        <v>11</v>
      </c>
      <c r="H2121" s="1" t="s">
        <v>38</v>
      </c>
      <c r="I2121" t="s">
        <v>13</v>
      </c>
      <c r="J2121" t="s">
        <v>13</v>
      </c>
    </row>
    <row r="2122" spans="1:11" x14ac:dyDescent="0.35">
      <c r="A2122" t="s">
        <v>5</v>
      </c>
      <c r="B2122" t="str">
        <f>"69191"</f>
        <v>69191</v>
      </c>
      <c r="C2122" t="str">
        <f>"003"</f>
        <v>003</v>
      </c>
      <c r="D2122">
        <v>2006</v>
      </c>
      <c r="E2122" s="1">
        <v>2590000</v>
      </c>
      <c r="F2122" s="1">
        <v>1754400</v>
      </c>
      <c r="G2122" s="1" t="s">
        <v>11</v>
      </c>
      <c r="H2122" s="1" t="s">
        <v>38</v>
      </c>
      <c r="I2122" t="s">
        <v>13</v>
      </c>
      <c r="J2122" t="s">
        <v>13</v>
      </c>
    </row>
    <row r="2123" spans="1:11" x14ac:dyDescent="0.35">
      <c r="A2123" t="s">
        <v>39</v>
      </c>
      <c r="B2123" t="s">
        <v>13</v>
      </c>
      <c r="C2123" t="s">
        <v>7</v>
      </c>
      <c r="D2123" t="s">
        <v>8</v>
      </c>
      <c r="E2123" s="1">
        <v>4961000</v>
      </c>
      <c r="F2123" s="1">
        <v>3120400</v>
      </c>
      <c r="G2123" s="1" t="s">
        <v>11</v>
      </c>
      <c r="H2123" s="1">
        <v>37937300</v>
      </c>
      <c r="I2123" t="s">
        <v>13</v>
      </c>
      <c r="J2123" t="s">
        <v>13</v>
      </c>
      <c r="K2123">
        <v>8.23</v>
      </c>
    </row>
    <row r="2124" spans="1:11" x14ac:dyDescent="0.35">
      <c r="E2124" s="1"/>
      <c r="F2124" s="1"/>
      <c r="G2124" s="1"/>
      <c r="H2124" s="1"/>
    </row>
    <row r="2125" spans="1:11" x14ac:dyDescent="0.35">
      <c r="A2125" t="s">
        <v>441</v>
      </c>
      <c r="B2125" t="str">
        <f>"41191"</f>
        <v>41191</v>
      </c>
      <c r="C2125" t="str">
        <f>"002"</f>
        <v>002</v>
      </c>
      <c r="D2125">
        <v>1998</v>
      </c>
      <c r="E2125" s="1">
        <v>20333700</v>
      </c>
      <c r="F2125" s="1">
        <v>18072200</v>
      </c>
      <c r="G2125" s="1" t="s">
        <v>11</v>
      </c>
      <c r="H2125" s="1" t="s">
        <v>38</v>
      </c>
      <c r="I2125" t="s">
        <v>13</v>
      </c>
      <c r="J2125" t="s">
        <v>13</v>
      </c>
    </row>
    <row r="2126" spans="1:11" x14ac:dyDescent="0.35">
      <c r="A2126" t="s">
        <v>39</v>
      </c>
      <c r="B2126" t="s">
        <v>13</v>
      </c>
      <c r="C2126" t="s">
        <v>7</v>
      </c>
      <c r="D2126" t="s">
        <v>8</v>
      </c>
      <c r="E2126" s="1">
        <v>20333700</v>
      </c>
      <c r="F2126" s="1">
        <v>18072200</v>
      </c>
      <c r="G2126" s="1" t="s">
        <v>11</v>
      </c>
      <c r="H2126" s="1">
        <v>34732200</v>
      </c>
      <c r="I2126" t="s">
        <v>13</v>
      </c>
      <c r="J2126" t="s">
        <v>13</v>
      </c>
      <c r="K2126">
        <v>52.03</v>
      </c>
    </row>
    <row r="2127" spans="1:11" x14ac:dyDescent="0.35">
      <c r="E2127" s="1"/>
      <c r="F2127" s="1"/>
      <c r="G2127" s="1"/>
      <c r="H2127" s="1"/>
    </row>
    <row r="2128" spans="1:11" x14ac:dyDescent="0.35">
      <c r="A2128" t="s">
        <v>442</v>
      </c>
      <c r="B2128" t="str">
        <f>"13196"</f>
        <v>13196</v>
      </c>
      <c r="C2128" t="str">
        <f>"001"</f>
        <v>001</v>
      </c>
      <c r="D2128">
        <v>2014</v>
      </c>
      <c r="E2128" s="1">
        <v>24241000</v>
      </c>
      <c r="F2128" s="1">
        <v>23858400</v>
      </c>
      <c r="G2128" s="1" t="s">
        <v>11</v>
      </c>
      <c r="H2128" s="1" t="s">
        <v>38</v>
      </c>
      <c r="I2128" t="s">
        <v>13</v>
      </c>
      <c r="J2128" t="s">
        <v>13</v>
      </c>
    </row>
    <row r="2129" spans="1:11" x14ac:dyDescent="0.35">
      <c r="A2129" t="s">
        <v>39</v>
      </c>
      <c r="B2129" t="s">
        <v>13</v>
      </c>
      <c r="C2129" t="s">
        <v>7</v>
      </c>
      <c r="D2129" t="s">
        <v>8</v>
      </c>
      <c r="E2129" s="1">
        <v>24241000</v>
      </c>
      <c r="F2129" s="1">
        <v>23858400</v>
      </c>
      <c r="G2129" s="1" t="s">
        <v>11</v>
      </c>
      <c r="H2129" s="1">
        <v>1129675800</v>
      </c>
      <c r="I2129" t="s">
        <v>13</v>
      </c>
      <c r="J2129" t="s">
        <v>13</v>
      </c>
      <c r="K2129">
        <v>2.11</v>
      </c>
    </row>
    <row r="2130" spans="1:11" x14ac:dyDescent="0.35">
      <c r="E2130" s="1"/>
      <c r="F2130" s="1"/>
      <c r="G2130" s="1"/>
      <c r="H2130" s="1"/>
    </row>
    <row r="2131" spans="1:11" x14ac:dyDescent="0.35">
      <c r="A2131" t="s">
        <v>443</v>
      </c>
      <c r="B2131" t="str">
        <f>"70191"</f>
        <v>70191</v>
      </c>
      <c r="C2131" t="str">
        <f>"003"</f>
        <v>003</v>
      </c>
      <c r="D2131">
        <v>1996</v>
      </c>
      <c r="E2131" s="1">
        <v>6700500</v>
      </c>
      <c r="F2131" s="1">
        <v>2054200</v>
      </c>
      <c r="G2131" s="1" t="s">
        <v>11</v>
      </c>
      <c r="H2131" s="1" t="s">
        <v>38</v>
      </c>
      <c r="I2131" t="s">
        <v>13</v>
      </c>
      <c r="J2131" t="s">
        <v>13</v>
      </c>
    </row>
    <row r="2132" spans="1:11" x14ac:dyDescent="0.35">
      <c r="A2132" t="s">
        <v>5</v>
      </c>
      <c r="B2132" t="str">
        <f>"70191"</f>
        <v>70191</v>
      </c>
      <c r="C2132" t="str">
        <f>"005"</f>
        <v>005</v>
      </c>
      <c r="D2132">
        <v>2000</v>
      </c>
      <c r="E2132" s="1">
        <v>14346200</v>
      </c>
      <c r="F2132" s="1">
        <v>9594600</v>
      </c>
      <c r="G2132" s="1" t="s">
        <v>11</v>
      </c>
      <c r="H2132" s="1" t="s">
        <v>38</v>
      </c>
      <c r="I2132" t="s">
        <v>13</v>
      </c>
      <c r="J2132" t="s">
        <v>13</v>
      </c>
    </row>
    <row r="2133" spans="1:11" x14ac:dyDescent="0.35">
      <c r="A2133" t="s">
        <v>5</v>
      </c>
      <c r="B2133" t="str">
        <f>"70191"</f>
        <v>70191</v>
      </c>
      <c r="C2133" t="str">
        <f>"006"</f>
        <v>006</v>
      </c>
      <c r="D2133">
        <v>2000</v>
      </c>
      <c r="E2133" s="1">
        <v>5589400</v>
      </c>
      <c r="F2133" s="1">
        <v>4759900</v>
      </c>
      <c r="G2133" s="1" t="s">
        <v>11</v>
      </c>
      <c r="H2133" s="1" t="s">
        <v>38</v>
      </c>
      <c r="I2133" t="s">
        <v>13</v>
      </c>
      <c r="J2133" t="s">
        <v>13</v>
      </c>
    </row>
    <row r="2134" spans="1:11" x14ac:dyDescent="0.35">
      <c r="A2134" t="s">
        <v>5</v>
      </c>
      <c r="B2134" t="str">
        <f>"70191"</f>
        <v>70191</v>
      </c>
      <c r="C2134" t="str">
        <f>"007"</f>
        <v>007</v>
      </c>
      <c r="D2134">
        <v>2002</v>
      </c>
      <c r="E2134" s="1">
        <v>9086700</v>
      </c>
      <c r="F2134" s="1">
        <v>7016400</v>
      </c>
      <c r="G2134" s="1" t="s">
        <v>11</v>
      </c>
      <c r="H2134" s="1" t="s">
        <v>38</v>
      </c>
      <c r="I2134" t="s">
        <v>13</v>
      </c>
      <c r="J2134" t="s">
        <v>13</v>
      </c>
    </row>
    <row r="2135" spans="1:11" x14ac:dyDescent="0.35">
      <c r="A2135" t="s">
        <v>5</v>
      </c>
      <c r="B2135" t="str">
        <f>"70191"</f>
        <v>70191</v>
      </c>
      <c r="C2135" t="str">
        <f>"008"</f>
        <v>008</v>
      </c>
      <c r="D2135">
        <v>2011</v>
      </c>
      <c r="E2135" s="1">
        <v>2117900</v>
      </c>
      <c r="F2135" s="1">
        <v>2117900</v>
      </c>
      <c r="G2135" s="1" t="s">
        <v>11</v>
      </c>
      <c r="H2135" s="1" t="s">
        <v>38</v>
      </c>
      <c r="I2135" t="s">
        <v>13</v>
      </c>
      <c r="J2135" t="s">
        <v>13</v>
      </c>
    </row>
    <row r="2136" spans="1:11" x14ac:dyDescent="0.35">
      <c r="A2136" t="s">
        <v>39</v>
      </c>
      <c r="B2136" t="s">
        <v>13</v>
      </c>
      <c r="C2136" t="s">
        <v>7</v>
      </c>
      <c r="D2136" t="s">
        <v>8</v>
      </c>
      <c r="E2136" s="1">
        <v>37840700</v>
      </c>
      <c r="F2136" s="1">
        <v>25543000</v>
      </c>
      <c r="G2136" s="1" t="s">
        <v>11</v>
      </c>
      <c r="H2136" s="1">
        <v>257227100</v>
      </c>
      <c r="I2136" t="s">
        <v>13</v>
      </c>
      <c r="J2136" t="s">
        <v>13</v>
      </c>
      <c r="K2136">
        <v>9.93</v>
      </c>
    </row>
    <row r="2137" spans="1:11" x14ac:dyDescent="0.35">
      <c r="E2137" s="1"/>
      <c r="F2137" s="1"/>
      <c r="G2137" s="1"/>
      <c r="H2137" s="1"/>
    </row>
    <row r="2138" spans="1:11" x14ac:dyDescent="0.35">
      <c r="A2138" t="s">
        <v>444</v>
      </c>
      <c r="B2138" t="str">
        <f>"56291"</f>
        <v>56291</v>
      </c>
      <c r="C2138" t="str">
        <f>"002"</f>
        <v>002</v>
      </c>
      <c r="D2138">
        <v>2001</v>
      </c>
      <c r="E2138" s="1">
        <v>40293200</v>
      </c>
      <c r="F2138" s="1">
        <v>24710600</v>
      </c>
      <c r="G2138" s="1" t="s">
        <v>11</v>
      </c>
      <c r="H2138" s="1" t="s">
        <v>38</v>
      </c>
      <c r="I2138" t="s">
        <v>13</v>
      </c>
      <c r="J2138" t="s">
        <v>13</v>
      </c>
    </row>
    <row r="2139" spans="1:11" x14ac:dyDescent="0.35">
      <c r="A2139" t="s">
        <v>5</v>
      </c>
      <c r="B2139" t="str">
        <f>"56291"</f>
        <v>56291</v>
      </c>
      <c r="C2139" t="str">
        <f>"003"</f>
        <v>003</v>
      </c>
      <c r="D2139">
        <v>2005</v>
      </c>
      <c r="E2139" s="1">
        <v>4655700</v>
      </c>
      <c r="F2139" s="1">
        <v>2690500</v>
      </c>
      <c r="G2139" s="1" t="s">
        <v>11</v>
      </c>
      <c r="H2139" s="1" t="s">
        <v>38</v>
      </c>
      <c r="I2139" t="s">
        <v>13</v>
      </c>
      <c r="J2139" t="s">
        <v>13</v>
      </c>
    </row>
    <row r="2140" spans="1:11" x14ac:dyDescent="0.35">
      <c r="A2140" t="s">
        <v>5</v>
      </c>
      <c r="B2140" t="str">
        <f>"11291"</f>
        <v>11291</v>
      </c>
      <c r="C2140" t="str">
        <f>"003"</f>
        <v>003</v>
      </c>
      <c r="D2140">
        <v>2005</v>
      </c>
      <c r="E2140" s="1">
        <v>33136900</v>
      </c>
      <c r="F2140" s="1">
        <v>17781500</v>
      </c>
      <c r="G2140" s="1" t="s">
        <v>11</v>
      </c>
      <c r="H2140" s="1" t="s">
        <v>38</v>
      </c>
      <c r="I2140" t="s">
        <v>13</v>
      </c>
      <c r="J2140" t="s">
        <v>13</v>
      </c>
    </row>
    <row r="2141" spans="1:11" x14ac:dyDescent="0.35">
      <c r="A2141" t="s">
        <v>5</v>
      </c>
      <c r="B2141" t="str">
        <f>"01291"</f>
        <v>01291</v>
      </c>
      <c r="C2141" t="str">
        <f>"003"</f>
        <v>003</v>
      </c>
      <c r="D2141">
        <v>2005</v>
      </c>
      <c r="E2141" s="1">
        <v>67742600</v>
      </c>
      <c r="F2141" s="1">
        <v>65593400</v>
      </c>
      <c r="G2141" s="1" t="s">
        <v>11</v>
      </c>
      <c r="H2141" s="1" t="s">
        <v>38</v>
      </c>
      <c r="I2141" t="s">
        <v>13</v>
      </c>
      <c r="J2141" t="s">
        <v>13</v>
      </c>
    </row>
    <row r="2142" spans="1:11" x14ac:dyDescent="0.35">
      <c r="A2142" t="s">
        <v>5</v>
      </c>
      <c r="B2142" t="str">
        <f>"29291"</f>
        <v>29291</v>
      </c>
      <c r="C2142" t="str">
        <f>"004"</f>
        <v>004</v>
      </c>
      <c r="D2142">
        <v>2006</v>
      </c>
      <c r="E2142" s="1">
        <v>520300</v>
      </c>
      <c r="F2142" s="1">
        <v>-29400</v>
      </c>
      <c r="G2142" s="1" t="s">
        <v>48</v>
      </c>
      <c r="H2142" s="1" t="s">
        <v>38</v>
      </c>
      <c r="I2142" t="s">
        <v>13</v>
      </c>
      <c r="J2142" t="s">
        <v>13</v>
      </c>
    </row>
    <row r="2143" spans="1:11" x14ac:dyDescent="0.35">
      <c r="A2143" t="s">
        <v>5</v>
      </c>
      <c r="B2143" t="str">
        <f>"56291"</f>
        <v>56291</v>
      </c>
      <c r="C2143" t="str">
        <f>"004"</f>
        <v>004</v>
      </c>
      <c r="D2143">
        <v>2006</v>
      </c>
      <c r="E2143" s="1">
        <v>4050800</v>
      </c>
      <c r="F2143" s="1">
        <v>2586700</v>
      </c>
      <c r="G2143" s="1" t="s">
        <v>11</v>
      </c>
      <c r="H2143" s="1" t="s">
        <v>38</v>
      </c>
      <c r="I2143" t="s">
        <v>13</v>
      </c>
      <c r="J2143" t="s">
        <v>13</v>
      </c>
    </row>
    <row r="2144" spans="1:11" x14ac:dyDescent="0.35">
      <c r="A2144" t="s">
        <v>39</v>
      </c>
      <c r="B2144" t="s">
        <v>13</v>
      </c>
      <c r="C2144" t="s">
        <v>7</v>
      </c>
      <c r="D2144" t="s">
        <v>8</v>
      </c>
      <c r="E2144" s="1">
        <v>150399500</v>
      </c>
      <c r="F2144" s="1">
        <v>113362700</v>
      </c>
      <c r="G2144" s="1" t="s">
        <v>11</v>
      </c>
      <c r="H2144" s="1">
        <v>500416300</v>
      </c>
      <c r="I2144" t="s">
        <v>13</v>
      </c>
      <c r="J2144" t="s">
        <v>13</v>
      </c>
      <c r="K2144">
        <v>22.65</v>
      </c>
    </row>
    <row r="2145" spans="1:11" x14ac:dyDescent="0.35">
      <c r="E2145" s="1"/>
      <c r="F2145" s="1"/>
      <c r="G2145" s="1"/>
      <c r="H2145" s="1"/>
    </row>
    <row r="2146" spans="1:11" x14ac:dyDescent="0.35">
      <c r="A2146" t="s">
        <v>445</v>
      </c>
      <c r="B2146" t="str">
        <f>"71291"</f>
        <v>71291</v>
      </c>
      <c r="C2146" t="str">
        <f>"006"</f>
        <v>006</v>
      </c>
      <c r="D2146">
        <v>2004</v>
      </c>
      <c r="E2146" s="1">
        <v>15823400</v>
      </c>
      <c r="F2146" s="1">
        <v>11908300</v>
      </c>
      <c r="G2146" s="1" t="s">
        <v>11</v>
      </c>
      <c r="H2146" s="1" t="s">
        <v>38</v>
      </c>
      <c r="I2146" t="s">
        <v>13</v>
      </c>
      <c r="J2146" t="s">
        <v>13</v>
      </c>
    </row>
    <row r="2147" spans="1:11" x14ac:dyDescent="0.35">
      <c r="A2147" t="s">
        <v>5</v>
      </c>
      <c r="B2147" t="str">
        <f>"71291"</f>
        <v>71291</v>
      </c>
      <c r="C2147" t="str">
        <f>"007"</f>
        <v>007</v>
      </c>
      <c r="D2147">
        <v>2005</v>
      </c>
      <c r="E2147" s="1">
        <v>44051100</v>
      </c>
      <c r="F2147" s="1">
        <v>9101400</v>
      </c>
      <c r="G2147" s="1" t="s">
        <v>11</v>
      </c>
      <c r="H2147" s="1" t="s">
        <v>38</v>
      </c>
      <c r="I2147" t="s">
        <v>13</v>
      </c>
      <c r="J2147" t="s">
        <v>13</v>
      </c>
    </row>
    <row r="2148" spans="1:11" x14ac:dyDescent="0.35">
      <c r="A2148" t="s">
        <v>5</v>
      </c>
      <c r="B2148" t="str">
        <f>"71291"</f>
        <v>71291</v>
      </c>
      <c r="C2148" t="str">
        <f>"008"</f>
        <v>008</v>
      </c>
      <c r="D2148">
        <v>2019</v>
      </c>
      <c r="E2148" s="1">
        <v>26320000</v>
      </c>
      <c r="F2148" s="1">
        <v>26320000</v>
      </c>
      <c r="G2148" s="1" t="s">
        <v>11</v>
      </c>
      <c r="H2148" s="1" t="s">
        <v>38</v>
      </c>
      <c r="I2148" t="s">
        <v>13</v>
      </c>
      <c r="J2148" t="s">
        <v>13</v>
      </c>
    </row>
    <row r="2149" spans="1:11" x14ac:dyDescent="0.35">
      <c r="A2149" t="s">
        <v>39</v>
      </c>
      <c r="B2149" t="s">
        <v>13</v>
      </c>
      <c r="C2149" t="s">
        <v>7</v>
      </c>
      <c r="D2149" t="s">
        <v>8</v>
      </c>
      <c r="E2149" s="1">
        <v>86194500</v>
      </c>
      <c r="F2149" s="1">
        <v>47329700</v>
      </c>
      <c r="G2149" s="1" t="s">
        <v>11</v>
      </c>
      <c r="H2149" s="1">
        <v>1215928800</v>
      </c>
      <c r="I2149" t="s">
        <v>13</v>
      </c>
      <c r="J2149" t="s">
        <v>13</v>
      </c>
      <c r="K2149">
        <v>3.89</v>
      </c>
    </row>
    <row r="2150" spans="1:11" x14ac:dyDescent="0.35">
      <c r="E2150" s="1"/>
      <c r="F2150" s="1"/>
      <c r="G2150" s="1"/>
      <c r="H2150" s="1"/>
    </row>
    <row r="2151" spans="1:11" x14ac:dyDescent="0.35">
      <c r="A2151" t="s">
        <v>446</v>
      </c>
      <c r="B2151" t="str">
        <f>"10191"</f>
        <v>10191</v>
      </c>
      <c r="C2151" t="str">
        <f>"001"</f>
        <v>001</v>
      </c>
      <c r="D2151">
        <v>1996</v>
      </c>
      <c r="E2151" s="1">
        <v>3099700</v>
      </c>
      <c r="F2151" s="1">
        <v>2599900</v>
      </c>
      <c r="G2151" s="1" t="s">
        <v>11</v>
      </c>
      <c r="H2151" s="1" t="s">
        <v>38</v>
      </c>
      <c r="I2151" t="s">
        <v>13</v>
      </c>
      <c r="J2151" t="s">
        <v>13</v>
      </c>
    </row>
    <row r="2152" spans="1:11" x14ac:dyDescent="0.35">
      <c r="A2152" t="s">
        <v>5</v>
      </c>
      <c r="B2152" t="str">
        <f>"10191"</f>
        <v>10191</v>
      </c>
      <c r="C2152" t="str">
        <f>"002"</f>
        <v>002</v>
      </c>
      <c r="D2152">
        <v>2010</v>
      </c>
      <c r="E2152" s="1">
        <v>1193000</v>
      </c>
      <c r="F2152" s="1">
        <v>764300</v>
      </c>
      <c r="G2152" s="1" t="s">
        <v>11</v>
      </c>
      <c r="H2152" s="1" t="s">
        <v>38</v>
      </c>
      <c r="I2152" t="s">
        <v>13</v>
      </c>
      <c r="J2152" t="s">
        <v>13</v>
      </c>
    </row>
    <row r="2153" spans="1:11" x14ac:dyDescent="0.35">
      <c r="A2153" t="s">
        <v>5</v>
      </c>
      <c r="B2153" t="str">
        <f>"10191"</f>
        <v>10191</v>
      </c>
      <c r="C2153" t="str">
        <f>"003"</f>
        <v>003</v>
      </c>
      <c r="D2153">
        <v>2012</v>
      </c>
      <c r="E2153" s="1">
        <v>825000</v>
      </c>
      <c r="F2153" s="1">
        <v>562200</v>
      </c>
      <c r="G2153" s="1" t="s">
        <v>11</v>
      </c>
      <c r="H2153" s="1" t="s">
        <v>38</v>
      </c>
      <c r="I2153" t="s">
        <v>13</v>
      </c>
      <c r="J2153" t="s">
        <v>13</v>
      </c>
    </row>
    <row r="2154" spans="1:11" x14ac:dyDescent="0.35">
      <c r="A2154" t="s">
        <v>39</v>
      </c>
      <c r="B2154" t="s">
        <v>13</v>
      </c>
      <c r="C2154" t="s">
        <v>7</v>
      </c>
      <c r="D2154" t="s">
        <v>8</v>
      </c>
      <c r="E2154" s="1">
        <v>5117700</v>
      </c>
      <c r="F2154" s="1">
        <v>3926400</v>
      </c>
      <c r="G2154" s="1" t="s">
        <v>11</v>
      </c>
      <c r="H2154" s="1">
        <v>24875800</v>
      </c>
      <c r="I2154" t="s">
        <v>13</v>
      </c>
      <c r="J2154" t="s">
        <v>13</v>
      </c>
      <c r="K2154">
        <v>15.78</v>
      </c>
    </row>
    <row r="2155" spans="1:11" x14ac:dyDescent="0.35">
      <c r="E2155" s="1"/>
      <c r="F2155" s="1"/>
      <c r="G2155" s="1"/>
      <c r="H2155" s="1"/>
    </row>
    <row r="2156" spans="1:11" x14ac:dyDescent="0.35">
      <c r="A2156" t="s">
        <v>447</v>
      </c>
      <c r="B2156" t="str">
        <f>"58191"</f>
        <v>58191</v>
      </c>
      <c r="C2156" t="str">
        <f>"001"</f>
        <v>001</v>
      </c>
      <c r="D2156">
        <v>2000</v>
      </c>
      <c r="E2156" s="1">
        <v>7042800</v>
      </c>
      <c r="F2156" s="1">
        <v>6841400</v>
      </c>
      <c r="G2156" s="1" t="s">
        <v>11</v>
      </c>
      <c r="H2156" s="1" t="s">
        <v>38</v>
      </c>
      <c r="I2156" t="s">
        <v>13</v>
      </c>
      <c r="J2156" t="s">
        <v>13</v>
      </c>
    </row>
    <row r="2157" spans="1:11" x14ac:dyDescent="0.35">
      <c r="A2157" t="s">
        <v>5</v>
      </c>
      <c r="B2157" t="str">
        <f>"58191"</f>
        <v>58191</v>
      </c>
      <c r="C2157" t="str">
        <f>"002"</f>
        <v>002</v>
      </c>
      <c r="D2157">
        <v>2011</v>
      </c>
      <c r="E2157" s="1">
        <v>3591900</v>
      </c>
      <c r="F2157" s="1">
        <v>2184000</v>
      </c>
      <c r="G2157" s="1" t="s">
        <v>11</v>
      </c>
      <c r="H2157" s="1" t="s">
        <v>38</v>
      </c>
      <c r="I2157" t="s">
        <v>13</v>
      </c>
      <c r="J2157" t="s">
        <v>13</v>
      </c>
    </row>
    <row r="2158" spans="1:11" x14ac:dyDescent="0.35">
      <c r="A2158" t="s">
        <v>5</v>
      </c>
      <c r="B2158" t="str">
        <f>"58191"</f>
        <v>58191</v>
      </c>
      <c r="C2158" t="str">
        <f>"003"</f>
        <v>003</v>
      </c>
      <c r="D2158">
        <v>2015</v>
      </c>
      <c r="E2158" s="1">
        <v>6656800</v>
      </c>
      <c r="F2158" s="1">
        <v>6653500</v>
      </c>
      <c r="G2158" s="1" t="s">
        <v>11</v>
      </c>
      <c r="H2158" s="1" t="s">
        <v>38</v>
      </c>
      <c r="I2158" t="s">
        <v>13</v>
      </c>
      <c r="J2158" t="s">
        <v>13</v>
      </c>
    </row>
    <row r="2159" spans="1:11" x14ac:dyDescent="0.35">
      <c r="A2159" t="s">
        <v>39</v>
      </c>
      <c r="B2159" t="s">
        <v>13</v>
      </c>
      <c r="C2159" t="s">
        <v>7</v>
      </c>
      <c r="D2159" t="s">
        <v>8</v>
      </c>
      <c r="E2159" s="1">
        <v>17291500</v>
      </c>
      <c r="F2159" s="1">
        <v>15678900</v>
      </c>
      <c r="G2159" s="1" t="s">
        <v>11</v>
      </c>
      <c r="H2159" s="1">
        <v>64605100</v>
      </c>
      <c r="I2159" t="s">
        <v>13</v>
      </c>
      <c r="J2159" t="s">
        <v>13</v>
      </c>
      <c r="K2159">
        <v>24.27</v>
      </c>
    </row>
    <row r="2160" spans="1:11" x14ac:dyDescent="0.35">
      <c r="E2160" s="1"/>
      <c r="F2160" s="1"/>
      <c r="G2160" s="1"/>
      <c r="H2160" s="1"/>
    </row>
    <row r="2161" spans="1:11" x14ac:dyDescent="0.35">
      <c r="A2161" t="s">
        <v>448</v>
      </c>
      <c r="B2161" t="str">
        <f>"55192"</f>
        <v>55192</v>
      </c>
      <c r="C2161" t="str">
        <f>"003"</f>
        <v>003</v>
      </c>
      <c r="D2161">
        <v>1995</v>
      </c>
      <c r="E2161" s="1">
        <v>24607700</v>
      </c>
      <c r="F2161" s="1">
        <v>23606700</v>
      </c>
      <c r="G2161" s="1" t="s">
        <v>11</v>
      </c>
      <c r="H2161" s="1" t="s">
        <v>38</v>
      </c>
      <c r="I2161" t="s">
        <v>13</v>
      </c>
      <c r="J2161" t="s">
        <v>13</v>
      </c>
    </row>
    <row r="2162" spans="1:11" x14ac:dyDescent="0.35">
      <c r="A2162" t="s">
        <v>5</v>
      </c>
      <c r="B2162" t="str">
        <f>"55192"</f>
        <v>55192</v>
      </c>
      <c r="C2162" t="str">
        <f>"004"</f>
        <v>004</v>
      </c>
      <c r="D2162">
        <v>2005</v>
      </c>
      <c r="E2162" s="1">
        <v>886200</v>
      </c>
      <c r="F2162" s="1">
        <v>692600</v>
      </c>
      <c r="G2162" s="1" t="s">
        <v>11</v>
      </c>
      <c r="H2162" s="1" t="s">
        <v>38</v>
      </c>
      <c r="I2162" t="s">
        <v>13</v>
      </c>
      <c r="J2162" t="s">
        <v>13</v>
      </c>
    </row>
    <row r="2163" spans="1:11" x14ac:dyDescent="0.35">
      <c r="A2163" t="s">
        <v>39</v>
      </c>
      <c r="B2163" t="s">
        <v>13</v>
      </c>
      <c r="C2163" t="s">
        <v>7</v>
      </c>
      <c r="D2163" t="s">
        <v>8</v>
      </c>
      <c r="E2163" s="1">
        <v>25493900</v>
      </c>
      <c r="F2163" s="1">
        <v>24299300</v>
      </c>
      <c r="G2163" s="1" t="s">
        <v>11</v>
      </c>
      <c r="H2163" s="1">
        <v>114046400</v>
      </c>
      <c r="I2163" t="s">
        <v>13</v>
      </c>
      <c r="J2163" t="s">
        <v>13</v>
      </c>
      <c r="K2163">
        <v>21.31</v>
      </c>
    </row>
    <row r="2164" spans="1:11" x14ac:dyDescent="0.35">
      <c r="E2164" s="1"/>
      <c r="F2164" s="1"/>
      <c r="G2164" s="1"/>
      <c r="H2164" s="1"/>
    </row>
    <row r="2165" spans="1:11" x14ac:dyDescent="0.35">
      <c r="A2165" t="s">
        <v>449</v>
      </c>
      <c r="B2165" t="str">
        <f>"05191"</f>
        <v>05191</v>
      </c>
      <c r="C2165" t="str">
        <f>"003"</f>
        <v>003</v>
      </c>
      <c r="D2165">
        <v>2015</v>
      </c>
      <c r="E2165" s="1">
        <v>11873600</v>
      </c>
      <c r="F2165" s="1">
        <v>3099100</v>
      </c>
      <c r="G2165" s="1" t="s">
        <v>11</v>
      </c>
      <c r="H2165" s="1" t="s">
        <v>38</v>
      </c>
      <c r="I2165" t="s">
        <v>13</v>
      </c>
      <c r="J2165" t="s">
        <v>13</v>
      </c>
    </row>
    <row r="2166" spans="1:11" x14ac:dyDescent="0.35">
      <c r="A2166" t="s">
        <v>5</v>
      </c>
      <c r="B2166" t="str">
        <f>"44191"</f>
        <v>44191</v>
      </c>
      <c r="C2166" t="str">
        <f>"003"</f>
        <v>003</v>
      </c>
      <c r="D2166">
        <v>2015</v>
      </c>
      <c r="E2166" s="1">
        <v>42902800</v>
      </c>
      <c r="F2166" s="1">
        <v>41108700</v>
      </c>
      <c r="G2166" s="1" t="s">
        <v>11</v>
      </c>
      <c r="H2166" s="1" t="s">
        <v>38</v>
      </c>
      <c r="I2166" t="s">
        <v>13</v>
      </c>
      <c r="J2166" t="s">
        <v>13</v>
      </c>
    </row>
    <row r="2167" spans="1:11" x14ac:dyDescent="0.35">
      <c r="A2167" t="s">
        <v>5</v>
      </c>
      <c r="B2167" t="str">
        <f>"05191"</f>
        <v>05191</v>
      </c>
      <c r="C2167" t="str">
        <f>"004"</f>
        <v>004</v>
      </c>
      <c r="D2167">
        <v>2016</v>
      </c>
      <c r="E2167" s="1">
        <v>14168700</v>
      </c>
      <c r="F2167" s="1">
        <v>14160300</v>
      </c>
      <c r="G2167" s="1" t="s">
        <v>11</v>
      </c>
      <c r="H2167" s="1" t="s">
        <v>38</v>
      </c>
      <c r="I2167" t="s">
        <v>13</v>
      </c>
      <c r="J2167" t="s">
        <v>13</v>
      </c>
    </row>
    <row r="2168" spans="1:11" x14ac:dyDescent="0.35">
      <c r="A2168" t="s">
        <v>5</v>
      </c>
      <c r="B2168" t="str">
        <f>"44191"</f>
        <v>44191</v>
      </c>
      <c r="C2168" t="str">
        <f>"004"</f>
        <v>004</v>
      </c>
      <c r="D2168">
        <v>2016</v>
      </c>
      <c r="E2168" s="1">
        <v>1262900</v>
      </c>
      <c r="F2168" s="1">
        <v>175400</v>
      </c>
      <c r="G2168" s="1" t="s">
        <v>11</v>
      </c>
      <c r="H2168" s="1" t="s">
        <v>38</v>
      </c>
      <c r="I2168" t="s">
        <v>13</v>
      </c>
      <c r="J2168" t="s">
        <v>13</v>
      </c>
    </row>
    <row r="2169" spans="1:11" x14ac:dyDescent="0.35">
      <c r="A2169" t="s">
        <v>5</v>
      </c>
      <c r="B2169" t="str">
        <f>"05191"</f>
        <v>05191</v>
      </c>
      <c r="C2169" t="str">
        <f>"005"</f>
        <v>005</v>
      </c>
      <c r="D2169">
        <v>2018</v>
      </c>
      <c r="E2169" s="1">
        <v>9317500</v>
      </c>
      <c r="F2169" s="1">
        <v>4002400</v>
      </c>
      <c r="G2169" s="1" t="s">
        <v>11</v>
      </c>
      <c r="H2169" s="1" t="s">
        <v>38</v>
      </c>
      <c r="I2169" t="s">
        <v>13</v>
      </c>
      <c r="J2169" t="s">
        <v>13</v>
      </c>
    </row>
    <row r="2170" spans="1:11" x14ac:dyDescent="0.35">
      <c r="A2170" t="s">
        <v>39</v>
      </c>
      <c r="B2170" t="s">
        <v>13</v>
      </c>
      <c r="C2170" t="s">
        <v>7</v>
      </c>
      <c r="D2170" t="s">
        <v>8</v>
      </c>
      <c r="E2170" s="1">
        <v>79525500</v>
      </c>
      <c r="F2170" s="1">
        <v>62545900</v>
      </c>
      <c r="G2170" s="1" t="s">
        <v>11</v>
      </c>
      <c r="H2170" s="1">
        <v>377561300</v>
      </c>
      <c r="I2170" t="s">
        <v>13</v>
      </c>
      <c r="J2170" t="s">
        <v>13</v>
      </c>
      <c r="K2170">
        <v>16.57</v>
      </c>
    </row>
    <row r="2171" spans="1:11" x14ac:dyDescent="0.35">
      <c r="E2171" s="1"/>
      <c r="F2171" s="1"/>
      <c r="G2171" s="1"/>
      <c r="H2171" s="1"/>
    </row>
    <row r="2172" spans="1:11" x14ac:dyDescent="0.35">
      <c r="A2172" t="s">
        <v>450</v>
      </c>
      <c r="B2172" t="str">
        <f>"51194"</f>
        <v>51194</v>
      </c>
      <c r="C2172" t="str">
        <f>"001"</f>
        <v>001</v>
      </c>
      <c r="D2172">
        <v>2019</v>
      </c>
      <c r="E2172" s="1">
        <v>39680400</v>
      </c>
      <c r="F2172" s="1">
        <v>33634700</v>
      </c>
      <c r="G2172" s="1" t="s">
        <v>11</v>
      </c>
      <c r="H2172" s="1" t="s">
        <v>38</v>
      </c>
      <c r="I2172" t="s">
        <v>13</v>
      </c>
      <c r="J2172" t="s">
        <v>13</v>
      </c>
    </row>
    <row r="2173" spans="1:11" x14ac:dyDescent="0.35">
      <c r="A2173" t="s">
        <v>39</v>
      </c>
      <c r="B2173" t="s">
        <v>13</v>
      </c>
      <c r="C2173" t="s">
        <v>7</v>
      </c>
      <c r="D2173" t="s">
        <v>8</v>
      </c>
      <c r="E2173" s="1">
        <v>39680400</v>
      </c>
      <c r="F2173" s="1">
        <v>33634700</v>
      </c>
      <c r="G2173" s="1" t="s">
        <v>11</v>
      </c>
      <c r="H2173" s="1">
        <v>725915900</v>
      </c>
      <c r="I2173" t="s">
        <v>13</v>
      </c>
      <c r="J2173" t="s">
        <v>13</v>
      </c>
      <c r="K2173">
        <v>4.63</v>
      </c>
    </row>
    <row r="2174" spans="1:11" x14ac:dyDescent="0.35">
      <c r="E2174" s="1"/>
      <c r="F2174" s="1"/>
      <c r="G2174" s="1"/>
      <c r="H2174" s="1"/>
    </row>
    <row r="2175" spans="1:11" x14ac:dyDescent="0.35">
      <c r="A2175" t="s">
        <v>451</v>
      </c>
      <c r="E2175" s="1"/>
      <c r="F2175" s="1"/>
      <c r="G2175" s="1"/>
      <c r="H2175" s="1"/>
    </row>
    <row r="2176" spans="1:11" x14ac:dyDescent="0.35">
      <c r="E2176" s="1"/>
      <c r="F2176" s="1"/>
      <c r="G2176" s="1"/>
      <c r="H2176" s="1"/>
    </row>
    <row r="2177" spans="1:8" x14ac:dyDescent="0.35">
      <c r="E2177" s="1"/>
      <c r="F2177" s="1"/>
      <c r="G2177" s="1"/>
      <c r="H2177" s="1"/>
    </row>
    <row r="2178" spans="1:8" x14ac:dyDescent="0.35">
      <c r="A2178" t="s">
        <v>452</v>
      </c>
      <c r="E2178" s="1"/>
      <c r="F2178" s="1"/>
      <c r="G2178" s="1"/>
      <c r="H2178" s="1"/>
    </row>
    <row r="2179" spans="1:8" x14ac:dyDescent="0.35">
      <c r="E2179" s="1"/>
      <c r="F2179" s="1"/>
      <c r="G2179" s="1"/>
      <c r="H2179" s="1"/>
    </row>
    <row r="2180" spans="1:8" x14ac:dyDescent="0.35">
      <c r="A2180" t="s">
        <v>453</v>
      </c>
      <c r="E2180" s="1">
        <v>29711174265</v>
      </c>
      <c r="F2180" s="1"/>
      <c r="G2180" s="1"/>
      <c r="H2180" s="1"/>
    </row>
    <row r="2181" spans="1:8" x14ac:dyDescent="0.35">
      <c r="E2181" s="1"/>
      <c r="F2181" s="1"/>
      <c r="G2181" s="1"/>
      <c r="H2181" s="1"/>
    </row>
    <row r="2182" spans="1:8" x14ac:dyDescent="0.35">
      <c r="A2182" t="s">
        <v>454</v>
      </c>
      <c r="E2182" s="1">
        <v>43926134000</v>
      </c>
      <c r="F2182" s="1"/>
      <c r="G2182" s="1"/>
      <c r="H2182" s="1"/>
    </row>
    <row r="2183" spans="1:8" x14ac:dyDescent="0.35">
      <c r="E2183" s="1"/>
      <c r="F2183" s="1"/>
      <c r="G2183" s="1"/>
      <c r="H2183" s="1"/>
    </row>
    <row r="2184" spans="1:8" x14ac:dyDescent="0.35">
      <c r="A2184" t="s">
        <v>455</v>
      </c>
      <c r="E2184" s="1">
        <v>414576783515</v>
      </c>
      <c r="F2184" s="1"/>
      <c r="G2184" s="1"/>
      <c r="H2184" s="1"/>
    </row>
    <row r="2185" spans="1:8" x14ac:dyDescent="0.35">
      <c r="E2185" s="1"/>
      <c r="F2185" s="1"/>
      <c r="G2185" s="1"/>
      <c r="H218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2021</_x002e_DocumentYear>
    <_x002e_DocumentType xmlns="9e30f06f-ad7a-453a-8e08-8a8878e30bd1">
      <Value>123</Value>
      <Value>201</Value>
    </_x002e_DocumentType>
    <_dlc_DocId xmlns="bb65cc95-6d4e-4879-a879-9838761499af">33E6D4FPPFNA-691263572-5946</_dlc_DocId>
    <_x002e_Owner xmlns="9e30f06f-ad7a-453a-8e08-8a8878e30bd1">
      <Value>40</Value>
    </_x002e_Owner>
    <_dlc_DocIdUrl xmlns="bb65cc95-6d4e-4879-a879-9838761499af">
      <Url>http://apwmad0p7106:9444/_layouts/15/DocIdRedir.aspx?ID=33E6D4FPPFNA-691263572-5946</Url>
      <Description>33E6D4FPPFNA-691263572-5946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FDDAD-E546-4B8F-9F4E-F18067045789}"/>
</file>

<file path=customXml/itemProps2.xml><?xml version="1.0" encoding="utf-8"?>
<ds:datastoreItem xmlns:ds="http://schemas.openxmlformats.org/officeDocument/2006/customXml" ds:itemID="{4175BC6D-3F78-4601-B5D4-CC77BF3723E1}"/>
</file>

<file path=customXml/itemProps3.xml><?xml version="1.0" encoding="utf-8"?>
<ds:datastoreItem xmlns:ds="http://schemas.openxmlformats.org/officeDocument/2006/customXml" ds:itemID="{F2C8402B-0A53-4825-B3F1-499C029379C3}"/>
</file>

<file path=customXml/itemProps4.xml><?xml version="1.0" encoding="utf-8"?>
<ds:datastoreItem xmlns:ds="http://schemas.openxmlformats.org/officeDocument/2006/customXml" ds:itemID="{0BD4C3C9-566C-485C-8A5D-FADEB8C8C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TID304WI_2021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TIF Value Limitation Report</dc:title>
  <dc:creator>Unger, Heather M - DOR</dc:creator>
  <cp:lastModifiedBy>Lentz, Matthew C - DOR</cp:lastModifiedBy>
  <dcterms:created xsi:type="dcterms:W3CDTF">2021-08-10T17:43:16Z</dcterms:created>
  <dcterms:modified xsi:type="dcterms:W3CDTF">2021-08-12T20:58:15Z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6bf16007-4266-4d7a-b34f-76889d905a25</vt:lpwstr>
  </property>
  <property fmtid="{D5CDD505-2E9C-101B-9397-08002B2CF9AE}" pid="3" name="ContentTypeId">
    <vt:lpwstr>0x010100F10BACEAB165394D97F8EEEC27035B5B</vt:lpwstr>
  </property>
</Properties>
</file>