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1 TIF\Cert Reports\"/>
    </mc:Choice>
  </mc:AlternateContent>
  <xr:revisionPtr revIDLastSave="0" documentId="13_ncr:1_{AD56DF45-DABA-4DA9-89AF-FBAF8BF0059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ID35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E4" i="1"/>
  <c r="B5" i="1"/>
  <c r="E5" i="1"/>
  <c r="B6" i="1"/>
  <c r="E6" i="1"/>
  <c r="B7" i="1"/>
  <c r="E7" i="1"/>
  <c r="B8" i="1"/>
  <c r="E8" i="1"/>
  <c r="B9" i="1"/>
  <c r="E9" i="1"/>
  <c r="B10" i="1"/>
  <c r="E10" i="1"/>
  <c r="B11" i="1"/>
  <c r="E11" i="1"/>
  <c r="B12" i="1"/>
  <c r="E12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E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B345" i="1"/>
  <c r="E345" i="1"/>
  <c r="B346" i="1"/>
  <c r="E346" i="1"/>
  <c r="B347" i="1"/>
  <c r="E347" i="1"/>
  <c r="B348" i="1"/>
  <c r="E348" i="1"/>
  <c r="B349" i="1"/>
  <c r="E349" i="1"/>
  <c r="B350" i="1"/>
  <c r="E350" i="1"/>
  <c r="B351" i="1"/>
  <c r="E351" i="1"/>
  <c r="B352" i="1"/>
  <c r="E352" i="1"/>
  <c r="B353" i="1"/>
  <c r="E353" i="1"/>
  <c r="B354" i="1"/>
  <c r="E354" i="1"/>
  <c r="B355" i="1"/>
  <c r="E355" i="1"/>
  <c r="B356" i="1"/>
  <c r="E356" i="1"/>
  <c r="B357" i="1"/>
  <c r="E357" i="1"/>
  <c r="B358" i="1"/>
  <c r="E358" i="1"/>
  <c r="B359" i="1"/>
  <c r="E359" i="1"/>
  <c r="B360" i="1"/>
  <c r="E360" i="1"/>
  <c r="B361" i="1"/>
  <c r="E361" i="1"/>
  <c r="B362" i="1"/>
  <c r="E362" i="1"/>
  <c r="B363" i="1"/>
  <c r="E363" i="1"/>
  <c r="B364" i="1"/>
  <c r="E364" i="1"/>
  <c r="B365" i="1"/>
  <c r="E365" i="1"/>
  <c r="B366" i="1"/>
  <c r="E366" i="1"/>
  <c r="B367" i="1"/>
  <c r="E367" i="1"/>
  <c r="B368" i="1"/>
  <c r="E368" i="1"/>
  <c r="B369" i="1"/>
  <c r="E369" i="1"/>
  <c r="B370" i="1"/>
  <c r="E370" i="1"/>
  <c r="B371" i="1"/>
  <c r="E371" i="1"/>
  <c r="B372" i="1"/>
  <c r="E372" i="1"/>
  <c r="B373" i="1"/>
  <c r="E373" i="1"/>
  <c r="B374" i="1"/>
  <c r="E374" i="1"/>
  <c r="B375" i="1"/>
  <c r="E375" i="1"/>
  <c r="B376" i="1"/>
  <c r="E376" i="1"/>
  <c r="B377" i="1"/>
  <c r="E377" i="1"/>
  <c r="B378" i="1"/>
  <c r="E378" i="1"/>
  <c r="B379" i="1"/>
  <c r="E379" i="1"/>
  <c r="B380" i="1"/>
  <c r="E380" i="1"/>
  <c r="B381" i="1"/>
  <c r="E381" i="1"/>
  <c r="B382" i="1"/>
  <c r="E382" i="1"/>
  <c r="B383" i="1"/>
  <c r="E383" i="1"/>
  <c r="B384" i="1"/>
  <c r="E384" i="1"/>
  <c r="B385" i="1"/>
  <c r="E385" i="1"/>
  <c r="B386" i="1"/>
  <c r="E386" i="1"/>
  <c r="B387" i="1"/>
  <c r="E387" i="1"/>
  <c r="B388" i="1"/>
  <c r="E388" i="1"/>
  <c r="B389" i="1"/>
  <c r="E389" i="1"/>
  <c r="B390" i="1"/>
  <c r="E390" i="1"/>
  <c r="B391" i="1"/>
  <c r="E391" i="1"/>
  <c r="B392" i="1"/>
  <c r="E392" i="1"/>
  <c r="B393" i="1"/>
  <c r="E393" i="1"/>
  <c r="B394" i="1"/>
  <c r="E394" i="1"/>
  <c r="B395" i="1"/>
  <c r="E395" i="1"/>
  <c r="B396" i="1"/>
  <c r="E396" i="1"/>
  <c r="B397" i="1"/>
  <c r="E397" i="1"/>
  <c r="B398" i="1"/>
  <c r="E398" i="1"/>
  <c r="B399" i="1"/>
  <c r="E399" i="1"/>
  <c r="B400" i="1"/>
  <c r="E400" i="1"/>
  <c r="B401" i="1"/>
  <c r="E401" i="1"/>
  <c r="B402" i="1"/>
  <c r="E402" i="1"/>
  <c r="B403" i="1"/>
  <c r="E403" i="1"/>
  <c r="B404" i="1"/>
  <c r="E404" i="1"/>
  <c r="B405" i="1"/>
  <c r="E405" i="1"/>
  <c r="B406" i="1"/>
  <c r="E406" i="1"/>
  <c r="B407" i="1"/>
  <c r="E407" i="1"/>
  <c r="B408" i="1"/>
  <c r="E408" i="1"/>
  <c r="B409" i="1"/>
  <c r="E409" i="1"/>
  <c r="B410" i="1"/>
  <c r="E410" i="1"/>
  <c r="B411" i="1"/>
  <c r="E411" i="1"/>
  <c r="B412" i="1"/>
  <c r="E412" i="1"/>
  <c r="B413" i="1"/>
  <c r="E413" i="1"/>
  <c r="B414" i="1"/>
  <c r="E414" i="1"/>
  <c r="B415" i="1"/>
  <c r="E415" i="1"/>
  <c r="B416" i="1"/>
  <c r="E416" i="1"/>
  <c r="B417" i="1"/>
  <c r="E417" i="1"/>
  <c r="B418" i="1"/>
  <c r="E418" i="1"/>
  <c r="B419" i="1"/>
  <c r="E419" i="1"/>
  <c r="B420" i="1"/>
  <c r="E420" i="1"/>
  <c r="B421" i="1"/>
  <c r="E421" i="1"/>
  <c r="B422" i="1"/>
  <c r="E422" i="1"/>
  <c r="B423" i="1"/>
  <c r="E423" i="1"/>
  <c r="B424" i="1"/>
  <c r="E424" i="1"/>
  <c r="B425" i="1"/>
  <c r="E425" i="1"/>
  <c r="B426" i="1"/>
  <c r="E426" i="1"/>
  <c r="B427" i="1"/>
  <c r="E427" i="1"/>
  <c r="B428" i="1"/>
  <c r="E428" i="1"/>
  <c r="B429" i="1"/>
  <c r="E429" i="1"/>
  <c r="B430" i="1"/>
  <c r="E430" i="1"/>
  <c r="B431" i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B672" i="1"/>
  <c r="E672" i="1"/>
  <c r="B673" i="1"/>
  <c r="E673" i="1"/>
  <c r="B674" i="1"/>
  <c r="E674" i="1"/>
  <c r="B675" i="1"/>
  <c r="E675" i="1"/>
  <c r="B676" i="1"/>
  <c r="E676" i="1"/>
  <c r="B677" i="1"/>
  <c r="E677" i="1"/>
  <c r="B678" i="1"/>
  <c r="E678" i="1"/>
  <c r="B679" i="1"/>
  <c r="E679" i="1"/>
  <c r="B680" i="1"/>
  <c r="E680" i="1"/>
  <c r="B681" i="1"/>
  <c r="E681" i="1"/>
  <c r="B682" i="1"/>
  <c r="E682" i="1"/>
  <c r="B683" i="1"/>
  <c r="E683" i="1"/>
  <c r="B684" i="1"/>
  <c r="E684" i="1"/>
  <c r="B685" i="1"/>
  <c r="E685" i="1"/>
  <c r="B686" i="1"/>
  <c r="E686" i="1"/>
  <c r="B687" i="1"/>
  <c r="E687" i="1"/>
  <c r="B688" i="1"/>
  <c r="E688" i="1"/>
  <c r="B689" i="1"/>
  <c r="E689" i="1"/>
  <c r="B690" i="1"/>
  <c r="E690" i="1"/>
  <c r="B691" i="1"/>
  <c r="E691" i="1"/>
  <c r="B692" i="1"/>
  <c r="E692" i="1"/>
  <c r="B693" i="1"/>
  <c r="E693" i="1"/>
  <c r="B694" i="1"/>
  <c r="E694" i="1"/>
  <c r="B695" i="1"/>
  <c r="E695" i="1"/>
  <c r="B696" i="1"/>
  <c r="E696" i="1"/>
  <c r="B697" i="1"/>
  <c r="E697" i="1"/>
  <c r="B698" i="1"/>
  <c r="E698" i="1"/>
  <c r="B699" i="1"/>
  <c r="E699" i="1"/>
  <c r="B700" i="1"/>
  <c r="E700" i="1"/>
  <c r="B701" i="1"/>
  <c r="E701" i="1"/>
  <c r="B702" i="1"/>
  <c r="E702" i="1"/>
  <c r="B703" i="1"/>
  <c r="E703" i="1"/>
  <c r="B704" i="1"/>
  <c r="E704" i="1"/>
  <c r="B705" i="1"/>
  <c r="E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E714" i="1"/>
  <c r="B715" i="1"/>
  <c r="E715" i="1"/>
  <c r="B716" i="1"/>
  <c r="E716" i="1"/>
  <c r="B717" i="1"/>
  <c r="E717" i="1"/>
  <c r="B718" i="1"/>
  <c r="E718" i="1"/>
  <c r="B719" i="1"/>
  <c r="E719" i="1"/>
  <c r="B720" i="1"/>
  <c r="E720" i="1"/>
  <c r="B721" i="1"/>
  <c r="E721" i="1"/>
  <c r="B722" i="1"/>
  <c r="E722" i="1"/>
  <c r="B723" i="1"/>
  <c r="E723" i="1"/>
  <c r="B724" i="1"/>
  <c r="E724" i="1"/>
  <c r="B725" i="1"/>
  <c r="E725" i="1"/>
  <c r="B726" i="1"/>
  <c r="E726" i="1"/>
  <c r="B727" i="1"/>
  <c r="E727" i="1"/>
  <c r="B728" i="1"/>
  <c r="E728" i="1"/>
  <c r="B729" i="1"/>
  <c r="E729" i="1"/>
  <c r="B730" i="1"/>
  <c r="E730" i="1"/>
  <c r="B731" i="1"/>
  <c r="E731" i="1"/>
  <c r="B732" i="1"/>
  <c r="E732" i="1"/>
  <c r="B733" i="1"/>
  <c r="E733" i="1"/>
  <c r="B734" i="1"/>
  <c r="E734" i="1"/>
  <c r="B735" i="1"/>
  <c r="E735" i="1"/>
  <c r="B736" i="1"/>
  <c r="E736" i="1"/>
  <c r="B737" i="1"/>
  <c r="E737" i="1"/>
  <c r="B738" i="1"/>
  <c r="E738" i="1"/>
  <c r="B739" i="1"/>
  <c r="E739" i="1"/>
  <c r="B740" i="1"/>
  <c r="E740" i="1"/>
  <c r="B741" i="1"/>
  <c r="E741" i="1"/>
  <c r="B742" i="1"/>
  <c r="E742" i="1"/>
  <c r="B743" i="1"/>
  <c r="E743" i="1"/>
  <c r="B744" i="1"/>
  <c r="E744" i="1"/>
  <c r="B745" i="1"/>
  <c r="E745" i="1"/>
  <c r="B746" i="1"/>
  <c r="E746" i="1"/>
  <c r="B747" i="1"/>
  <c r="E747" i="1"/>
  <c r="B748" i="1"/>
  <c r="E748" i="1"/>
  <c r="B749" i="1"/>
  <c r="E749" i="1"/>
  <c r="B750" i="1"/>
  <c r="E750" i="1"/>
  <c r="B751" i="1"/>
  <c r="E751" i="1"/>
  <c r="B752" i="1"/>
  <c r="E752" i="1"/>
  <c r="B753" i="1"/>
  <c r="E753" i="1"/>
  <c r="B754" i="1"/>
  <c r="E754" i="1"/>
  <c r="B755" i="1"/>
  <c r="E755" i="1"/>
  <c r="B756" i="1"/>
  <c r="E756" i="1"/>
  <c r="B757" i="1"/>
  <c r="E757" i="1"/>
  <c r="B758" i="1"/>
  <c r="E758" i="1"/>
  <c r="B759" i="1"/>
  <c r="E759" i="1"/>
  <c r="B760" i="1"/>
  <c r="E760" i="1"/>
  <c r="B761" i="1"/>
  <c r="E761" i="1"/>
  <c r="B762" i="1"/>
  <c r="E762" i="1"/>
  <c r="B763" i="1"/>
  <c r="E763" i="1"/>
  <c r="B764" i="1"/>
  <c r="E764" i="1"/>
  <c r="B765" i="1"/>
  <c r="E765" i="1"/>
  <c r="B766" i="1"/>
  <c r="E766" i="1"/>
  <c r="B767" i="1"/>
  <c r="E767" i="1"/>
  <c r="B768" i="1"/>
  <c r="E768" i="1"/>
  <c r="B769" i="1"/>
  <c r="E769" i="1"/>
  <c r="B770" i="1"/>
  <c r="E770" i="1"/>
  <c r="B771" i="1"/>
  <c r="E771" i="1"/>
  <c r="B772" i="1"/>
  <c r="E772" i="1"/>
  <c r="B773" i="1"/>
  <c r="E773" i="1"/>
  <c r="B774" i="1"/>
  <c r="E774" i="1"/>
  <c r="B775" i="1"/>
  <c r="E775" i="1"/>
  <c r="B776" i="1"/>
  <c r="E776" i="1"/>
  <c r="B777" i="1"/>
  <c r="E777" i="1"/>
  <c r="B778" i="1"/>
  <c r="E778" i="1"/>
  <c r="B779" i="1"/>
  <c r="E779" i="1"/>
  <c r="B780" i="1"/>
  <c r="E780" i="1"/>
  <c r="B781" i="1"/>
  <c r="E781" i="1"/>
  <c r="B782" i="1"/>
  <c r="E782" i="1"/>
  <c r="B783" i="1"/>
  <c r="E783" i="1"/>
  <c r="B784" i="1"/>
  <c r="E784" i="1"/>
  <c r="B785" i="1"/>
  <c r="E785" i="1"/>
  <c r="B786" i="1"/>
  <c r="E786" i="1"/>
  <c r="B787" i="1"/>
  <c r="E787" i="1"/>
  <c r="B788" i="1"/>
  <c r="E788" i="1"/>
  <c r="B789" i="1"/>
  <c r="E789" i="1"/>
  <c r="B790" i="1"/>
  <c r="E790" i="1"/>
  <c r="B791" i="1"/>
  <c r="E791" i="1"/>
  <c r="B792" i="1"/>
  <c r="E792" i="1"/>
  <c r="B793" i="1"/>
  <c r="E793" i="1"/>
  <c r="B794" i="1"/>
  <c r="E794" i="1"/>
  <c r="B795" i="1"/>
  <c r="E795" i="1"/>
  <c r="B796" i="1"/>
  <c r="E796" i="1"/>
  <c r="B797" i="1"/>
  <c r="E797" i="1"/>
  <c r="B798" i="1"/>
  <c r="E798" i="1"/>
  <c r="B799" i="1"/>
  <c r="E799" i="1"/>
  <c r="B800" i="1"/>
  <c r="E800" i="1"/>
  <c r="B801" i="1"/>
  <c r="E801" i="1"/>
  <c r="B802" i="1"/>
  <c r="E802" i="1"/>
  <c r="B803" i="1"/>
  <c r="E803" i="1"/>
  <c r="B804" i="1"/>
  <c r="E804" i="1"/>
  <c r="B805" i="1"/>
  <c r="E805" i="1"/>
  <c r="B806" i="1"/>
  <c r="E806" i="1"/>
  <c r="B807" i="1"/>
  <c r="E807" i="1"/>
  <c r="B808" i="1"/>
  <c r="E808" i="1"/>
  <c r="B809" i="1"/>
  <c r="E809" i="1"/>
  <c r="B810" i="1"/>
  <c r="E810" i="1"/>
  <c r="B811" i="1"/>
  <c r="E811" i="1"/>
  <c r="B812" i="1"/>
  <c r="E812" i="1"/>
  <c r="B813" i="1"/>
  <c r="E813" i="1"/>
  <c r="B814" i="1"/>
  <c r="E814" i="1"/>
  <c r="B815" i="1"/>
  <c r="E815" i="1"/>
  <c r="B816" i="1"/>
  <c r="E816" i="1"/>
  <c r="B817" i="1"/>
  <c r="E817" i="1"/>
  <c r="B818" i="1"/>
  <c r="E818" i="1"/>
  <c r="B819" i="1"/>
  <c r="E819" i="1"/>
  <c r="B820" i="1"/>
  <c r="E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E832" i="1"/>
  <c r="B833" i="1"/>
  <c r="E833" i="1"/>
  <c r="B834" i="1"/>
  <c r="E834" i="1"/>
  <c r="B835" i="1"/>
  <c r="E835" i="1"/>
  <c r="B836" i="1"/>
  <c r="E836" i="1"/>
  <c r="B837" i="1"/>
  <c r="E837" i="1"/>
  <c r="B838" i="1"/>
  <c r="E838" i="1"/>
  <c r="B839" i="1"/>
  <c r="E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E860" i="1"/>
  <c r="B861" i="1"/>
  <c r="E861" i="1"/>
  <c r="B862" i="1"/>
  <c r="E862" i="1"/>
  <c r="B863" i="1"/>
  <c r="E863" i="1"/>
  <c r="B864" i="1"/>
  <c r="E864" i="1"/>
  <c r="B865" i="1"/>
  <c r="E865" i="1"/>
  <c r="B866" i="1"/>
  <c r="E866" i="1"/>
  <c r="B867" i="1"/>
  <c r="E867" i="1"/>
  <c r="B868" i="1"/>
  <c r="E868" i="1"/>
  <c r="B869" i="1"/>
  <c r="E869" i="1"/>
  <c r="B870" i="1"/>
  <c r="E870" i="1"/>
  <c r="B871" i="1"/>
  <c r="E871" i="1"/>
  <c r="B872" i="1"/>
  <c r="E872" i="1"/>
  <c r="B873" i="1"/>
  <c r="E873" i="1"/>
  <c r="B874" i="1"/>
  <c r="E874" i="1"/>
  <c r="B875" i="1"/>
  <c r="E875" i="1"/>
  <c r="B876" i="1"/>
  <c r="E876" i="1"/>
  <c r="B877" i="1"/>
  <c r="E877" i="1"/>
  <c r="B878" i="1"/>
  <c r="E878" i="1"/>
  <c r="B879" i="1"/>
  <c r="E879" i="1"/>
  <c r="B880" i="1"/>
  <c r="E880" i="1"/>
  <c r="B881" i="1"/>
  <c r="E881" i="1"/>
  <c r="B882" i="1"/>
  <c r="E882" i="1"/>
  <c r="B883" i="1"/>
  <c r="E883" i="1"/>
  <c r="B884" i="1"/>
  <c r="E884" i="1"/>
  <c r="B885" i="1"/>
  <c r="E885" i="1"/>
  <c r="B886" i="1"/>
  <c r="E886" i="1"/>
  <c r="B887" i="1"/>
  <c r="E887" i="1"/>
  <c r="B888" i="1"/>
  <c r="E888" i="1"/>
  <c r="B889" i="1"/>
  <c r="E889" i="1"/>
  <c r="B890" i="1"/>
  <c r="E890" i="1"/>
  <c r="B891" i="1"/>
  <c r="E891" i="1"/>
  <c r="B892" i="1"/>
  <c r="E892" i="1"/>
  <c r="B893" i="1"/>
  <c r="E893" i="1"/>
  <c r="B894" i="1"/>
  <c r="E894" i="1"/>
  <c r="B895" i="1"/>
  <c r="E895" i="1"/>
  <c r="B896" i="1"/>
  <c r="E896" i="1"/>
  <c r="B897" i="1"/>
  <c r="E897" i="1"/>
  <c r="B898" i="1"/>
  <c r="E898" i="1"/>
  <c r="B899" i="1"/>
  <c r="E899" i="1"/>
  <c r="B900" i="1"/>
  <c r="E900" i="1"/>
  <c r="B901" i="1"/>
  <c r="E901" i="1"/>
  <c r="B902" i="1"/>
  <c r="E902" i="1"/>
  <c r="B903" i="1"/>
  <c r="E903" i="1"/>
  <c r="B904" i="1"/>
  <c r="E904" i="1"/>
  <c r="B905" i="1"/>
  <c r="E905" i="1"/>
  <c r="B906" i="1"/>
  <c r="E906" i="1"/>
  <c r="B907" i="1"/>
  <c r="E907" i="1"/>
  <c r="B908" i="1"/>
  <c r="E908" i="1"/>
  <c r="B909" i="1"/>
  <c r="E909" i="1"/>
  <c r="B910" i="1"/>
  <c r="E910" i="1"/>
  <c r="B911" i="1"/>
  <c r="E911" i="1"/>
  <c r="B912" i="1"/>
  <c r="E912" i="1"/>
  <c r="B913" i="1"/>
  <c r="E913" i="1"/>
  <c r="B914" i="1"/>
  <c r="E914" i="1"/>
  <c r="B915" i="1"/>
  <c r="E915" i="1"/>
  <c r="B916" i="1"/>
  <c r="E916" i="1"/>
  <c r="B917" i="1"/>
  <c r="E917" i="1"/>
  <c r="B918" i="1"/>
  <c r="E918" i="1"/>
  <c r="B919" i="1"/>
  <c r="E919" i="1"/>
  <c r="B920" i="1"/>
  <c r="E920" i="1"/>
  <c r="B921" i="1"/>
  <c r="E921" i="1"/>
  <c r="B922" i="1"/>
  <c r="E922" i="1"/>
  <c r="B923" i="1"/>
  <c r="E923" i="1"/>
  <c r="B924" i="1"/>
  <c r="E924" i="1"/>
  <c r="B925" i="1"/>
  <c r="E925" i="1"/>
  <c r="B926" i="1"/>
  <c r="E926" i="1"/>
  <c r="B927" i="1"/>
  <c r="E927" i="1"/>
  <c r="B928" i="1"/>
  <c r="E928" i="1"/>
  <c r="B929" i="1"/>
  <c r="E929" i="1"/>
  <c r="B930" i="1"/>
  <c r="E930" i="1"/>
  <c r="B931" i="1"/>
  <c r="E931" i="1"/>
  <c r="B932" i="1"/>
  <c r="E932" i="1"/>
  <c r="B933" i="1"/>
  <c r="E933" i="1"/>
  <c r="B934" i="1"/>
  <c r="E934" i="1"/>
  <c r="B935" i="1"/>
  <c r="E935" i="1"/>
  <c r="B936" i="1"/>
  <c r="E936" i="1"/>
  <c r="B937" i="1"/>
  <c r="E937" i="1"/>
  <c r="B938" i="1"/>
  <c r="E938" i="1"/>
  <c r="B939" i="1"/>
  <c r="E939" i="1"/>
  <c r="B940" i="1"/>
  <c r="E940" i="1"/>
  <c r="B941" i="1"/>
  <c r="E941" i="1"/>
  <c r="B942" i="1"/>
  <c r="E942" i="1"/>
  <c r="B943" i="1"/>
  <c r="E943" i="1"/>
  <c r="B944" i="1"/>
  <c r="E944" i="1"/>
  <c r="B945" i="1"/>
  <c r="E945" i="1"/>
  <c r="B946" i="1"/>
  <c r="E946" i="1"/>
  <c r="B947" i="1"/>
  <c r="E947" i="1"/>
  <c r="B948" i="1"/>
  <c r="E948" i="1"/>
  <c r="B949" i="1"/>
  <c r="E949" i="1"/>
  <c r="B950" i="1"/>
  <c r="E950" i="1"/>
  <c r="B951" i="1"/>
  <c r="E951" i="1"/>
  <c r="B952" i="1"/>
  <c r="E952" i="1"/>
  <c r="B953" i="1"/>
  <c r="E953" i="1"/>
  <c r="B954" i="1"/>
  <c r="E954" i="1"/>
  <c r="B955" i="1"/>
  <c r="E955" i="1"/>
  <c r="B956" i="1"/>
  <c r="E956" i="1"/>
  <c r="B957" i="1"/>
  <c r="E957" i="1"/>
  <c r="B958" i="1"/>
  <c r="E958" i="1"/>
  <c r="B959" i="1"/>
  <c r="E959" i="1"/>
  <c r="B960" i="1"/>
  <c r="E960" i="1"/>
  <c r="B961" i="1"/>
  <c r="E961" i="1"/>
  <c r="B962" i="1"/>
  <c r="E962" i="1"/>
  <c r="B963" i="1"/>
  <c r="E963" i="1"/>
  <c r="B964" i="1"/>
  <c r="E964" i="1"/>
  <c r="B965" i="1"/>
  <c r="E965" i="1"/>
  <c r="B966" i="1"/>
  <c r="E966" i="1"/>
  <c r="B967" i="1"/>
  <c r="E967" i="1"/>
  <c r="B968" i="1"/>
  <c r="E968" i="1"/>
  <c r="B969" i="1"/>
  <c r="E969" i="1"/>
  <c r="B970" i="1"/>
  <c r="E970" i="1"/>
  <c r="B971" i="1"/>
  <c r="E971" i="1"/>
  <c r="B972" i="1"/>
  <c r="E972" i="1"/>
  <c r="B973" i="1"/>
  <c r="E973" i="1"/>
  <c r="B974" i="1"/>
  <c r="E974" i="1"/>
  <c r="B975" i="1"/>
  <c r="E975" i="1"/>
  <c r="B976" i="1"/>
  <c r="E976" i="1"/>
  <c r="B977" i="1"/>
  <c r="E977" i="1"/>
  <c r="B978" i="1"/>
  <c r="E978" i="1"/>
  <c r="B979" i="1"/>
  <c r="E979" i="1"/>
  <c r="B980" i="1"/>
  <c r="E980" i="1"/>
  <c r="B981" i="1"/>
  <c r="E981" i="1"/>
  <c r="B982" i="1"/>
  <c r="E982" i="1"/>
  <c r="B983" i="1"/>
  <c r="E983" i="1"/>
  <c r="B984" i="1"/>
  <c r="E984" i="1"/>
  <c r="B985" i="1"/>
  <c r="E985" i="1"/>
  <c r="B986" i="1"/>
  <c r="E986" i="1"/>
  <c r="B987" i="1"/>
  <c r="E987" i="1"/>
  <c r="B988" i="1"/>
  <c r="E988" i="1"/>
  <c r="B989" i="1"/>
  <c r="E989" i="1"/>
  <c r="B990" i="1"/>
  <c r="E990" i="1"/>
  <c r="B991" i="1"/>
  <c r="E991" i="1"/>
  <c r="B992" i="1"/>
  <c r="E992" i="1"/>
  <c r="B993" i="1"/>
  <c r="E993" i="1"/>
  <c r="B994" i="1"/>
  <c r="E994" i="1"/>
  <c r="B995" i="1"/>
  <c r="E995" i="1"/>
  <c r="B996" i="1"/>
  <c r="E996" i="1"/>
  <c r="B997" i="1"/>
  <c r="E997" i="1"/>
  <c r="B998" i="1"/>
  <c r="E998" i="1"/>
  <c r="B999" i="1"/>
  <c r="E999" i="1"/>
  <c r="B1000" i="1"/>
  <c r="E1000" i="1"/>
  <c r="B1001" i="1"/>
  <c r="E1001" i="1"/>
  <c r="B1002" i="1"/>
  <c r="E1002" i="1"/>
  <c r="B1003" i="1"/>
  <c r="E1003" i="1"/>
  <c r="B1004" i="1"/>
  <c r="E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E1018" i="1"/>
  <c r="B1019" i="1"/>
  <c r="E1019" i="1"/>
  <c r="B1020" i="1"/>
  <c r="E1020" i="1"/>
  <c r="B1021" i="1"/>
  <c r="E1021" i="1"/>
  <c r="B1022" i="1"/>
  <c r="E1022" i="1"/>
  <c r="B1023" i="1"/>
  <c r="E1023" i="1"/>
  <c r="B1024" i="1"/>
  <c r="E1024" i="1"/>
  <c r="B1025" i="1"/>
  <c r="E1025" i="1"/>
  <c r="B1026" i="1"/>
  <c r="E1026" i="1"/>
  <c r="B1027" i="1"/>
  <c r="E1027" i="1"/>
  <c r="B1028" i="1"/>
  <c r="E1028" i="1"/>
  <c r="B1029" i="1"/>
  <c r="E1029" i="1"/>
  <c r="B1030" i="1"/>
  <c r="E1030" i="1"/>
  <c r="B1031" i="1"/>
  <c r="E1031" i="1"/>
  <c r="B1032" i="1"/>
  <c r="E1032" i="1"/>
  <c r="B1033" i="1"/>
  <c r="E1033" i="1"/>
  <c r="B1034" i="1"/>
  <c r="E1034" i="1"/>
  <c r="B1035" i="1"/>
  <c r="E1035" i="1"/>
  <c r="B1036" i="1"/>
  <c r="E1036" i="1"/>
  <c r="B1037" i="1"/>
  <c r="E1037" i="1"/>
  <c r="B1038" i="1"/>
  <c r="E1038" i="1"/>
  <c r="B1039" i="1"/>
  <c r="E1039" i="1"/>
  <c r="B1040" i="1"/>
  <c r="E1040" i="1"/>
  <c r="B1041" i="1"/>
  <c r="E1041" i="1"/>
  <c r="B1042" i="1"/>
  <c r="E1042" i="1"/>
  <c r="B1043" i="1"/>
  <c r="E1043" i="1"/>
  <c r="B1044" i="1"/>
  <c r="E1044" i="1"/>
  <c r="B1045" i="1"/>
  <c r="E1045" i="1"/>
  <c r="B1046" i="1"/>
  <c r="E1046" i="1"/>
  <c r="B1047" i="1"/>
  <c r="E1047" i="1"/>
  <c r="B1048" i="1"/>
  <c r="E1048" i="1"/>
  <c r="B1049" i="1"/>
  <c r="E1049" i="1"/>
  <c r="B1050" i="1"/>
  <c r="E1050" i="1"/>
  <c r="B1051" i="1"/>
  <c r="E1051" i="1"/>
  <c r="B1052" i="1"/>
  <c r="E1052" i="1"/>
  <c r="B1053" i="1"/>
  <c r="E1053" i="1"/>
  <c r="B1054" i="1"/>
  <c r="E1054" i="1"/>
  <c r="B1055" i="1"/>
  <c r="E1055" i="1"/>
  <c r="B1056" i="1"/>
  <c r="E1056" i="1"/>
  <c r="B1057" i="1"/>
  <c r="E1057" i="1"/>
  <c r="B1058" i="1"/>
  <c r="E1058" i="1"/>
  <c r="B1059" i="1"/>
  <c r="E1059" i="1"/>
  <c r="B1060" i="1"/>
  <c r="E1060" i="1"/>
  <c r="B1061" i="1"/>
  <c r="E1061" i="1"/>
  <c r="B1062" i="1"/>
  <c r="E1062" i="1"/>
  <c r="B1063" i="1"/>
  <c r="E1063" i="1"/>
  <c r="B1064" i="1"/>
  <c r="E1064" i="1"/>
  <c r="B1065" i="1"/>
  <c r="E1065" i="1"/>
  <c r="B1066" i="1"/>
  <c r="E1066" i="1"/>
  <c r="B1067" i="1"/>
  <c r="E1067" i="1"/>
  <c r="B1068" i="1"/>
  <c r="E1068" i="1"/>
  <c r="B1069" i="1"/>
  <c r="E1069" i="1"/>
  <c r="B1070" i="1"/>
  <c r="E1070" i="1"/>
  <c r="B1071" i="1"/>
  <c r="E1071" i="1"/>
  <c r="B1072" i="1"/>
  <c r="E1072" i="1"/>
  <c r="B1073" i="1"/>
  <c r="E1073" i="1"/>
  <c r="B1074" i="1"/>
  <c r="E1074" i="1"/>
  <c r="B1075" i="1"/>
  <c r="E1075" i="1"/>
  <c r="B1076" i="1"/>
  <c r="E1076" i="1"/>
  <c r="B1077" i="1"/>
  <c r="E1077" i="1"/>
  <c r="B1078" i="1"/>
  <c r="E1078" i="1"/>
  <c r="B1079" i="1"/>
  <c r="E1079" i="1"/>
  <c r="B1080" i="1"/>
  <c r="E1080" i="1"/>
  <c r="B1081" i="1"/>
  <c r="E1081" i="1"/>
  <c r="B1082" i="1"/>
  <c r="E1082" i="1"/>
  <c r="B1083" i="1"/>
  <c r="E1083" i="1"/>
  <c r="B1084" i="1"/>
  <c r="E1084" i="1"/>
  <c r="B1085" i="1"/>
  <c r="E1085" i="1"/>
  <c r="B1086" i="1"/>
  <c r="E1086" i="1"/>
  <c r="B1087" i="1"/>
  <c r="E1087" i="1"/>
  <c r="B1088" i="1"/>
  <c r="E1088" i="1"/>
  <c r="B1089" i="1"/>
  <c r="E1089" i="1"/>
  <c r="B1090" i="1"/>
  <c r="E1090" i="1"/>
  <c r="B1091" i="1"/>
  <c r="E1091" i="1"/>
  <c r="B1092" i="1"/>
  <c r="E1092" i="1"/>
  <c r="B1093" i="1"/>
  <c r="E1093" i="1"/>
  <c r="B1094" i="1"/>
  <c r="E1094" i="1"/>
  <c r="B1095" i="1"/>
  <c r="E1095" i="1"/>
  <c r="B1096" i="1"/>
  <c r="E1096" i="1"/>
  <c r="B1097" i="1"/>
  <c r="E1097" i="1"/>
  <c r="B1098" i="1"/>
  <c r="E1098" i="1"/>
  <c r="B1099" i="1"/>
  <c r="E1099" i="1"/>
  <c r="B1100" i="1"/>
  <c r="E1100" i="1"/>
  <c r="B1101" i="1"/>
  <c r="E1101" i="1"/>
  <c r="B1102" i="1"/>
  <c r="E1102" i="1"/>
  <c r="B1103" i="1"/>
  <c r="E1103" i="1"/>
  <c r="B1104" i="1"/>
  <c r="E1104" i="1"/>
  <c r="B1105" i="1"/>
  <c r="E1105" i="1"/>
  <c r="B1106" i="1"/>
  <c r="E1106" i="1"/>
  <c r="B1107" i="1"/>
  <c r="E1107" i="1"/>
  <c r="B1108" i="1"/>
  <c r="E1108" i="1"/>
  <c r="B1109" i="1"/>
  <c r="E1109" i="1"/>
  <c r="B1110" i="1"/>
  <c r="E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E1119" i="1"/>
  <c r="B1120" i="1"/>
  <c r="E1120" i="1"/>
  <c r="B1121" i="1"/>
  <c r="E1121" i="1"/>
  <c r="B1122" i="1"/>
  <c r="E1122" i="1"/>
  <c r="B1123" i="1"/>
  <c r="E1123" i="1"/>
  <c r="B1124" i="1"/>
  <c r="E1124" i="1"/>
  <c r="B1125" i="1"/>
  <c r="E1125" i="1"/>
  <c r="B1126" i="1"/>
  <c r="E1126" i="1"/>
  <c r="B1127" i="1"/>
  <c r="E1127" i="1"/>
  <c r="B1128" i="1"/>
  <c r="E1128" i="1"/>
  <c r="B1129" i="1"/>
  <c r="E1129" i="1"/>
  <c r="B1130" i="1"/>
  <c r="E1130" i="1"/>
  <c r="B1131" i="1"/>
  <c r="E1131" i="1"/>
  <c r="B1132" i="1"/>
  <c r="E1132" i="1"/>
  <c r="B1133" i="1"/>
  <c r="E1133" i="1"/>
  <c r="B1134" i="1"/>
  <c r="E1134" i="1"/>
  <c r="B1135" i="1"/>
  <c r="E1135" i="1"/>
  <c r="B1136" i="1"/>
  <c r="E1136" i="1"/>
  <c r="B1137" i="1"/>
  <c r="E1137" i="1"/>
  <c r="B1138" i="1"/>
  <c r="E1138" i="1"/>
  <c r="B1139" i="1"/>
  <c r="E1139" i="1"/>
  <c r="B1140" i="1"/>
  <c r="E1140" i="1"/>
  <c r="B1141" i="1"/>
  <c r="E1141" i="1"/>
  <c r="B1142" i="1"/>
  <c r="E1142" i="1"/>
  <c r="B1143" i="1"/>
  <c r="E1143" i="1"/>
  <c r="B1144" i="1"/>
  <c r="E1144" i="1"/>
  <c r="B1145" i="1"/>
  <c r="E1145" i="1"/>
  <c r="B1146" i="1"/>
  <c r="E1146" i="1"/>
  <c r="B1147" i="1"/>
  <c r="E1147" i="1"/>
  <c r="B1148" i="1"/>
  <c r="E1148" i="1"/>
  <c r="B1149" i="1"/>
  <c r="E1149" i="1"/>
  <c r="B1150" i="1"/>
  <c r="E1150" i="1"/>
  <c r="B1151" i="1"/>
  <c r="E1151" i="1"/>
  <c r="B1152" i="1"/>
  <c r="E1152" i="1"/>
  <c r="B1153" i="1"/>
  <c r="E1153" i="1"/>
  <c r="B1154" i="1"/>
  <c r="E1154" i="1"/>
  <c r="B1155" i="1"/>
  <c r="E1155" i="1"/>
  <c r="B1156" i="1"/>
  <c r="E1156" i="1"/>
  <c r="B1157" i="1"/>
  <c r="E1157" i="1"/>
  <c r="B1158" i="1"/>
  <c r="E1158" i="1"/>
  <c r="B1159" i="1"/>
  <c r="E1159" i="1"/>
  <c r="B1160" i="1"/>
  <c r="E1160" i="1"/>
  <c r="B1161" i="1"/>
  <c r="E1161" i="1"/>
  <c r="B1162" i="1"/>
  <c r="E1162" i="1"/>
  <c r="B1163" i="1"/>
  <c r="E1163" i="1"/>
  <c r="B1164" i="1"/>
  <c r="E1164" i="1"/>
  <c r="B1165" i="1"/>
  <c r="E1165" i="1"/>
  <c r="B1166" i="1"/>
  <c r="E1166" i="1"/>
  <c r="B1167" i="1"/>
  <c r="E1167" i="1"/>
  <c r="B1168" i="1"/>
  <c r="E1168" i="1"/>
  <c r="B1169" i="1"/>
  <c r="E1169" i="1"/>
  <c r="B1170" i="1"/>
  <c r="E1170" i="1"/>
  <c r="B1171" i="1"/>
  <c r="E1171" i="1"/>
  <c r="B1172" i="1"/>
  <c r="E1172" i="1"/>
  <c r="B1173" i="1"/>
  <c r="E1173" i="1"/>
  <c r="B1174" i="1"/>
  <c r="E1174" i="1"/>
  <c r="B1175" i="1"/>
  <c r="E1175" i="1"/>
  <c r="B1176" i="1"/>
  <c r="E1176" i="1"/>
  <c r="B1177" i="1"/>
  <c r="E1177" i="1"/>
  <c r="B1178" i="1"/>
  <c r="E1178" i="1"/>
  <c r="B1179" i="1"/>
  <c r="E1179" i="1"/>
  <c r="B1180" i="1"/>
  <c r="E1180" i="1"/>
  <c r="B1181" i="1"/>
  <c r="E1181" i="1"/>
  <c r="B1182" i="1"/>
  <c r="E1182" i="1"/>
  <c r="B1183" i="1"/>
  <c r="E1183" i="1"/>
  <c r="B1184" i="1"/>
  <c r="E1184" i="1"/>
  <c r="B1185" i="1"/>
  <c r="E1185" i="1"/>
  <c r="B1186" i="1"/>
  <c r="E1186" i="1"/>
  <c r="B1187" i="1"/>
  <c r="E1187" i="1"/>
  <c r="B1188" i="1"/>
  <c r="E1188" i="1"/>
  <c r="B1189" i="1"/>
  <c r="E1189" i="1"/>
  <c r="B1190" i="1"/>
  <c r="E1190" i="1"/>
  <c r="B1191" i="1"/>
  <c r="E1191" i="1"/>
  <c r="B1192" i="1"/>
  <c r="E1192" i="1"/>
  <c r="B1193" i="1"/>
  <c r="E1193" i="1"/>
  <c r="B1194" i="1"/>
  <c r="E1194" i="1"/>
  <c r="B1195" i="1"/>
  <c r="E1195" i="1"/>
  <c r="B1196" i="1"/>
  <c r="E1196" i="1"/>
  <c r="B1197" i="1"/>
  <c r="E1197" i="1"/>
  <c r="B1198" i="1"/>
  <c r="E1198" i="1"/>
  <c r="B1199" i="1"/>
  <c r="E1199" i="1"/>
  <c r="B1200" i="1"/>
  <c r="E1200" i="1"/>
  <c r="B1201" i="1"/>
  <c r="E1201" i="1"/>
  <c r="B1202" i="1"/>
  <c r="E1202" i="1"/>
  <c r="B1203" i="1"/>
  <c r="E1203" i="1"/>
  <c r="B1204" i="1"/>
  <c r="E1204" i="1"/>
  <c r="B1205" i="1"/>
  <c r="E1205" i="1"/>
  <c r="B1206" i="1"/>
  <c r="E1206" i="1"/>
  <c r="B1207" i="1"/>
  <c r="E1207" i="1"/>
  <c r="B1208" i="1"/>
  <c r="E1208" i="1"/>
  <c r="B1209" i="1"/>
  <c r="E1209" i="1"/>
  <c r="B1210" i="1"/>
  <c r="E1210" i="1"/>
  <c r="B1211" i="1"/>
  <c r="E1211" i="1"/>
  <c r="B1212" i="1"/>
  <c r="E1212" i="1"/>
  <c r="B1213" i="1"/>
  <c r="E1213" i="1"/>
  <c r="B1214" i="1"/>
  <c r="E1214" i="1"/>
  <c r="B1215" i="1"/>
  <c r="E1215" i="1"/>
  <c r="B1216" i="1"/>
  <c r="E1216" i="1"/>
  <c r="B1217" i="1"/>
  <c r="E1217" i="1"/>
  <c r="B1218" i="1"/>
  <c r="E1218" i="1"/>
  <c r="B1219" i="1"/>
  <c r="E1219" i="1"/>
  <c r="B1220" i="1"/>
  <c r="E1220" i="1"/>
  <c r="B1221" i="1"/>
  <c r="E1221" i="1"/>
  <c r="B1222" i="1"/>
  <c r="E1222" i="1"/>
  <c r="B1223" i="1"/>
  <c r="E1223" i="1"/>
  <c r="B1224" i="1"/>
  <c r="E1224" i="1"/>
  <c r="B1225" i="1"/>
  <c r="E1225" i="1"/>
  <c r="B1226" i="1"/>
  <c r="E1226" i="1"/>
  <c r="B1227" i="1"/>
  <c r="E1227" i="1"/>
  <c r="B1228" i="1"/>
  <c r="E1228" i="1"/>
  <c r="B1229" i="1"/>
  <c r="E1229" i="1"/>
  <c r="B1230" i="1"/>
  <c r="E1230" i="1"/>
  <c r="B1231" i="1"/>
  <c r="E1231" i="1"/>
  <c r="B1232" i="1"/>
  <c r="E1232" i="1"/>
  <c r="B1233" i="1"/>
  <c r="E1233" i="1"/>
  <c r="B1234" i="1"/>
  <c r="E1234" i="1"/>
  <c r="B1235" i="1"/>
  <c r="E1235" i="1"/>
  <c r="B1236" i="1"/>
  <c r="E1236" i="1"/>
  <c r="B1237" i="1"/>
  <c r="E1237" i="1"/>
  <c r="B1238" i="1"/>
  <c r="E1238" i="1"/>
  <c r="B1239" i="1"/>
  <c r="E1239" i="1"/>
  <c r="B1240" i="1"/>
  <c r="E1240" i="1"/>
  <c r="B1241" i="1"/>
  <c r="E1241" i="1"/>
  <c r="B1242" i="1"/>
  <c r="E1242" i="1"/>
  <c r="B1243" i="1"/>
  <c r="E1243" i="1"/>
  <c r="B1244" i="1"/>
  <c r="E1244" i="1"/>
  <c r="B1245" i="1"/>
  <c r="E1245" i="1"/>
  <c r="B1246" i="1"/>
  <c r="E1246" i="1"/>
  <c r="B1247" i="1"/>
  <c r="E1247" i="1"/>
  <c r="B1248" i="1"/>
  <c r="E1248" i="1"/>
  <c r="B1249" i="1"/>
  <c r="E1249" i="1"/>
  <c r="B1250" i="1"/>
  <c r="E1250" i="1"/>
  <c r="B1251" i="1"/>
  <c r="E1251" i="1"/>
  <c r="B1252" i="1"/>
  <c r="E1252" i="1"/>
  <c r="B1253" i="1"/>
  <c r="E1253" i="1"/>
  <c r="B1254" i="1"/>
  <c r="E1254" i="1"/>
  <c r="B1255" i="1"/>
  <c r="E1255" i="1"/>
  <c r="B1256" i="1"/>
  <c r="E1256" i="1"/>
  <c r="B1257" i="1"/>
  <c r="E1257" i="1"/>
  <c r="B1258" i="1"/>
  <c r="E1258" i="1"/>
  <c r="B1259" i="1"/>
  <c r="E1259" i="1"/>
  <c r="B1260" i="1"/>
  <c r="E1260" i="1"/>
  <c r="B1261" i="1"/>
  <c r="E1261" i="1"/>
  <c r="B1262" i="1"/>
  <c r="E1262" i="1"/>
  <c r="B1263" i="1"/>
  <c r="E1263" i="1"/>
  <c r="B1264" i="1"/>
  <c r="E1264" i="1"/>
  <c r="B1265" i="1"/>
  <c r="E1265" i="1"/>
  <c r="B1266" i="1"/>
  <c r="E1266" i="1"/>
  <c r="B1267" i="1"/>
  <c r="E1267" i="1"/>
  <c r="B1268" i="1"/>
  <c r="E1268" i="1"/>
  <c r="B1269" i="1"/>
  <c r="E1269" i="1"/>
  <c r="B1270" i="1"/>
  <c r="E1270" i="1"/>
  <c r="B1271" i="1"/>
  <c r="E1271" i="1"/>
  <c r="B1272" i="1"/>
  <c r="E1272" i="1"/>
  <c r="B1273" i="1"/>
  <c r="E1273" i="1"/>
  <c r="B1274" i="1"/>
  <c r="E1274" i="1"/>
  <c r="B1275" i="1"/>
  <c r="E1275" i="1"/>
  <c r="B1276" i="1"/>
  <c r="E1276" i="1"/>
  <c r="B1277" i="1"/>
  <c r="E1277" i="1"/>
  <c r="B1278" i="1"/>
  <c r="E1278" i="1"/>
  <c r="B1279" i="1"/>
  <c r="E1279" i="1"/>
  <c r="B1280" i="1"/>
  <c r="E1280" i="1"/>
  <c r="B1281" i="1"/>
  <c r="E1281" i="1"/>
  <c r="B1282" i="1"/>
  <c r="E1282" i="1"/>
  <c r="B1283" i="1"/>
  <c r="E1283" i="1"/>
  <c r="B1284" i="1"/>
  <c r="E1284" i="1"/>
  <c r="B1285" i="1"/>
  <c r="E1285" i="1"/>
  <c r="B1286" i="1"/>
  <c r="E1286" i="1"/>
  <c r="B1287" i="1"/>
  <c r="E1287" i="1"/>
  <c r="B1288" i="1"/>
  <c r="E1288" i="1"/>
  <c r="B1289" i="1"/>
  <c r="E1289" i="1"/>
  <c r="B1290" i="1"/>
  <c r="E1290" i="1"/>
  <c r="B1291" i="1"/>
  <c r="E1291" i="1"/>
  <c r="B1292" i="1"/>
  <c r="E1292" i="1"/>
  <c r="B1293" i="1"/>
  <c r="E1293" i="1"/>
  <c r="B1294" i="1"/>
  <c r="E1294" i="1"/>
  <c r="B1295" i="1"/>
  <c r="E1295" i="1"/>
  <c r="B1296" i="1"/>
  <c r="E1296" i="1"/>
  <c r="B1297" i="1"/>
  <c r="E1297" i="1"/>
  <c r="B1298" i="1"/>
  <c r="E1298" i="1"/>
  <c r="B1299" i="1"/>
  <c r="E1299" i="1"/>
  <c r="B1300" i="1"/>
  <c r="E1300" i="1"/>
  <c r="B1301" i="1"/>
  <c r="E1301" i="1"/>
  <c r="B1302" i="1"/>
  <c r="E1302" i="1"/>
  <c r="B1303" i="1"/>
  <c r="E1303" i="1"/>
  <c r="B1304" i="1"/>
  <c r="E1304" i="1"/>
  <c r="B1305" i="1"/>
  <c r="E1305" i="1"/>
  <c r="B1306" i="1"/>
  <c r="E1306" i="1"/>
  <c r="B1307" i="1"/>
  <c r="E1307" i="1"/>
  <c r="B1308" i="1"/>
  <c r="E1308" i="1"/>
  <c r="B1309" i="1"/>
  <c r="E1309" i="1"/>
  <c r="B1310" i="1"/>
  <c r="E1310" i="1"/>
  <c r="B1311" i="1"/>
  <c r="E1311" i="1"/>
  <c r="B1312" i="1"/>
  <c r="E1312" i="1"/>
  <c r="B1313" i="1"/>
  <c r="E1313" i="1"/>
  <c r="B1314" i="1"/>
  <c r="E1314" i="1"/>
  <c r="B1315" i="1"/>
  <c r="E1315" i="1"/>
  <c r="B1316" i="1"/>
  <c r="E1316" i="1"/>
  <c r="B1317" i="1"/>
  <c r="E1317" i="1"/>
  <c r="B1318" i="1"/>
  <c r="E1318" i="1"/>
  <c r="B1319" i="1"/>
  <c r="E1319" i="1"/>
  <c r="B1320" i="1"/>
  <c r="E1320" i="1"/>
  <c r="B1321" i="1"/>
  <c r="E1321" i="1"/>
  <c r="B1322" i="1"/>
  <c r="E1322" i="1"/>
  <c r="B1323" i="1"/>
  <c r="E1323" i="1"/>
  <c r="B1324" i="1"/>
  <c r="E1324" i="1"/>
  <c r="B1325" i="1"/>
  <c r="E1325" i="1"/>
  <c r="B1326" i="1"/>
  <c r="E1326" i="1"/>
  <c r="B1327" i="1"/>
  <c r="E1327" i="1"/>
  <c r="B1328" i="1"/>
  <c r="E1328" i="1"/>
  <c r="B1329" i="1"/>
  <c r="E1329" i="1"/>
  <c r="B1330" i="1"/>
  <c r="E1330" i="1"/>
  <c r="B1331" i="1"/>
  <c r="E1331" i="1"/>
  <c r="B1332" i="1"/>
  <c r="E1332" i="1"/>
  <c r="B1333" i="1"/>
  <c r="E1333" i="1"/>
  <c r="B1334" i="1"/>
  <c r="E1334" i="1"/>
  <c r="B1335" i="1"/>
  <c r="E1335" i="1"/>
  <c r="B1336" i="1"/>
  <c r="E1336" i="1"/>
  <c r="B1337" i="1"/>
  <c r="E1337" i="1"/>
  <c r="B1338" i="1"/>
  <c r="E1338" i="1"/>
  <c r="B1339" i="1"/>
  <c r="E1339" i="1"/>
  <c r="B1340" i="1"/>
  <c r="E1340" i="1"/>
  <c r="B1341" i="1"/>
  <c r="E1341" i="1"/>
  <c r="B1342" i="1"/>
  <c r="E1342" i="1"/>
  <c r="B1343" i="1"/>
  <c r="E1343" i="1"/>
  <c r="B1344" i="1"/>
  <c r="E1344" i="1"/>
  <c r="B1345" i="1"/>
  <c r="E1345" i="1"/>
  <c r="B1346" i="1"/>
  <c r="E1346" i="1"/>
  <c r="B1347" i="1"/>
  <c r="E1347" i="1"/>
  <c r="B1348" i="1"/>
  <c r="E1348" i="1"/>
  <c r="B1349" i="1"/>
  <c r="E1349" i="1"/>
  <c r="B1350" i="1"/>
  <c r="E1350" i="1"/>
  <c r="B1351" i="1"/>
  <c r="E1351" i="1"/>
  <c r="B1352" i="1"/>
  <c r="E1352" i="1"/>
  <c r="B1353" i="1"/>
  <c r="E1353" i="1"/>
  <c r="B1354" i="1"/>
  <c r="E1354" i="1"/>
  <c r="B1355" i="1"/>
  <c r="E1355" i="1"/>
</calcChain>
</file>

<file path=xl/sharedStrings.xml><?xml version="1.0" encoding="utf-8"?>
<sst xmlns="http://schemas.openxmlformats.org/spreadsheetml/2006/main" count="4067" uniqueCount="467">
  <si>
    <t>Wisconsin Department of Revenue</t>
  </si>
  <si>
    <t>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</si>
  <si>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</si>
  <si>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</si>
  <si>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</si>
  <si>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</si>
  <si>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</si>
  <si>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</si>
  <si>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</si>
  <si>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ADAMS                                   </t>
  </si>
  <si>
    <t xml:space="preserve">CITY OF    </t>
  </si>
  <si>
    <t xml:space="preserve">VILLAGE OF </t>
  </si>
  <si>
    <t xml:space="preserve">FRIENDSHIP                              </t>
  </si>
  <si>
    <t xml:space="preserve">TOWN OF    </t>
  </si>
  <si>
    <t xml:space="preserve">ROME                                    </t>
  </si>
  <si>
    <t xml:space="preserve">WISCONSIN DELLS                         </t>
  </si>
  <si>
    <t xml:space="preserve">ASHLAND                                 </t>
  </si>
  <si>
    <t xml:space="preserve">BARRON                                  </t>
  </si>
  <si>
    <t xml:space="preserve">CAMERON                                 </t>
  </si>
  <si>
    <t xml:space="preserve">CHETEK                                  </t>
  </si>
  <si>
    <t xml:space="preserve">CUMBERLAND                              </t>
  </si>
  <si>
    <t xml:space="preserve">DALLAS                                  </t>
  </si>
  <si>
    <t xml:space="preserve">PRAIRIE FARM                            </t>
  </si>
  <si>
    <t xml:space="preserve">RICE LAKE                               </t>
  </si>
  <si>
    <t xml:space="preserve">TURTLE LAKE                             </t>
  </si>
  <si>
    <t xml:space="preserve">BAYFIELD                                </t>
  </si>
  <si>
    <t xml:space="preserve">MASON                                   </t>
  </si>
  <si>
    <t xml:space="preserve">WASHBURN                                </t>
  </si>
  <si>
    <t xml:space="preserve">BROWN                                   </t>
  </si>
  <si>
    <t xml:space="preserve">ALLOUEZ                                 </t>
  </si>
  <si>
    <t xml:space="preserve">ASHWAUBENON                             </t>
  </si>
  <si>
    <t xml:space="preserve">BELLEVUE                                </t>
  </si>
  <si>
    <t xml:space="preserve">DE PERE                                 </t>
  </si>
  <si>
    <t xml:space="preserve">GREEN BAY                               </t>
  </si>
  <si>
    <t xml:space="preserve">HOBART                                  </t>
  </si>
  <si>
    <t xml:space="preserve">HOWARD                                  </t>
  </si>
  <si>
    <t xml:space="preserve">LAWRENCE                                </t>
  </si>
  <si>
    <t xml:space="preserve">LEDGEVIEW                               </t>
  </si>
  <si>
    <t xml:space="preserve">PULASKI                                 </t>
  </si>
  <si>
    <t xml:space="preserve">SUAMICO                                 </t>
  </si>
  <si>
    <t xml:space="preserve">WRIGHTSTOWN                             </t>
  </si>
  <si>
    <t xml:space="preserve">BUFFALO                                 </t>
  </si>
  <si>
    <t xml:space="preserve">ALMA                                    </t>
  </si>
  <si>
    <t xml:space="preserve">COCHRANE                                </t>
  </si>
  <si>
    <t xml:space="preserve">MONDOVI                                 </t>
  </si>
  <si>
    <t xml:space="preserve">BURNETT                                 </t>
  </si>
  <si>
    <t xml:space="preserve">GRANTSBURG                              </t>
  </si>
  <si>
    <t xml:space="preserve">SIREN                                   </t>
  </si>
  <si>
    <t xml:space="preserve">WEBSTER                                 </t>
  </si>
  <si>
    <t xml:space="preserve">CALUMET                                 </t>
  </si>
  <si>
    <t xml:space="preserve">APPLETON                                </t>
  </si>
  <si>
    <t xml:space="preserve">BRILLION                                </t>
  </si>
  <si>
    <t xml:space="preserve">CHILTON                                 </t>
  </si>
  <si>
    <t xml:space="preserve">HARRISON                                </t>
  </si>
  <si>
    <t xml:space="preserve">HILBERT                                 </t>
  </si>
  <si>
    <t xml:space="preserve">KIEL                                    </t>
  </si>
  <si>
    <t xml:space="preserve">MENASHA                                 </t>
  </si>
  <si>
    <t xml:space="preserve">NEW HOLSTEIN                            </t>
  </si>
  <si>
    <t xml:space="preserve">SHERWOOD                                </t>
  </si>
  <si>
    <t xml:space="preserve">CHIPPEWA                                </t>
  </si>
  <si>
    <t xml:space="preserve">BLOOMER                                 </t>
  </si>
  <si>
    <t xml:space="preserve">CADOTT                                  </t>
  </si>
  <si>
    <t xml:space="preserve">CHIPPEWA FALLS                          </t>
  </si>
  <si>
    <t xml:space="preserve">EAU CLAIRE                              </t>
  </si>
  <si>
    <t xml:space="preserve">LAKE HALLIE                             </t>
  </si>
  <si>
    <t xml:space="preserve">NEW AUBURN                              </t>
  </si>
  <si>
    <t xml:space="preserve">STANLEY                                 </t>
  </si>
  <si>
    <t xml:space="preserve">CLARK                                   </t>
  </si>
  <si>
    <t xml:space="preserve">ABBOTSFORD                              </t>
  </si>
  <si>
    <t xml:space="preserve">DORCHESTER                              </t>
  </si>
  <si>
    <t xml:space="preserve">GRANTON                                 </t>
  </si>
  <si>
    <t xml:space="preserve">GREENWOOD                               </t>
  </si>
  <si>
    <t xml:space="preserve">LOYAL                                   </t>
  </si>
  <si>
    <t xml:space="preserve">NEILLSVILLE                             </t>
  </si>
  <si>
    <t xml:space="preserve">OWEN                                    </t>
  </si>
  <si>
    <t xml:space="preserve">THORP                                   </t>
  </si>
  <si>
    <t xml:space="preserve">UNITY                                   </t>
  </si>
  <si>
    <t xml:space="preserve">WITHEE                                  </t>
  </si>
  <si>
    <t xml:space="preserve">COLUMBIA                                </t>
  </si>
  <si>
    <t xml:space="preserve">ARLINGTON                               </t>
  </si>
  <si>
    <t xml:space="preserve">COLUMBUS                                </t>
  </si>
  <si>
    <t xml:space="preserve">FALL RIVER                              </t>
  </si>
  <si>
    <t xml:space="preserve">LODI                                    </t>
  </si>
  <si>
    <t xml:space="preserve">PORTAGE                                 </t>
  </si>
  <si>
    <t xml:space="preserve">RIO                                     </t>
  </si>
  <si>
    <t xml:space="preserve">CRAWFORD                                </t>
  </si>
  <si>
    <t xml:space="preserve">DE SOTO                                 </t>
  </si>
  <si>
    <t xml:space="preserve">FERRYVILLE                              </t>
  </si>
  <si>
    <t xml:space="preserve">GAYS MILLS                              </t>
  </si>
  <si>
    <t xml:space="preserve">PRAIRIE DU CHIEN                        </t>
  </si>
  <si>
    <t xml:space="preserve">DANE                                    </t>
  </si>
  <si>
    <t xml:space="preserve">BELLEVILLE                              </t>
  </si>
  <si>
    <t xml:space="preserve">BLACK EARTH                             </t>
  </si>
  <si>
    <t xml:space="preserve">BROOKLYN                                </t>
  </si>
  <si>
    <t xml:space="preserve">CAMBRIDGE                               </t>
  </si>
  <si>
    <t xml:space="preserve">COTTAGE GROVE                           </t>
  </si>
  <si>
    <t xml:space="preserve">CROSS PLAINS                            </t>
  </si>
  <si>
    <t xml:space="preserve">DEERFIELD                               </t>
  </si>
  <si>
    <t xml:space="preserve">DEFOREST                                </t>
  </si>
  <si>
    <t xml:space="preserve">FITCHBURG                               </t>
  </si>
  <si>
    <t xml:space="preserve">MADISON                                 </t>
  </si>
  <si>
    <t xml:space="preserve">MAPLE BLUFF                             </t>
  </si>
  <si>
    <t xml:space="preserve">MARSHALL                                </t>
  </si>
  <si>
    <t xml:space="preserve">MAZOMANIE                               </t>
  </si>
  <si>
    <t xml:space="preserve">MCFARLAND                               </t>
  </si>
  <si>
    <t xml:space="preserve">MIDDLETON                               </t>
  </si>
  <si>
    <t xml:space="preserve">MONONA                                  </t>
  </si>
  <si>
    <t xml:space="preserve">MOUNT HOREB                             </t>
  </si>
  <si>
    <t xml:space="preserve">OREGON                                  </t>
  </si>
  <si>
    <t xml:space="preserve">SHOREWOOD HILLS                         </t>
  </si>
  <si>
    <t xml:space="preserve">SPRINGFIELD                             </t>
  </si>
  <si>
    <t xml:space="preserve">STOUGHTON                               </t>
  </si>
  <si>
    <t xml:space="preserve">SUN PRAIRIE                             </t>
  </si>
  <si>
    <t xml:space="preserve">VERONA                                  </t>
  </si>
  <si>
    <t xml:space="preserve">WAUNAKEE                                </t>
  </si>
  <si>
    <t xml:space="preserve">WINDSOR                                 </t>
  </si>
  <si>
    <t xml:space="preserve">DODGE                                   </t>
  </si>
  <si>
    <t xml:space="preserve">BEAVER DAM                              </t>
  </si>
  <si>
    <t xml:space="preserve">FOX LAKE                                </t>
  </si>
  <si>
    <t xml:space="preserve">HARTFORD                                </t>
  </si>
  <si>
    <t xml:space="preserve">HORICON                                 </t>
  </si>
  <si>
    <t xml:space="preserve">HUSTISFORD                              </t>
  </si>
  <si>
    <t xml:space="preserve">JUNEAU                                  </t>
  </si>
  <si>
    <t xml:space="preserve">LOMIRA                                  </t>
  </si>
  <si>
    <t xml:space="preserve">MAYVILLE                                </t>
  </si>
  <si>
    <t xml:space="preserve">REESEVILLE                              </t>
  </si>
  <si>
    <t xml:space="preserve">WAUPUN                                  </t>
  </si>
  <si>
    <t xml:space="preserve">DOOR                                    </t>
  </si>
  <si>
    <t xml:space="preserve">SISTER BAY                              </t>
  </si>
  <si>
    <t xml:space="preserve">STURGEON BAY                            </t>
  </si>
  <si>
    <t xml:space="preserve">DOUGLAS                                 </t>
  </si>
  <si>
    <t xml:space="preserve">SOLON SPRINGS                           </t>
  </si>
  <si>
    <t xml:space="preserve">SUPERIOR                                </t>
  </si>
  <si>
    <t xml:space="preserve">DUNN                                    </t>
  </si>
  <si>
    <t xml:space="preserve">BOYCEVILLE                              </t>
  </si>
  <si>
    <t xml:space="preserve">COLFAX                                  </t>
  </si>
  <si>
    <t xml:space="preserve">ELK MOUND                               </t>
  </si>
  <si>
    <t xml:space="preserve">KNAPP                                   </t>
  </si>
  <si>
    <t xml:space="preserve">MENOMONIE                               </t>
  </si>
  <si>
    <t xml:space="preserve">RIDGELAND                               </t>
  </si>
  <si>
    <t xml:space="preserve">ALTOONA                                 </t>
  </si>
  <si>
    <t xml:space="preserve">AUGUSTA                                 </t>
  </si>
  <si>
    <t xml:space="preserve">FALL CREEK                              </t>
  </si>
  <si>
    <t xml:space="preserve">FLORENCE                                </t>
  </si>
  <si>
    <t xml:space="preserve">FOND DU LAC                             </t>
  </si>
  <si>
    <t xml:space="preserve">CAMPBELLSPORT                           </t>
  </si>
  <si>
    <t xml:space="preserve">FAIRWATER                               </t>
  </si>
  <si>
    <t xml:space="preserve">NORTH FOND DU LAC                       </t>
  </si>
  <si>
    <t xml:space="preserve">OAKFIELD                                </t>
  </si>
  <si>
    <t xml:space="preserve">RIPON                                   </t>
  </si>
  <si>
    <t xml:space="preserve">ROSENDALE                               </t>
  </si>
  <si>
    <t xml:space="preserve">FOREST                                  </t>
  </si>
  <si>
    <t xml:space="preserve">CRANDON                                 </t>
  </si>
  <si>
    <t xml:space="preserve">GRANT                                   </t>
  </si>
  <si>
    <t xml:space="preserve">BOSCOBEL                                </t>
  </si>
  <si>
    <t xml:space="preserve">CUBA CITY                               </t>
  </si>
  <si>
    <t xml:space="preserve">DICKEYVILLE                             </t>
  </si>
  <si>
    <t xml:space="preserve">FENNIMORE                               </t>
  </si>
  <si>
    <t xml:space="preserve">LANCASTER                               </t>
  </si>
  <si>
    <t xml:space="preserve">MONTFORT                                </t>
  </si>
  <si>
    <t xml:space="preserve">MUSCODA                                 </t>
  </si>
  <si>
    <t xml:space="preserve">PLATTEVILLE                             </t>
  </si>
  <si>
    <t xml:space="preserve">GREEN                                   </t>
  </si>
  <si>
    <t xml:space="preserve">BRODHEAD                                </t>
  </si>
  <si>
    <t xml:space="preserve">MONROE                                  </t>
  </si>
  <si>
    <t xml:space="preserve">NEW GLARUS                              </t>
  </si>
  <si>
    <t xml:space="preserve">GREEN LAKE                              </t>
  </si>
  <si>
    <t xml:space="preserve">BERLIN                                  </t>
  </si>
  <si>
    <t xml:space="preserve">MARKESAN                                </t>
  </si>
  <si>
    <t xml:space="preserve">PRINCETON                               </t>
  </si>
  <si>
    <t xml:space="preserve">IOWA                                    </t>
  </si>
  <si>
    <t xml:space="preserve">ARENA                                   </t>
  </si>
  <si>
    <t xml:space="preserve">BARNEVELD                               </t>
  </si>
  <si>
    <t xml:space="preserve">DODGEVILLE                              </t>
  </si>
  <si>
    <t xml:space="preserve">HIGHLAND                                </t>
  </si>
  <si>
    <t xml:space="preserve">RIDGEWAY                                </t>
  </si>
  <si>
    <t xml:space="preserve">JACKSON                                 </t>
  </si>
  <si>
    <t xml:space="preserve">BLACK RIVER FALLS                       </t>
  </si>
  <si>
    <t xml:space="preserve">HIXTON                                  </t>
  </si>
  <si>
    <t xml:space="preserve">MERRILLAN                               </t>
  </si>
  <si>
    <t xml:space="preserve">TAYLOR                                  </t>
  </si>
  <si>
    <t xml:space="preserve">JEFFERSON                               </t>
  </si>
  <si>
    <t xml:space="preserve">FORT ATKINSON                           </t>
  </si>
  <si>
    <t xml:space="preserve">JOHNSON CREEK                           </t>
  </si>
  <si>
    <t xml:space="preserve">LAKE MILLS                              </t>
  </si>
  <si>
    <t xml:space="preserve">PALMYRA                                 </t>
  </si>
  <si>
    <t xml:space="preserve">WATERLOO                                </t>
  </si>
  <si>
    <t xml:space="preserve">WATERTOWN                               </t>
  </si>
  <si>
    <t xml:space="preserve">WHITEWATER                              </t>
  </si>
  <si>
    <t xml:space="preserve">CAMP DOUGLAS                            </t>
  </si>
  <si>
    <t xml:space="preserve">ELROY                                   </t>
  </si>
  <si>
    <t xml:space="preserve">MAUSTON                                 </t>
  </si>
  <si>
    <t xml:space="preserve">NECEDAH                                 </t>
  </si>
  <si>
    <t xml:space="preserve">NEW LISBON                              </t>
  </si>
  <si>
    <t xml:space="preserve">KENOSHA                                 </t>
  </si>
  <si>
    <t xml:space="preserve">BRISTOL                                 </t>
  </si>
  <si>
    <t xml:space="preserve">PADDOCK LAKE                            </t>
  </si>
  <si>
    <t xml:space="preserve">PLEASANT PRAIRIE                        </t>
  </si>
  <si>
    <t xml:space="preserve">SALEM LAKES                             </t>
  </si>
  <si>
    <t xml:space="preserve">SOMERS                                  </t>
  </si>
  <si>
    <t xml:space="preserve">TWIN LAKES                              </t>
  </si>
  <si>
    <t xml:space="preserve">KEWAUNEE                                </t>
  </si>
  <si>
    <t xml:space="preserve">ALGOMA                                  </t>
  </si>
  <si>
    <t xml:space="preserve">LUXEMBURG                               </t>
  </si>
  <si>
    <t xml:space="preserve">LA CROSSE                               </t>
  </si>
  <si>
    <t xml:space="preserve">BANGOR                                  </t>
  </si>
  <si>
    <t xml:space="preserve">HOLMEN                                  </t>
  </si>
  <si>
    <t xml:space="preserve">ONALASKA                                </t>
  </si>
  <si>
    <t xml:space="preserve">ROCKLAND                                </t>
  </si>
  <si>
    <t xml:space="preserve">WEST SALEM                              </t>
  </si>
  <si>
    <t xml:space="preserve">LAFAYETTE                               </t>
  </si>
  <si>
    <t xml:space="preserve">ARGYLE                                  </t>
  </si>
  <si>
    <t xml:space="preserve">BELMONT                                 </t>
  </si>
  <si>
    <t xml:space="preserve">DARLINGTON                              </t>
  </si>
  <si>
    <t xml:space="preserve">GRATIOT                                 </t>
  </si>
  <si>
    <t xml:space="preserve">SHULLSBURG                              </t>
  </si>
  <si>
    <t xml:space="preserve">LANGLADE                                </t>
  </si>
  <si>
    <t xml:space="preserve">ANTIGO                                  </t>
  </si>
  <si>
    <t xml:space="preserve">LINCOLN                                 </t>
  </si>
  <si>
    <t xml:space="preserve">MERRILL                                 </t>
  </si>
  <si>
    <t xml:space="preserve">TOMAHAWK                                </t>
  </si>
  <si>
    <t xml:space="preserve">MANITOWOC                               </t>
  </si>
  <si>
    <t xml:space="preserve">FRANCIS CREEK                           </t>
  </si>
  <si>
    <t xml:space="preserve">KELLNERSVILLE                           </t>
  </si>
  <si>
    <t xml:space="preserve">MARIBEL                                 </t>
  </si>
  <si>
    <t xml:space="preserve">TWO RIVERS                              </t>
  </si>
  <si>
    <t xml:space="preserve">VALDERS                                 </t>
  </si>
  <si>
    <t xml:space="preserve">WHITELAW                                </t>
  </si>
  <si>
    <t xml:space="preserve">MARATHON                                </t>
  </si>
  <si>
    <t xml:space="preserve">ATHENS                                  </t>
  </si>
  <si>
    <t xml:space="preserve">EDGAR                                   </t>
  </si>
  <si>
    <t xml:space="preserve">HATLEY                                  </t>
  </si>
  <si>
    <t xml:space="preserve">KRONENWETTER                            </t>
  </si>
  <si>
    <t xml:space="preserve">MAINE                                   </t>
  </si>
  <si>
    <t xml:space="preserve">MOSINEE                                 </t>
  </si>
  <si>
    <t xml:space="preserve">RIB MOUNTAIN                            </t>
  </si>
  <si>
    <t xml:space="preserve">ROTHSCHILD                              </t>
  </si>
  <si>
    <t xml:space="preserve">SCHOFIELD                               </t>
  </si>
  <si>
    <t xml:space="preserve">SPENCER                                 </t>
  </si>
  <si>
    <t xml:space="preserve">STRATFORD                               </t>
  </si>
  <si>
    <t xml:space="preserve">WAUSAU                                  </t>
  </si>
  <si>
    <t xml:space="preserve">WESTON                                  </t>
  </si>
  <si>
    <t xml:space="preserve">MARINETTE                               </t>
  </si>
  <si>
    <t xml:space="preserve">COLEMAN                                 </t>
  </si>
  <si>
    <t xml:space="preserve">CRIVITZ                                 </t>
  </si>
  <si>
    <t xml:space="preserve">NIAGARA                                 </t>
  </si>
  <si>
    <t xml:space="preserve">POUND                                   </t>
  </si>
  <si>
    <t xml:space="preserve">WAUSAUKEE                               </t>
  </si>
  <si>
    <t xml:space="preserve">MARQUETTE                               </t>
  </si>
  <si>
    <t xml:space="preserve">ENDEAVOR                                </t>
  </si>
  <si>
    <t xml:space="preserve">WESTFIELD                               </t>
  </si>
  <si>
    <t xml:space="preserve">MILWAUKEE                               </t>
  </si>
  <si>
    <t xml:space="preserve">BROWN DEER                              </t>
  </si>
  <si>
    <t xml:space="preserve">CUDAHY                                  </t>
  </si>
  <si>
    <t xml:space="preserve">FRANKLIN                                </t>
  </si>
  <si>
    <t xml:space="preserve">GLENDALE                                </t>
  </si>
  <si>
    <t xml:space="preserve">GREENDALE                               </t>
  </si>
  <si>
    <t xml:space="preserve">GREENFIELD                              </t>
  </si>
  <si>
    <t xml:space="preserve">HALES CORNERS                           </t>
  </si>
  <si>
    <t xml:space="preserve">OAK CREEK                               </t>
  </si>
  <si>
    <t xml:space="preserve">SAINT FRANCIS                           </t>
  </si>
  <si>
    <t xml:space="preserve">SHOREWOOD                               </t>
  </si>
  <si>
    <t xml:space="preserve">SOUTH MILWAUKEE                         </t>
  </si>
  <si>
    <t xml:space="preserve">WAUWATOSA                               </t>
  </si>
  <si>
    <t xml:space="preserve">WEST ALLIS                              </t>
  </si>
  <si>
    <t xml:space="preserve">WEST MILWAUKEE                          </t>
  </si>
  <si>
    <t xml:space="preserve">WHITEFISH BAY                           </t>
  </si>
  <si>
    <t xml:space="preserve">CASHTON                                 </t>
  </si>
  <si>
    <t xml:space="preserve">SPARTA                                  </t>
  </si>
  <si>
    <t xml:space="preserve">TOMAH                                   </t>
  </si>
  <si>
    <t xml:space="preserve">WARRENS                                 </t>
  </si>
  <si>
    <t xml:space="preserve">WILTON                                  </t>
  </si>
  <si>
    <t xml:space="preserve">OCONTO                                  </t>
  </si>
  <si>
    <t xml:space="preserve">GILLETT                                 </t>
  </si>
  <si>
    <t xml:space="preserve">LENA                                    </t>
  </si>
  <si>
    <t xml:space="preserve">SURING                                  </t>
  </si>
  <si>
    <t xml:space="preserve">ONEIDA                                  </t>
  </si>
  <si>
    <t xml:space="preserve">RHINELANDER                             </t>
  </si>
  <si>
    <t xml:space="preserve">OUTAGAMIE                               </t>
  </si>
  <si>
    <t xml:space="preserve">COMBINED LOCKS                          </t>
  </si>
  <si>
    <t xml:space="preserve">FREEDOM                                 </t>
  </si>
  <si>
    <t xml:space="preserve">GRAND CHUTE                             </t>
  </si>
  <si>
    <t xml:space="preserve">GREENVILLE                              </t>
  </si>
  <si>
    <t xml:space="preserve">HORTONVILLE                             </t>
  </si>
  <si>
    <t xml:space="preserve">KAUKAUNA                                </t>
  </si>
  <si>
    <t xml:space="preserve">KIMBERLY                                </t>
  </si>
  <si>
    <t xml:space="preserve">LITTLE CHUTE                            </t>
  </si>
  <si>
    <t xml:space="preserve">NEW LONDON                              </t>
  </si>
  <si>
    <t xml:space="preserve">SEYMOUR                                 </t>
  </si>
  <si>
    <t xml:space="preserve">OZAUKEE                                 </t>
  </si>
  <si>
    <t xml:space="preserve">BELGIUM                                 </t>
  </si>
  <si>
    <t xml:space="preserve">CEDARBURG                               </t>
  </si>
  <si>
    <t xml:space="preserve">GRAFTON                                 </t>
  </si>
  <si>
    <t xml:space="preserve">MEQUON                                  </t>
  </si>
  <si>
    <t xml:space="preserve">PORT WASHINGTON                         </t>
  </si>
  <si>
    <t xml:space="preserve">SAUKVILLE                               </t>
  </si>
  <si>
    <t xml:space="preserve">THIENSVILLE                             </t>
  </si>
  <si>
    <t xml:space="preserve">PEPIN                                   </t>
  </si>
  <si>
    <t xml:space="preserve">DURAND                                  </t>
  </si>
  <si>
    <t xml:space="preserve">PIERCE                                  </t>
  </si>
  <si>
    <t xml:space="preserve">ELLSWORTH                               </t>
  </si>
  <si>
    <t xml:space="preserve">ELMWOOD                                 </t>
  </si>
  <si>
    <t xml:space="preserve">PRESCOTT                                </t>
  </si>
  <si>
    <t xml:space="preserve">RIVER FALLS                             </t>
  </si>
  <si>
    <t xml:space="preserve">SPRING VALLEY                           </t>
  </si>
  <si>
    <t xml:space="preserve">POLK                                    </t>
  </si>
  <si>
    <t xml:space="preserve">AMERY                                   </t>
  </si>
  <si>
    <t xml:space="preserve">BALSAM LAKE                             </t>
  </si>
  <si>
    <t xml:space="preserve">CENTURIA                                </t>
  </si>
  <si>
    <t xml:space="preserve">CLAYTON                                 </t>
  </si>
  <si>
    <t xml:space="preserve">CLEAR LAKE                              </t>
  </si>
  <si>
    <t xml:space="preserve">FREDERIC                                </t>
  </si>
  <si>
    <t xml:space="preserve">LUCK                                    </t>
  </si>
  <si>
    <t xml:space="preserve">MILLTOWN                                </t>
  </si>
  <si>
    <t xml:space="preserve">OSCEOLA                                 </t>
  </si>
  <si>
    <t xml:space="preserve">AMHERST                                 </t>
  </si>
  <si>
    <t xml:space="preserve">JUNCTION CITY                           </t>
  </si>
  <si>
    <t xml:space="preserve">PLOVER                                  </t>
  </si>
  <si>
    <t xml:space="preserve">STEVENS POINT                           </t>
  </si>
  <si>
    <t xml:space="preserve">WHITING                                 </t>
  </si>
  <si>
    <t xml:space="preserve">PRICE                                   </t>
  </si>
  <si>
    <t xml:space="preserve">PARK FALLS                              </t>
  </si>
  <si>
    <t xml:space="preserve">PHILLIPS                                </t>
  </si>
  <si>
    <t xml:space="preserve">PRENTICE                                </t>
  </si>
  <si>
    <t xml:space="preserve">RACINE                                  </t>
  </si>
  <si>
    <t xml:space="preserve">CALEDONIA                               </t>
  </si>
  <si>
    <t xml:space="preserve">MOUNT PLEASANT                          </t>
  </si>
  <si>
    <t xml:space="preserve">STURTEVANT                              </t>
  </si>
  <si>
    <t xml:space="preserve">UNION GROVE                             </t>
  </si>
  <si>
    <t xml:space="preserve">WATERFORD                               </t>
  </si>
  <si>
    <t xml:space="preserve">YORKVILLE                               </t>
  </si>
  <si>
    <t xml:space="preserve">RICHLAND                                </t>
  </si>
  <si>
    <t xml:space="preserve">RICHLAND CENTER                         </t>
  </si>
  <si>
    <t xml:space="preserve">VIOLA                                   </t>
  </si>
  <si>
    <t xml:space="preserve">ROCK                                    </t>
  </si>
  <si>
    <t xml:space="preserve">BELOIT                                  </t>
  </si>
  <si>
    <t xml:space="preserve">CLINTON                                 </t>
  </si>
  <si>
    <t xml:space="preserve">EDGERTON                                </t>
  </si>
  <si>
    <t xml:space="preserve">EVANSVILLE                              </t>
  </si>
  <si>
    <t xml:space="preserve">FOOTVILLE                               </t>
  </si>
  <si>
    <t xml:space="preserve">JANESVILLE                              </t>
  </si>
  <si>
    <t xml:space="preserve">MILTON                                  </t>
  </si>
  <si>
    <t xml:space="preserve">ORFORDVILLE                             </t>
  </si>
  <si>
    <t xml:space="preserve">RUSK                                    </t>
  </si>
  <si>
    <t xml:space="preserve">BRUCE                                   </t>
  </si>
  <si>
    <t xml:space="preserve">HAWKINS                                 </t>
  </si>
  <si>
    <t xml:space="preserve">LADYSMITH                               </t>
  </si>
  <si>
    <t xml:space="preserve">WEYERHAEUSER                            </t>
  </si>
  <si>
    <t xml:space="preserve">SAUK                                    </t>
  </si>
  <si>
    <t xml:space="preserve">BARABOO                                 </t>
  </si>
  <si>
    <t xml:space="preserve">LAKE DELTON                             </t>
  </si>
  <si>
    <t xml:space="preserve">LOGANVILLE                              </t>
  </si>
  <si>
    <t xml:space="preserve">NORTH FREEDOM                           </t>
  </si>
  <si>
    <t xml:space="preserve">PLAIN                                   </t>
  </si>
  <si>
    <t xml:space="preserve">PRAIRIE DU SAC                          </t>
  </si>
  <si>
    <t xml:space="preserve">REEDSBURG                               </t>
  </si>
  <si>
    <t xml:space="preserve">ROCK SPRINGS                            </t>
  </si>
  <si>
    <t xml:space="preserve">SAUK CITY                               </t>
  </si>
  <si>
    <t xml:space="preserve">SPRING GREEN                            </t>
  </si>
  <si>
    <t xml:space="preserve">WEST BARABOO                            </t>
  </si>
  <si>
    <t xml:space="preserve">SAWYER                                  </t>
  </si>
  <si>
    <t xml:space="preserve">HAYWARD                                 </t>
  </si>
  <si>
    <t xml:space="preserve">SHAWANO                                 </t>
  </si>
  <si>
    <t xml:space="preserve">BONDUEL                                 </t>
  </si>
  <si>
    <t xml:space="preserve">BOWLER                                  </t>
  </si>
  <si>
    <t xml:space="preserve">GRESHAM                                 </t>
  </si>
  <si>
    <t xml:space="preserve">TIGERTON                                </t>
  </si>
  <si>
    <t xml:space="preserve">WITTENBERG                              </t>
  </si>
  <si>
    <t xml:space="preserve">SHEBOYGAN                               </t>
  </si>
  <si>
    <t xml:space="preserve">CASCADE                                 </t>
  </si>
  <si>
    <t xml:space="preserve">CEDAR GROVE                             </t>
  </si>
  <si>
    <t xml:space="preserve">ELKHART LAKE                            </t>
  </si>
  <si>
    <t xml:space="preserve">GLENBEULAH                              </t>
  </si>
  <si>
    <t xml:space="preserve">HOWARDS GROVE                           </t>
  </si>
  <si>
    <t xml:space="preserve">OOSTBURG                                </t>
  </si>
  <si>
    <t xml:space="preserve">PLYMOUTH                                </t>
  </si>
  <si>
    <t xml:space="preserve">RANDOM LAKE                             </t>
  </si>
  <si>
    <t xml:space="preserve">SHEBOYGAN FALLS                         </t>
  </si>
  <si>
    <t xml:space="preserve">ST CROIX                                </t>
  </si>
  <si>
    <t xml:space="preserve">BALDWIN                                 </t>
  </si>
  <si>
    <t xml:space="preserve">HAMMOND                                 </t>
  </si>
  <si>
    <t xml:space="preserve">HUDSON                                  </t>
  </si>
  <si>
    <t xml:space="preserve">NEW RICHMOND                            </t>
  </si>
  <si>
    <t xml:space="preserve">ROBERTS                                 </t>
  </si>
  <si>
    <t xml:space="preserve">SOMERSET                                </t>
  </si>
  <si>
    <t xml:space="preserve">WOODVILLE                               </t>
  </si>
  <si>
    <t xml:space="preserve">MEDFORD                                 </t>
  </si>
  <si>
    <t xml:space="preserve">RIB LAKE                                </t>
  </si>
  <si>
    <t xml:space="preserve">STETSONVILLE                            </t>
  </si>
  <si>
    <t xml:space="preserve">TREMPEALEAU                             </t>
  </si>
  <si>
    <t xml:space="preserve">ARCADIA                                 </t>
  </si>
  <si>
    <t xml:space="preserve">BLAIR                                   </t>
  </si>
  <si>
    <t xml:space="preserve">GALESVILLE                              </t>
  </si>
  <si>
    <t xml:space="preserve">INDEPENDENCE                            </t>
  </si>
  <si>
    <t xml:space="preserve">OSSEO                                   </t>
  </si>
  <si>
    <t xml:space="preserve">STRUM                                   </t>
  </si>
  <si>
    <t xml:space="preserve">WHITEHALL                               </t>
  </si>
  <si>
    <t xml:space="preserve">VERNON                                  </t>
  </si>
  <si>
    <t xml:space="preserve">HILLSBORO                               </t>
  </si>
  <si>
    <t xml:space="preserve">LA FARGE                                </t>
  </si>
  <si>
    <t xml:space="preserve">ONTARIO                                 </t>
  </si>
  <si>
    <t xml:space="preserve">VIROQUA                                 </t>
  </si>
  <si>
    <t xml:space="preserve">WESTBY                                  </t>
  </si>
  <si>
    <t xml:space="preserve">VILAS                                   </t>
  </si>
  <si>
    <t xml:space="preserve">EAGLE RIVER                             </t>
  </si>
  <si>
    <t xml:space="preserve">WALWORTH                                </t>
  </si>
  <si>
    <t xml:space="preserve">BLOOMFIELD                              </t>
  </si>
  <si>
    <t xml:space="preserve">BURLINGTON                              </t>
  </si>
  <si>
    <t xml:space="preserve">DARIEN                                  </t>
  </si>
  <si>
    <t xml:space="preserve">DELAVAN                                 </t>
  </si>
  <si>
    <t xml:space="preserve">EAST TROY                               </t>
  </si>
  <si>
    <t xml:space="preserve">ELKHORN                                 </t>
  </si>
  <si>
    <t xml:space="preserve">FONTANA                                 </t>
  </si>
  <si>
    <t xml:space="preserve">MUKWONAGO                               </t>
  </si>
  <si>
    <t xml:space="preserve">SHARON                                  </t>
  </si>
  <si>
    <t xml:space="preserve">BIRCHWOOD                               </t>
  </si>
  <si>
    <t xml:space="preserve">MINONG                                  </t>
  </si>
  <si>
    <t xml:space="preserve">SPOONER                                 </t>
  </si>
  <si>
    <t xml:space="preserve">WASHINGTON                              </t>
  </si>
  <si>
    <t xml:space="preserve">GERMANTOWN                              </t>
  </si>
  <si>
    <t xml:space="preserve">KEWASKUM                                </t>
  </si>
  <si>
    <t xml:space="preserve">SLINGER                                 </t>
  </si>
  <si>
    <t xml:space="preserve">WEST BEND                               </t>
  </si>
  <si>
    <t xml:space="preserve">WAUKESHA                                </t>
  </si>
  <si>
    <t xml:space="preserve">BIG BEND                                </t>
  </si>
  <si>
    <t xml:space="preserve">BROOKFIELD                              </t>
  </si>
  <si>
    <t xml:space="preserve">DELAFIELD                               </t>
  </si>
  <si>
    <t xml:space="preserve">ELM GROVE                               </t>
  </si>
  <si>
    <t xml:space="preserve">HARTLAND                                </t>
  </si>
  <si>
    <t xml:space="preserve">LANNON                                  </t>
  </si>
  <si>
    <t xml:space="preserve">LISBON                                  </t>
  </si>
  <si>
    <t xml:space="preserve">MENOMONEE FALLS                         </t>
  </si>
  <si>
    <t xml:space="preserve">MUSKEGO                                 </t>
  </si>
  <si>
    <t xml:space="preserve">NEW BERLIN                              </t>
  </si>
  <si>
    <t xml:space="preserve">OCONOMOWOC                              </t>
  </si>
  <si>
    <t xml:space="preserve">PEWAUKEE                                </t>
  </si>
  <si>
    <t xml:space="preserve">SUSSEX                                  </t>
  </si>
  <si>
    <t xml:space="preserve">WALES                                   </t>
  </si>
  <si>
    <t xml:space="preserve">WAUPACA                                 </t>
  </si>
  <si>
    <t xml:space="preserve">CLINTONVILLE                            </t>
  </si>
  <si>
    <t xml:space="preserve">MANAWA                                  </t>
  </si>
  <si>
    <t xml:space="preserve">MATTESON                                </t>
  </si>
  <si>
    <t xml:space="preserve">WEYAUWEGA                               </t>
  </si>
  <si>
    <t xml:space="preserve">WAUSHARA                                </t>
  </si>
  <si>
    <t xml:space="preserve">COLOMA                                  </t>
  </si>
  <si>
    <t xml:space="preserve">HANCOCK                                 </t>
  </si>
  <si>
    <t xml:space="preserve">PLAINFIELD                              </t>
  </si>
  <si>
    <t xml:space="preserve">REDGRANITE                              </t>
  </si>
  <si>
    <t xml:space="preserve">WAUTOMA                                 </t>
  </si>
  <si>
    <t xml:space="preserve">WILD ROSE                               </t>
  </si>
  <si>
    <t xml:space="preserve">WINNEBAGO                               </t>
  </si>
  <si>
    <t xml:space="preserve">FOX CROSSING                            </t>
  </si>
  <si>
    <t xml:space="preserve">NEENAH                                  </t>
  </si>
  <si>
    <t xml:space="preserve">OMRO                                    </t>
  </si>
  <si>
    <t xml:space="preserve">OSHKOSH                                 </t>
  </si>
  <si>
    <t xml:space="preserve">WINNECONNE                              </t>
  </si>
  <si>
    <t xml:space="preserve">WOOD                                    </t>
  </si>
  <si>
    <t xml:space="preserve">AUBURNDALE                              </t>
  </si>
  <si>
    <t xml:space="preserve">BIRON                                   </t>
  </si>
  <si>
    <t xml:space="preserve">MARSHFIELD                              </t>
  </si>
  <si>
    <t xml:space="preserve">NEKOOSA                                 </t>
  </si>
  <si>
    <t xml:space="preserve">PITTSVILLE                              </t>
  </si>
  <si>
    <t xml:space="preserve">PORT EDWARDS                            </t>
  </si>
  <si>
    <t xml:space="preserve">VESPER                                  </t>
  </si>
  <si>
    <t xml:space="preserve">WISCONSIN RAPIDS                        </t>
  </si>
  <si>
    <t xml:space="preserve"> Base Year</t>
  </si>
  <si>
    <t>2021 Tax Incremental District (TID) Certification – Municipality/County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</si>
</sst>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37" fontId="16" fillId="0" borderId="10" xfId="0" applyNumberFormat="1" applyFont="1" applyBorder="1" applyAlignment="1">
      <alignment horizontal="right"/>
    </xf>
    <xf numFmtId="0" fontId="14" fillId="0" borderId="0" xfId="0" applyFont="1"/>
    <xf numFmtId="3" fontId="0" fillId="0" borderId="0" xfId="1" applyNumberFormat="1" applyFont="1"/>
    <xf numFmtId="3" fontId="0" fillId="0" borderId="0" xfId="0" applyNumberFormat="1"/>
    <xf numFmtId="3" fontId="19" fillId="0" borderId="0" xfId="1" applyNumberFormat="1" applyFont="1"/>
    <xf numFmtId="3" fontId="14" fillId="0" borderId="0" xfId="0" applyNumberFormat="1" applyFont="1"/>
    <xf numFmtId="0" fontId="19" fillId="0" borderId="0" xfId="0" applyFont="1"/>
    <xf numFmtId="0" fontId="19" fillId="0" borderId="0" xfId="0" applyFont="1" applyFill="1"/>
    <xf numFmtId="0" fontId="0" fillId="0" borderId="0" xfId="0" applyFill="1"/>
    <xf numFmtId="3" fontId="0" fillId="0" borderId="0" xfId="1" applyNumberFormat="1" applyFont="1" applyFill="1"/>
    <xf numFmtId="3" fontId="19" fillId="0" borderId="0" xfId="1" applyNumberFormat="1" applyFont="1" applyFill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56"/>
  <sheetViews>
    <sheetView tabSelected="1" zoomScaleNormal="100" workbookViewId="0">
      <selection sqref="A1:I1"/>
    </sheetView>
  </sheetViews>
  <sheetFormatPr defaultRowHeight="15" x14ac:dyDescent="0.25"/>
  <cols>
    <col min="1" max="1" width="14.7109375" customWidth="1"/>
    <col min="2" max="2" width="9.7109375" style="16" customWidth="1"/>
    <col min="3" max="3" width="12.7109375" customWidth="1"/>
    <col min="4" max="4" width="20.7109375" customWidth="1"/>
    <col min="5" max="6" width="5.7109375" style="16" customWidth="1"/>
    <col min="7" max="9" width="14.7109375" customWidth="1"/>
    <col min="10" max="10" width="18.42578125" customWidth="1"/>
    <col min="11" max="11" width="10.85546875" bestFit="1" customWidth="1"/>
    <col min="12" max="12" width="14.28515625" bestFit="1" customWidth="1"/>
    <col min="15" max="15" width="14.42578125" customWidth="1"/>
  </cols>
  <sheetData>
    <row r="1" spans="1:9" ht="18.7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3">
      <c r="A2" s="15" t="s">
        <v>466</v>
      </c>
      <c r="B2" s="15"/>
      <c r="C2" s="15"/>
      <c r="D2" s="15"/>
      <c r="E2" s="15"/>
      <c r="F2" s="15"/>
      <c r="G2" s="15"/>
      <c r="H2" s="15"/>
      <c r="I2" s="15"/>
    </row>
    <row r="3" spans="1:9" ht="28.5" customHeight="1" x14ac:dyDescent="0.25">
      <c r="A3" s="1" t="s">
        <v>1</v>
      </c>
      <c r="B3" s="2" t="s">
        <v>2</v>
      </c>
      <c r="C3" s="1" t="s">
        <v>3</v>
      </c>
      <c r="D3" s="1" t="s">
        <v>4</v>
      </c>
      <c r="E3" s="2" t="s">
        <v>5</v>
      </c>
      <c r="F3" s="3" t="s">
        <v>465</v>
      </c>
      <c r="G3" s="4" t="s">
        <v>6</v>
      </c>
      <c r="H3" s="4" t="s">
        <v>7</v>
      </c>
      <c r="I3" s="4" t="s">
        <v>8</v>
      </c>
    </row>
    <row r="4" spans="1:9" x14ac:dyDescent="0.25">
      <c r="A4" t="s">
        <v>9</v>
      </c>
      <c r="B4" s="16" t="str">
        <f>"01201"</f>
        <v>01201</v>
      </c>
      <c r="C4" t="s">
        <v>10</v>
      </c>
      <c r="D4" t="s">
        <v>9</v>
      </c>
      <c r="E4" s="16" t="str">
        <f>"002"</f>
        <v>002</v>
      </c>
      <c r="F4" s="16">
        <v>1996</v>
      </c>
      <c r="G4" s="6">
        <v>19521100</v>
      </c>
      <c r="H4" s="6">
        <v>9585200</v>
      </c>
      <c r="I4" s="6">
        <v>9935900</v>
      </c>
    </row>
    <row r="5" spans="1:9" x14ac:dyDescent="0.25">
      <c r="A5" t="s">
        <v>9</v>
      </c>
      <c r="B5" s="16" t="str">
        <f>"01201"</f>
        <v>01201</v>
      </c>
      <c r="C5" t="s">
        <v>10</v>
      </c>
      <c r="D5" t="s">
        <v>9</v>
      </c>
      <c r="E5" s="16" t="str">
        <f>"003"</f>
        <v>003</v>
      </c>
      <c r="F5" s="16">
        <v>1996</v>
      </c>
      <c r="G5" s="6">
        <v>19171300</v>
      </c>
      <c r="H5" s="6">
        <v>5169700</v>
      </c>
      <c r="I5" s="6">
        <v>14001600</v>
      </c>
    </row>
    <row r="6" spans="1:9" x14ac:dyDescent="0.25">
      <c r="A6" t="s">
        <v>9</v>
      </c>
      <c r="B6" s="16" t="str">
        <f>"01126"</f>
        <v>01126</v>
      </c>
      <c r="C6" t="s">
        <v>11</v>
      </c>
      <c r="D6" t="s">
        <v>12</v>
      </c>
      <c r="E6" s="16" t="str">
        <f>"001"</f>
        <v>001</v>
      </c>
      <c r="F6" s="16">
        <v>1997</v>
      </c>
      <c r="G6" s="6">
        <v>7820000</v>
      </c>
      <c r="H6" s="6">
        <v>2696300</v>
      </c>
      <c r="I6" s="6">
        <v>5123700</v>
      </c>
    </row>
    <row r="7" spans="1:9" x14ac:dyDescent="0.25">
      <c r="A7" t="s">
        <v>9</v>
      </c>
      <c r="B7" s="16" t="str">
        <f>"01126"</f>
        <v>01126</v>
      </c>
      <c r="C7" t="s">
        <v>11</v>
      </c>
      <c r="D7" t="s">
        <v>12</v>
      </c>
      <c r="E7" s="16" t="str">
        <f>"002"</f>
        <v>002</v>
      </c>
      <c r="F7" s="16">
        <v>2000</v>
      </c>
      <c r="G7" s="6">
        <v>205400</v>
      </c>
      <c r="H7" s="6">
        <v>148000</v>
      </c>
      <c r="I7" s="6">
        <v>57400</v>
      </c>
    </row>
    <row r="8" spans="1:9" x14ac:dyDescent="0.25">
      <c r="A8" t="s">
        <v>9</v>
      </c>
      <c r="B8" s="16" t="str">
        <f>"01030"</f>
        <v>01030</v>
      </c>
      <c r="C8" t="s">
        <v>13</v>
      </c>
      <c r="D8" t="s">
        <v>14</v>
      </c>
      <c r="E8" s="16" t="str">
        <f>"001T"</f>
        <v>001T</v>
      </c>
      <c r="F8" s="16">
        <v>2015</v>
      </c>
      <c r="G8" s="6">
        <v>54718600</v>
      </c>
      <c r="H8" s="6">
        <v>1249400</v>
      </c>
      <c r="I8" s="6">
        <v>53469200</v>
      </c>
    </row>
    <row r="9" spans="1:9" x14ac:dyDescent="0.25">
      <c r="A9" t="s">
        <v>9</v>
      </c>
      <c r="B9" s="16" t="str">
        <f>"01291"</f>
        <v>01291</v>
      </c>
      <c r="C9" t="s">
        <v>10</v>
      </c>
      <c r="D9" t="s">
        <v>15</v>
      </c>
      <c r="E9" s="16" t="str">
        <f>"003"</f>
        <v>003</v>
      </c>
      <c r="F9" s="16">
        <v>2005</v>
      </c>
      <c r="G9" s="6">
        <v>67742600</v>
      </c>
      <c r="H9" s="6">
        <v>2149200</v>
      </c>
      <c r="I9" s="6">
        <v>65593400</v>
      </c>
    </row>
    <row r="10" spans="1:9" x14ac:dyDescent="0.25">
      <c r="A10" t="s">
        <v>16</v>
      </c>
      <c r="B10" s="16" t="str">
        <f>"02201"</f>
        <v>02201</v>
      </c>
      <c r="C10" t="s">
        <v>10</v>
      </c>
      <c r="D10" t="s">
        <v>16</v>
      </c>
      <c r="E10" s="16" t="str">
        <f>"006"</f>
        <v>006</v>
      </c>
      <c r="F10" s="16">
        <v>1994</v>
      </c>
      <c r="G10" s="6">
        <v>17323600</v>
      </c>
      <c r="H10" s="6">
        <v>5659600</v>
      </c>
      <c r="I10" s="6">
        <v>11664000</v>
      </c>
    </row>
    <row r="11" spans="1:9" x14ac:dyDescent="0.25">
      <c r="A11" t="s">
        <v>16</v>
      </c>
      <c r="B11" s="16" t="str">
        <f>"02201"</f>
        <v>02201</v>
      </c>
      <c r="C11" t="s">
        <v>10</v>
      </c>
      <c r="D11" t="s">
        <v>16</v>
      </c>
      <c r="E11" s="16" t="str">
        <f>"009"</f>
        <v>009</v>
      </c>
      <c r="F11" s="16">
        <v>2006</v>
      </c>
      <c r="G11" s="6">
        <v>10555900</v>
      </c>
      <c r="H11" s="6">
        <v>2359600</v>
      </c>
      <c r="I11" s="6">
        <v>8196300</v>
      </c>
    </row>
    <row r="12" spans="1:9" x14ac:dyDescent="0.25">
      <c r="A12" t="s">
        <v>16</v>
      </c>
      <c r="B12" s="16" t="str">
        <f>"02201"</f>
        <v>02201</v>
      </c>
      <c r="C12" t="s">
        <v>10</v>
      </c>
      <c r="D12" t="s">
        <v>16</v>
      </c>
      <c r="E12" s="16" t="str">
        <f>"010"</f>
        <v>010</v>
      </c>
      <c r="F12" s="16">
        <v>2017</v>
      </c>
      <c r="G12" s="6">
        <v>6803500</v>
      </c>
      <c r="H12" s="6">
        <v>2709200</v>
      </c>
      <c r="I12" s="6">
        <v>4094300</v>
      </c>
    </row>
    <row r="13" spans="1:9" x14ac:dyDescent="0.25">
      <c r="A13" t="s">
        <v>17</v>
      </c>
      <c r="B13" s="16" t="str">
        <f>"03206"</f>
        <v>03206</v>
      </c>
      <c r="C13" t="s">
        <v>10</v>
      </c>
      <c r="D13" t="s">
        <v>17</v>
      </c>
      <c r="E13" s="16" t="str">
        <f>"002"</f>
        <v>002</v>
      </c>
      <c r="F13" s="16">
        <v>2000</v>
      </c>
      <c r="G13" s="6">
        <v>3846000</v>
      </c>
      <c r="H13" s="6">
        <v>1991400</v>
      </c>
      <c r="I13" s="6">
        <v>1854600</v>
      </c>
    </row>
    <row r="14" spans="1:9" x14ac:dyDescent="0.25">
      <c r="A14" t="s">
        <v>17</v>
      </c>
      <c r="B14" s="16" t="str">
        <f>"03206"</f>
        <v>03206</v>
      </c>
      <c r="C14" t="s">
        <v>10</v>
      </c>
      <c r="D14" t="s">
        <v>17</v>
      </c>
      <c r="E14" s="16" t="str">
        <f>"003"</f>
        <v>003</v>
      </c>
      <c r="F14" s="16">
        <v>2005</v>
      </c>
      <c r="G14" s="6">
        <v>13208400</v>
      </c>
      <c r="H14" s="6">
        <v>9825400</v>
      </c>
      <c r="I14" s="6">
        <v>3383000</v>
      </c>
    </row>
    <row r="15" spans="1:9" x14ac:dyDescent="0.25">
      <c r="A15" t="s">
        <v>17</v>
      </c>
      <c r="B15" s="16" t="str">
        <f>"03206"</f>
        <v>03206</v>
      </c>
      <c r="C15" t="s">
        <v>10</v>
      </c>
      <c r="D15" t="s">
        <v>17</v>
      </c>
      <c r="E15" s="16" t="str">
        <f>"004"</f>
        <v>004</v>
      </c>
      <c r="F15" s="16">
        <v>2007</v>
      </c>
      <c r="G15" s="6">
        <v>16995600</v>
      </c>
      <c r="H15" s="6">
        <v>12527200</v>
      </c>
      <c r="I15" s="6">
        <v>4468400</v>
      </c>
    </row>
    <row r="16" spans="1:9" x14ac:dyDescent="0.25">
      <c r="A16" t="s">
        <v>17</v>
      </c>
      <c r="B16" s="16" t="str">
        <f>"03206"</f>
        <v>03206</v>
      </c>
      <c r="C16" t="s">
        <v>10</v>
      </c>
      <c r="D16" t="s">
        <v>17</v>
      </c>
      <c r="E16" s="16" t="str">
        <f>"005"</f>
        <v>005</v>
      </c>
      <c r="F16" s="16">
        <v>2010</v>
      </c>
      <c r="G16" s="6">
        <v>7952900</v>
      </c>
      <c r="H16" s="6">
        <v>5696200</v>
      </c>
      <c r="I16" s="6">
        <v>2256700</v>
      </c>
    </row>
    <row r="17" spans="1:9" x14ac:dyDescent="0.25">
      <c r="A17" t="s">
        <v>17</v>
      </c>
      <c r="B17" s="16" t="str">
        <f>"03206"</f>
        <v>03206</v>
      </c>
      <c r="C17" t="s">
        <v>10</v>
      </c>
      <c r="D17" t="s">
        <v>17</v>
      </c>
      <c r="E17" s="16" t="str">
        <f>"006"</f>
        <v>006</v>
      </c>
      <c r="F17" s="16">
        <v>2015</v>
      </c>
      <c r="G17" s="6">
        <v>8307700</v>
      </c>
      <c r="H17" s="6">
        <v>4803300</v>
      </c>
      <c r="I17" s="6">
        <v>3504400</v>
      </c>
    </row>
    <row r="18" spans="1:9" x14ac:dyDescent="0.25">
      <c r="A18" t="s">
        <v>17</v>
      </c>
      <c r="B18" s="16" t="str">
        <f>"03111"</f>
        <v>03111</v>
      </c>
      <c r="C18" t="s">
        <v>11</v>
      </c>
      <c r="D18" t="s">
        <v>18</v>
      </c>
      <c r="E18" s="16" t="str">
        <f>"001"</f>
        <v>001</v>
      </c>
      <c r="F18" s="16">
        <v>2005</v>
      </c>
      <c r="G18" s="6">
        <v>25828600</v>
      </c>
      <c r="H18" s="6">
        <v>2317500</v>
      </c>
      <c r="I18" s="6">
        <v>23511100</v>
      </c>
    </row>
    <row r="19" spans="1:9" x14ac:dyDescent="0.25">
      <c r="A19" t="s">
        <v>17</v>
      </c>
      <c r="B19" s="16" t="str">
        <f>"03211"</f>
        <v>03211</v>
      </c>
      <c r="C19" t="s">
        <v>10</v>
      </c>
      <c r="D19" t="s">
        <v>19</v>
      </c>
      <c r="E19" s="16" t="str">
        <f>"003"</f>
        <v>003</v>
      </c>
      <c r="F19" s="16">
        <v>2007</v>
      </c>
      <c r="G19" s="6">
        <v>122400</v>
      </c>
      <c r="H19" s="6">
        <v>222800</v>
      </c>
      <c r="I19" s="6">
        <v>-100400</v>
      </c>
    </row>
    <row r="20" spans="1:9" x14ac:dyDescent="0.25">
      <c r="A20" t="s">
        <v>17</v>
      </c>
      <c r="B20" s="16" t="str">
        <f>"03211"</f>
        <v>03211</v>
      </c>
      <c r="C20" t="s">
        <v>10</v>
      </c>
      <c r="D20" t="s">
        <v>19</v>
      </c>
      <c r="E20" s="16" t="str">
        <f>"004"</f>
        <v>004</v>
      </c>
      <c r="F20" s="16">
        <v>2020</v>
      </c>
      <c r="G20" s="6">
        <v>4137700</v>
      </c>
      <c r="H20" s="6">
        <v>3677800</v>
      </c>
      <c r="I20" s="6">
        <v>459900</v>
      </c>
    </row>
    <row r="21" spans="1:9" x14ac:dyDescent="0.25">
      <c r="A21" t="s">
        <v>17</v>
      </c>
      <c r="B21" s="16" t="str">
        <f>"03212"</f>
        <v>03212</v>
      </c>
      <c r="C21" t="s">
        <v>10</v>
      </c>
      <c r="D21" t="s">
        <v>20</v>
      </c>
      <c r="E21" s="16" t="str">
        <f>"007"</f>
        <v>007</v>
      </c>
      <c r="F21" s="16">
        <v>1995</v>
      </c>
      <c r="G21" s="6">
        <v>16269400</v>
      </c>
      <c r="H21" s="6">
        <v>1006400</v>
      </c>
      <c r="I21" s="6">
        <v>15263000</v>
      </c>
    </row>
    <row r="22" spans="1:9" x14ac:dyDescent="0.25">
      <c r="A22" t="s">
        <v>17</v>
      </c>
      <c r="B22" s="16" t="str">
        <f>"03212"</f>
        <v>03212</v>
      </c>
      <c r="C22" t="s">
        <v>10</v>
      </c>
      <c r="D22" t="s">
        <v>20</v>
      </c>
      <c r="E22" s="16" t="str">
        <f>"008"</f>
        <v>008</v>
      </c>
      <c r="F22" s="16">
        <v>2017</v>
      </c>
      <c r="G22" s="6">
        <v>3036800</v>
      </c>
      <c r="H22" s="6">
        <v>477500</v>
      </c>
      <c r="I22" s="6">
        <v>2559300</v>
      </c>
    </row>
    <row r="23" spans="1:9" x14ac:dyDescent="0.25">
      <c r="A23" t="s">
        <v>17</v>
      </c>
      <c r="B23" s="16" t="str">
        <f>"03212"</f>
        <v>03212</v>
      </c>
      <c r="C23" t="s">
        <v>10</v>
      </c>
      <c r="D23" t="s">
        <v>20</v>
      </c>
      <c r="E23" s="16" t="str">
        <f>"009"</f>
        <v>009</v>
      </c>
      <c r="F23" s="16">
        <v>2018</v>
      </c>
      <c r="G23" s="6">
        <v>15730000</v>
      </c>
      <c r="H23" s="6">
        <v>6412300</v>
      </c>
      <c r="I23" s="6">
        <v>9317700</v>
      </c>
    </row>
    <row r="24" spans="1:9" x14ac:dyDescent="0.25">
      <c r="A24" t="s">
        <v>17</v>
      </c>
      <c r="B24" s="16" t="str">
        <f>"03116"</f>
        <v>03116</v>
      </c>
      <c r="C24" t="s">
        <v>11</v>
      </c>
      <c r="D24" t="s">
        <v>21</v>
      </c>
      <c r="E24" s="16" t="str">
        <f>"002"</f>
        <v>002</v>
      </c>
      <c r="F24" s="16">
        <v>2001</v>
      </c>
      <c r="G24" s="6">
        <v>1903900</v>
      </c>
      <c r="H24" s="6">
        <v>29900</v>
      </c>
      <c r="I24" s="6">
        <v>1874000</v>
      </c>
    </row>
    <row r="25" spans="1:9" x14ac:dyDescent="0.25">
      <c r="A25" t="s">
        <v>17</v>
      </c>
      <c r="B25" s="16" t="str">
        <f>"03171"</f>
        <v>03171</v>
      </c>
      <c r="C25" t="s">
        <v>11</v>
      </c>
      <c r="D25" t="s">
        <v>22</v>
      </c>
      <c r="E25" s="16" t="str">
        <f>"001"</f>
        <v>001</v>
      </c>
      <c r="F25" s="16">
        <v>2002</v>
      </c>
      <c r="G25" s="6">
        <v>5387000</v>
      </c>
      <c r="H25" s="6">
        <v>3258400</v>
      </c>
      <c r="I25" s="6">
        <v>2128600</v>
      </c>
    </row>
    <row r="26" spans="1:9" x14ac:dyDescent="0.25">
      <c r="A26" t="s">
        <v>17</v>
      </c>
      <c r="B26" s="16" t="str">
        <f>"03276"</f>
        <v>03276</v>
      </c>
      <c r="C26" t="s">
        <v>10</v>
      </c>
      <c r="D26" t="s">
        <v>23</v>
      </c>
      <c r="E26" s="16" t="str">
        <f>"003"</f>
        <v>003</v>
      </c>
      <c r="F26" s="16">
        <v>2001</v>
      </c>
      <c r="G26" s="6">
        <v>40237100</v>
      </c>
      <c r="H26" s="6">
        <v>21358700</v>
      </c>
      <c r="I26" s="6">
        <v>18878400</v>
      </c>
    </row>
    <row r="27" spans="1:9" x14ac:dyDescent="0.25">
      <c r="A27" t="s">
        <v>17</v>
      </c>
      <c r="B27" s="16" t="str">
        <f>"03276"</f>
        <v>03276</v>
      </c>
      <c r="C27" t="s">
        <v>10</v>
      </c>
      <c r="D27" t="s">
        <v>23</v>
      </c>
      <c r="E27" s="16" t="str">
        <f>"004"</f>
        <v>004</v>
      </c>
      <c r="F27" s="16">
        <v>2007</v>
      </c>
      <c r="G27" s="6">
        <v>39045800</v>
      </c>
      <c r="H27" s="6">
        <v>3937100</v>
      </c>
      <c r="I27" s="6">
        <v>35108700</v>
      </c>
    </row>
    <row r="28" spans="1:9" x14ac:dyDescent="0.25">
      <c r="A28" t="s">
        <v>17</v>
      </c>
      <c r="B28" s="16" t="str">
        <f>"03276"</f>
        <v>03276</v>
      </c>
      <c r="C28" t="s">
        <v>10</v>
      </c>
      <c r="D28" t="s">
        <v>23</v>
      </c>
      <c r="E28" s="16" t="str">
        <f>"005"</f>
        <v>005</v>
      </c>
      <c r="F28" s="16">
        <v>2019</v>
      </c>
      <c r="G28" s="6">
        <v>49452800</v>
      </c>
      <c r="H28" s="6">
        <v>49422700</v>
      </c>
      <c r="I28" s="6">
        <v>30100</v>
      </c>
    </row>
    <row r="29" spans="1:9" x14ac:dyDescent="0.25">
      <c r="A29" t="s">
        <v>17</v>
      </c>
      <c r="B29" s="16" t="str">
        <f>"03186"</f>
        <v>03186</v>
      </c>
      <c r="C29" t="s">
        <v>11</v>
      </c>
      <c r="D29" t="s">
        <v>24</v>
      </c>
      <c r="E29" s="16" t="str">
        <f>"003"</f>
        <v>003</v>
      </c>
      <c r="F29" s="16">
        <v>2009</v>
      </c>
      <c r="G29" s="6">
        <v>137100</v>
      </c>
      <c r="H29" s="6">
        <v>102700</v>
      </c>
      <c r="I29" s="6">
        <v>34400</v>
      </c>
    </row>
    <row r="30" spans="1:9" x14ac:dyDescent="0.25">
      <c r="A30" t="s">
        <v>25</v>
      </c>
      <c r="B30" s="16" t="str">
        <f>"04151"</f>
        <v>04151</v>
      </c>
      <c r="C30" t="s">
        <v>11</v>
      </c>
      <c r="D30" t="s">
        <v>26</v>
      </c>
      <c r="E30" s="16" t="str">
        <f>"001"</f>
        <v>001</v>
      </c>
      <c r="F30" s="16">
        <v>1999</v>
      </c>
      <c r="G30" s="6">
        <v>1228500</v>
      </c>
      <c r="H30" s="6">
        <v>159000</v>
      </c>
      <c r="I30" s="6">
        <v>1069500</v>
      </c>
    </row>
    <row r="31" spans="1:9" x14ac:dyDescent="0.25">
      <c r="A31" t="s">
        <v>25</v>
      </c>
      <c r="B31" s="16" t="str">
        <f>"04291"</f>
        <v>04291</v>
      </c>
      <c r="C31" t="s">
        <v>10</v>
      </c>
      <c r="D31" t="s">
        <v>27</v>
      </c>
      <c r="E31" s="16" t="str">
        <f>"002"</f>
        <v>002</v>
      </c>
      <c r="F31" s="16">
        <v>1995</v>
      </c>
      <c r="G31" s="6">
        <v>20723500</v>
      </c>
      <c r="H31" s="6">
        <v>9141200</v>
      </c>
      <c r="I31" s="6">
        <v>11582300</v>
      </c>
    </row>
    <row r="32" spans="1:9" x14ac:dyDescent="0.25">
      <c r="A32" t="s">
        <v>25</v>
      </c>
      <c r="B32" s="16" t="str">
        <f>"04291"</f>
        <v>04291</v>
      </c>
      <c r="C32" t="s">
        <v>10</v>
      </c>
      <c r="D32" t="s">
        <v>27</v>
      </c>
      <c r="E32" s="16" t="str">
        <f>"003"</f>
        <v>003</v>
      </c>
      <c r="F32" s="16">
        <v>2015</v>
      </c>
      <c r="G32" s="6">
        <v>12056000</v>
      </c>
      <c r="H32" s="6">
        <v>9747800</v>
      </c>
      <c r="I32" s="6">
        <v>2308200</v>
      </c>
    </row>
    <row r="33" spans="1:9" x14ac:dyDescent="0.25">
      <c r="A33" t="s">
        <v>28</v>
      </c>
      <c r="B33" s="16" t="str">
        <f>"05102"</f>
        <v>05102</v>
      </c>
      <c r="C33" t="s">
        <v>11</v>
      </c>
      <c r="D33" t="s">
        <v>29</v>
      </c>
      <c r="E33" s="16" t="str">
        <f>"001"</f>
        <v>001</v>
      </c>
      <c r="F33" s="16">
        <v>2012</v>
      </c>
      <c r="G33" s="6">
        <v>119951100</v>
      </c>
      <c r="H33" s="6">
        <v>84407400</v>
      </c>
      <c r="I33" s="6">
        <v>35543700</v>
      </c>
    </row>
    <row r="34" spans="1:9" x14ac:dyDescent="0.25">
      <c r="A34" t="s">
        <v>28</v>
      </c>
      <c r="B34" s="16" t="str">
        <f>"05104"</f>
        <v>05104</v>
      </c>
      <c r="C34" t="s">
        <v>11</v>
      </c>
      <c r="D34" t="s">
        <v>30</v>
      </c>
      <c r="E34" s="16" t="str">
        <f>"003"</f>
        <v>003</v>
      </c>
      <c r="F34" s="16">
        <v>2008</v>
      </c>
      <c r="G34" s="6">
        <v>563924100</v>
      </c>
      <c r="H34" s="6">
        <v>349253900</v>
      </c>
      <c r="I34" s="6">
        <v>214670200</v>
      </c>
    </row>
    <row r="35" spans="1:9" x14ac:dyDescent="0.25">
      <c r="A35" t="s">
        <v>28</v>
      </c>
      <c r="B35" s="16" t="str">
        <f>"05104"</f>
        <v>05104</v>
      </c>
      <c r="C35" t="s">
        <v>11</v>
      </c>
      <c r="D35" t="s">
        <v>30</v>
      </c>
      <c r="E35" s="16" t="str">
        <f>"004"</f>
        <v>004</v>
      </c>
      <c r="F35" s="16">
        <v>2008</v>
      </c>
      <c r="G35" s="6">
        <v>85142800</v>
      </c>
      <c r="H35" s="6">
        <v>15987400</v>
      </c>
      <c r="I35" s="6">
        <v>69155400</v>
      </c>
    </row>
    <row r="36" spans="1:9" x14ac:dyDescent="0.25">
      <c r="A36" t="s">
        <v>28</v>
      </c>
      <c r="B36" s="16" t="str">
        <f>"05104"</f>
        <v>05104</v>
      </c>
      <c r="C36" t="s">
        <v>11</v>
      </c>
      <c r="D36" t="s">
        <v>30</v>
      </c>
      <c r="E36" s="16" t="str">
        <f>"005"</f>
        <v>005</v>
      </c>
      <c r="F36" s="16">
        <v>2014</v>
      </c>
      <c r="G36" s="6">
        <v>88303900</v>
      </c>
      <c r="H36" s="6">
        <v>62012600</v>
      </c>
      <c r="I36" s="6">
        <v>26291300</v>
      </c>
    </row>
    <row r="37" spans="1:9" x14ac:dyDescent="0.25">
      <c r="A37" t="s">
        <v>28</v>
      </c>
      <c r="B37" s="16" t="str">
        <f>"05106"</f>
        <v>05106</v>
      </c>
      <c r="C37" t="s">
        <v>11</v>
      </c>
      <c r="D37" t="s">
        <v>31</v>
      </c>
      <c r="E37" s="16" t="str">
        <f>"001"</f>
        <v>001</v>
      </c>
      <c r="F37" s="16">
        <v>2013</v>
      </c>
      <c r="G37" s="6">
        <v>34680900</v>
      </c>
      <c r="H37" s="6">
        <v>7198700</v>
      </c>
      <c r="I37" s="6">
        <v>27482200</v>
      </c>
    </row>
    <row r="38" spans="1:9" x14ac:dyDescent="0.25">
      <c r="A38" t="s">
        <v>28</v>
      </c>
      <c r="B38" s="16" t="str">
        <f>"05106"</f>
        <v>05106</v>
      </c>
      <c r="C38" t="s">
        <v>11</v>
      </c>
      <c r="D38" t="s">
        <v>31</v>
      </c>
      <c r="E38" s="16" t="str">
        <f>"002"</f>
        <v>002</v>
      </c>
      <c r="F38" s="16">
        <v>2016</v>
      </c>
      <c r="G38" s="6">
        <v>42688900</v>
      </c>
      <c r="H38" s="6">
        <v>3212200</v>
      </c>
      <c r="I38" s="6">
        <v>39476700</v>
      </c>
    </row>
    <row r="39" spans="1:9" x14ac:dyDescent="0.25">
      <c r="A39" t="s">
        <v>28</v>
      </c>
      <c r="B39" s="16" t="str">
        <f t="shared" ref="B39:B49" si="0">"05216"</f>
        <v>05216</v>
      </c>
      <c r="C39" t="s">
        <v>10</v>
      </c>
      <c r="D39" t="s">
        <v>32</v>
      </c>
      <c r="E39" s="16" t="str">
        <f>"006"</f>
        <v>006</v>
      </c>
      <c r="F39" s="16">
        <v>1998</v>
      </c>
      <c r="G39" s="6">
        <v>106786300</v>
      </c>
      <c r="H39" s="6">
        <v>7042900</v>
      </c>
      <c r="I39" s="6">
        <v>99743400</v>
      </c>
    </row>
    <row r="40" spans="1:9" x14ac:dyDescent="0.25">
      <c r="A40" t="s">
        <v>28</v>
      </c>
      <c r="B40" s="16" t="str">
        <f t="shared" si="0"/>
        <v>05216</v>
      </c>
      <c r="C40" t="s">
        <v>10</v>
      </c>
      <c r="D40" t="s">
        <v>32</v>
      </c>
      <c r="E40" s="16" t="str">
        <f>"007"</f>
        <v>007</v>
      </c>
      <c r="F40" s="16">
        <v>2007</v>
      </c>
      <c r="G40" s="6">
        <v>17388600</v>
      </c>
      <c r="H40" s="6">
        <v>12056000</v>
      </c>
      <c r="I40" s="6">
        <v>5332600</v>
      </c>
    </row>
    <row r="41" spans="1:9" x14ac:dyDescent="0.25">
      <c r="A41" t="s">
        <v>28</v>
      </c>
      <c r="B41" s="16" t="str">
        <f t="shared" si="0"/>
        <v>05216</v>
      </c>
      <c r="C41" t="s">
        <v>10</v>
      </c>
      <c r="D41" t="s">
        <v>32</v>
      </c>
      <c r="E41" s="16" t="str">
        <f>"008"</f>
        <v>008</v>
      </c>
      <c r="F41" s="16">
        <v>2007</v>
      </c>
      <c r="G41" s="6">
        <v>50184200</v>
      </c>
      <c r="H41" s="6">
        <v>36633200</v>
      </c>
      <c r="I41" s="6">
        <v>13551000</v>
      </c>
    </row>
    <row r="42" spans="1:9" x14ac:dyDescent="0.25">
      <c r="A42" t="s">
        <v>28</v>
      </c>
      <c r="B42" s="16" t="str">
        <f t="shared" si="0"/>
        <v>05216</v>
      </c>
      <c r="C42" t="s">
        <v>10</v>
      </c>
      <c r="D42" t="s">
        <v>32</v>
      </c>
      <c r="E42" s="16" t="str">
        <f>"009"</f>
        <v>009</v>
      </c>
      <c r="F42" s="16">
        <v>2012</v>
      </c>
      <c r="G42" s="6">
        <v>16284600</v>
      </c>
      <c r="H42" s="6">
        <v>14776100</v>
      </c>
      <c r="I42" s="6">
        <v>1508500</v>
      </c>
    </row>
    <row r="43" spans="1:9" x14ac:dyDescent="0.25">
      <c r="A43" t="s">
        <v>28</v>
      </c>
      <c r="B43" s="16" t="str">
        <f t="shared" si="0"/>
        <v>05216</v>
      </c>
      <c r="C43" t="s">
        <v>10</v>
      </c>
      <c r="D43" t="s">
        <v>32</v>
      </c>
      <c r="E43" s="16" t="str">
        <f>"010"</f>
        <v>010</v>
      </c>
      <c r="F43" s="16">
        <v>2012</v>
      </c>
      <c r="G43" s="6">
        <v>32148900</v>
      </c>
      <c r="H43" s="6">
        <v>24811900</v>
      </c>
      <c r="I43" s="6">
        <v>7337000</v>
      </c>
    </row>
    <row r="44" spans="1:9" x14ac:dyDescent="0.25">
      <c r="A44" t="s">
        <v>28</v>
      </c>
      <c r="B44" s="16" t="str">
        <f t="shared" si="0"/>
        <v>05216</v>
      </c>
      <c r="C44" t="s">
        <v>10</v>
      </c>
      <c r="D44" t="s">
        <v>32</v>
      </c>
      <c r="E44" s="16" t="str">
        <f>"011"</f>
        <v>011</v>
      </c>
      <c r="F44" s="16">
        <v>2015</v>
      </c>
      <c r="G44" s="6">
        <v>17189000</v>
      </c>
      <c r="H44" s="6">
        <v>6079500</v>
      </c>
      <c r="I44" s="6">
        <v>11109500</v>
      </c>
    </row>
    <row r="45" spans="1:9" x14ac:dyDescent="0.25">
      <c r="A45" t="s">
        <v>28</v>
      </c>
      <c r="B45" s="16" t="str">
        <f t="shared" si="0"/>
        <v>05216</v>
      </c>
      <c r="C45" t="s">
        <v>10</v>
      </c>
      <c r="D45" t="s">
        <v>32</v>
      </c>
      <c r="E45" s="16" t="str">
        <f>"012"</f>
        <v>012</v>
      </c>
      <c r="F45" s="16">
        <v>2015</v>
      </c>
      <c r="G45" s="6">
        <v>18103300</v>
      </c>
      <c r="H45" s="6">
        <v>6703300</v>
      </c>
      <c r="I45" s="6">
        <v>11400000</v>
      </c>
    </row>
    <row r="46" spans="1:9" x14ac:dyDescent="0.25">
      <c r="A46" t="s">
        <v>28</v>
      </c>
      <c r="B46" s="16" t="str">
        <f t="shared" si="0"/>
        <v>05216</v>
      </c>
      <c r="C46" t="s">
        <v>10</v>
      </c>
      <c r="D46" t="s">
        <v>32</v>
      </c>
      <c r="E46" s="16" t="str">
        <f>"013"</f>
        <v>013</v>
      </c>
      <c r="F46" s="16">
        <v>2017</v>
      </c>
      <c r="G46" s="6">
        <v>60915300</v>
      </c>
      <c r="H46" s="6">
        <v>53361100</v>
      </c>
      <c r="I46" s="6">
        <v>7554200</v>
      </c>
    </row>
    <row r="47" spans="1:9" x14ac:dyDescent="0.25">
      <c r="A47" t="s">
        <v>28</v>
      </c>
      <c r="B47" s="16" t="str">
        <f t="shared" si="0"/>
        <v>05216</v>
      </c>
      <c r="C47" t="s">
        <v>10</v>
      </c>
      <c r="D47" t="s">
        <v>32</v>
      </c>
      <c r="E47" s="16" t="str">
        <f>"014"</f>
        <v>014</v>
      </c>
      <c r="F47" s="16">
        <v>2019</v>
      </c>
      <c r="G47" s="6">
        <v>2906800</v>
      </c>
      <c r="H47" s="6">
        <v>579600</v>
      </c>
      <c r="I47" s="6">
        <v>2327200</v>
      </c>
    </row>
    <row r="48" spans="1:9" x14ac:dyDescent="0.25">
      <c r="A48" t="s">
        <v>28</v>
      </c>
      <c r="B48" s="16" t="str">
        <f t="shared" si="0"/>
        <v>05216</v>
      </c>
      <c r="C48" t="s">
        <v>10</v>
      </c>
      <c r="D48" t="s">
        <v>32</v>
      </c>
      <c r="E48" s="16" t="str">
        <f>"015"</f>
        <v>015</v>
      </c>
      <c r="F48" s="16">
        <v>2020</v>
      </c>
      <c r="G48" s="6">
        <v>2553300</v>
      </c>
      <c r="H48" s="6">
        <v>2616000</v>
      </c>
      <c r="I48" s="6">
        <v>-62700</v>
      </c>
    </row>
    <row r="49" spans="1:9" x14ac:dyDescent="0.25">
      <c r="A49" t="s">
        <v>28</v>
      </c>
      <c r="B49" s="16" t="str">
        <f t="shared" si="0"/>
        <v>05216</v>
      </c>
      <c r="C49" t="s">
        <v>10</v>
      </c>
      <c r="D49" t="s">
        <v>32</v>
      </c>
      <c r="E49" s="16" t="str">
        <f>"016"</f>
        <v>016</v>
      </c>
      <c r="F49" s="16">
        <v>2020</v>
      </c>
      <c r="G49" s="6">
        <v>0</v>
      </c>
      <c r="H49" s="6">
        <v>0</v>
      </c>
      <c r="I49" s="6">
        <v>0</v>
      </c>
    </row>
    <row r="50" spans="1:9" x14ac:dyDescent="0.25">
      <c r="A50" t="s">
        <v>28</v>
      </c>
      <c r="B50" s="16" t="str">
        <f t="shared" ref="B50:B62" si="1">"05231"</f>
        <v>05231</v>
      </c>
      <c r="C50" t="s">
        <v>10</v>
      </c>
      <c r="D50" t="s">
        <v>33</v>
      </c>
      <c r="E50" s="16" t="str">
        <f>"004"</f>
        <v>004</v>
      </c>
      <c r="F50" s="16">
        <v>1998</v>
      </c>
      <c r="G50" s="6">
        <v>52274300</v>
      </c>
      <c r="H50" s="6">
        <v>26954000</v>
      </c>
      <c r="I50" s="6">
        <v>25320300</v>
      </c>
    </row>
    <row r="51" spans="1:9" x14ac:dyDescent="0.25">
      <c r="A51" t="s">
        <v>28</v>
      </c>
      <c r="B51" s="16" t="str">
        <f t="shared" si="1"/>
        <v>05231</v>
      </c>
      <c r="C51" t="s">
        <v>10</v>
      </c>
      <c r="D51" t="s">
        <v>33</v>
      </c>
      <c r="E51" s="16" t="str">
        <f>"005"</f>
        <v>005</v>
      </c>
      <c r="F51" s="16">
        <v>2000</v>
      </c>
      <c r="G51" s="6">
        <v>149455800</v>
      </c>
      <c r="H51" s="6">
        <v>55249400</v>
      </c>
      <c r="I51" s="6">
        <v>94206400</v>
      </c>
    </row>
    <row r="52" spans="1:9" x14ac:dyDescent="0.25">
      <c r="A52" t="s">
        <v>28</v>
      </c>
      <c r="B52" s="16" t="str">
        <f t="shared" si="1"/>
        <v>05231</v>
      </c>
      <c r="C52" t="s">
        <v>10</v>
      </c>
      <c r="D52" t="s">
        <v>33</v>
      </c>
      <c r="E52" s="16" t="str">
        <f>"010"</f>
        <v>010</v>
      </c>
      <c r="F52" s="16">
        <v>2004</v>
      </c>
      <c r="G52" s="6">
        <v>38165200</v>
      </c>
      <c r="H52" s="6">
        <v>24402500</v>
      </c>
      <c r="I52" s="6">
        <v>13762700</v>
      </c>
    </row>
    <row r="53" spans="1:9" x14ac:dyDescent="0.25">
      <c r="A53" t="s">
        <v>28</v>
      </c>
      <c r="B53" s="16" t="str">
        <f t="shared" si="1"/>
        <v>05231</v>
      </c>
      <c r="C53" t="s">
        <v>10</v>
      </c>
      <c r="D53" t="s">
        <v>33</v>
      </c>
      <c r="E53" s="16" t="str">
        <f>"012"</f>
        <v>012</v>
      </c>
      <c r="F53" s="16">
        <v>2005</v>
      </c>
      <c r="G53" s="6">
        <v>336496900</v>
      </c>
      <c r="H53" s="6">
        <v>196591800</v>
      </c>
      <c r="I53" s="6">
        <v>139905100</v>
      </c>
    </row>
    <row r="54" spans="1:9" x14ac:dyDescent="0.25">
      <c r="A54" t="s">
        <v>28</v>
      </c>
      <c r="B54" s="16" t="str">
        <f t="shared" si="1"/>
        <v>05231</v>
      </c>
      <c r="C54" t="s">
        <v>10</v>
      </c>
      <c r="D54" t="s">
        <v>33</v>
      </c>
      <c r="E54" s="16" t="str">
        <f>"013"</f>
        <v>013</v>
      </c>
      <c r="F54" s="16">
        <v>2005</v>
      </c>
      <c r="G54" s="6">
        <v>169326700</v>
      </c>
      <c r="H54" s="6">
        <v>46360500</v>
      </c>
      <c r="I54" s="6">
        <v>122966200</v>
      </c>
    </row>
    <row r="55" spans="1:9" x14ac:dyDescent="0.25">
      <c r="A55" t="s">
        <v>28</v>
      </c>
      <c r="B55" s="16" t="str">
        <f t="shared" si="1"/>
        <v>05231</v>
      </c>
      <c r="C55" t="s">
        <v>10</v>
      </c>
      <c r="D55" t="s">
        <v>33</v>
      </c>
      <c r="E55" s="16" t="str">
        <f>"014"</f>
        <v>014</v>
      </c>
      <c r="F55" s="16">
        <v>2006</v>
      </c>
      <c r="G55" s="6">
        <v>37302600</v>
      </c>
      <c r="H55" s="6">
        <v>6155500</v>
      </c>
      <c r="I55" s="6">
        <v>31147100</v>
      </c>
    </row>
    <row r="56" spans="1:9" x14ac:dyDescent="0.25">
      <c r="A56" t="s">
        <v>28</v>
      </c>
      <c r="B56" s="16" t="str">
        <f t="shared" si="1"/>
        <v>05231</v>
      </c>
      <c r="C56" t="s">
        <v>10</v>
      </c>
      <c r="D56" t="s">
        <v>33</v>
      </c>
      <c r="E56" s="16" t="str">
        <f>"016"</f>
        <v>016</v>
      </c>
      <c r="F56" s="16">
        <v>2007</v>
      </c>
      <c r="G56" s="6">
        <v>109840600</v>
      </c>
      <c r="H56" s="6">
        <v>82363200</v>
      </c>
      <c r="I56" s="6">
        <v>27477400</v>
      </c>
    </row>
    <row r="57" spans="1:9" x14ac:dyDescent="0.25">
      <c r="A57" t="s">
        <v>28</v>
      </c>
      <c r="B57" s="16" t="str">
        <f t="shared" si="1"/>
        <v>05231</v>
      </c>
      <c r="C57" t="s">
        <v>10</v>
      </c>
      <c r="D57" t="s">
        <v>33</v>
      </c>
      <c r="E57" s="16" t="str">
        <f>"018"</f>
        <v>018</v>
      </c>
      <c r="F57" s="16">
        <v>2016</v>
      </c>
      <c r="G57" s="6">
        <v>57445100</v>
      </c>
      <c r="H57" s="6">
        <v>29760700</v>
      </c>
      <c r="I57" s="6">
        <v>27684400</v>
      </c>
    </row>
    <row r="58" spans="1:9" x14ac:dyDescent="0.25">
      <c r="A58" t="s">
        <v>28</v>
      </c>
      <c r="B58" s="16" t="str">
        <f t="shared" si="1"/>
        <v>05231</v>
      </c>
      <c r="C58" t="s">
        <v>10</v>
      </c>
      <c r="D58" t="s">
        <v>33</v>
      </c>
      <c r="E58" s="16" t="str">
        <f>"019"</f>
        <v>019</v>
      </c>
      <c r="F58" s="16">
        <v>2017</v>
      </c>
      <c r="G58" s="6">
        <v>38723600</v>
      </c>
      <c r="H58" s="6">
        <v>27027500</v>
      </c>
      <c r="I58" s="6">
        <v>11696100</v>
      </c>
    </row>
    <row r="59" spans="1:9" x14ac:dyDescent="0.25">
      <c r="A59" t="s">
        <v>28</v>
      </c>
      <c r="B59" s="16" t="str">
        <f t="shared" si="1"/>
        <v>05231</v>
      </c>
      <c r="C59" t="s">
        <v>10</v>
      </c>
      <c r="D59" t="s">
        <v>33</v>
      </c>
      <c r="E59" s="16" t="str">
        <f>"020"</f>
        <v>020</v>
      </c>
      <c r="F59" s="16">
        <v>2018</v>
      </c>
      <c r="G59" s="6">
        <v>12564900</v>
      </c>
      <c r="H59" s="6">
        <v>5285100</v>
      </c>
      <c r="I59" s="6">
        <v>7279800</v>
      </c>
    </row>
    <row r="60" spans="1:9" x14ac:dyDescent="0.25">
      <c r="A60" t="s">
        <v>28</v>
      </c>
      <c r="B60" s="16" t="str">
        <f t="shared" si="1"/>
        <v>05231</v>
      </c>
      <c r="C60" t="s">
        <v>10</v>
      </c>
      <c r="D60" t="s">
        <v>33</v>
      </c>
      <c r="E60" s="16" t="str">
        <f>"021"</f>
        <v>021</v>
      </c>
      <c r="F60" s="16">
        <v>2018</v>
      </c>
      <c r="G60" s="6">
        <v>114266500</v>
      </c>
      <c r="H60" s="6">
        <v>25446300</v>
      </c>
      <c r="I60" s="6">
        <v>88820200</v>
      </c>
    </row>
    <row r="61" spans="1:9" x14ac:dyDescent="0.25">
      <c r="A61" t="s">
        <v>28</v>
      </c>
      <c r="B61" s="16" t="str">
        <f t="shared" si="1"/>
        <v>05231</v>
      </c>
      <c r="C61" t="s">
        <v>10</v>
      </c>
      <c r="D61" t="s">
        <v>33</v>
      </c>
      <c r="E61" s="16" t="str">
        <f>"022"</f>
        <v>022</v>
      </c>
      <c r="F61" s="16">
        <v>2019</v>
      </c>
      <c r="G61" s="6">
        <v>4128300</v>
      </c>
      <c r="H61" s="6">
        <v>3941400</v>
      </c>
      <c r="I61" s="6">
        <v>186900</v>
      </c>
    </row>
    <row r="62" spans="1:9" x14ac:dyDescent="0.25">
      <c r="A62" t="s">
        <v>28</v>
      </c>
      <c r="B62" s="16" t="str">
        <f t="shared" si="1"/>
        <v>05231</v>
      </c>
      <c r="C62" t="s">
        <v>10</v>
      </c>
      <c r="D62" t="s">
        <v>33</v>
      </c>
      <c r="E62" s="16" t="str">
        <f>"023"</f>
        <v>023</v>
      </c>
      <c r="F62" s="16">
        <v>2019</v>
      </c>
      <c r="G62" s="6">
        <v>11974200</v>
      </c>
      <c r="H62" s="6">
        <v>12027400</v>
      </c>
      <c r="I62" s="6">
        <v>-53200</v>
      </c>
    </row>
    <row r="63" spans="1:9" x14ac:dyDescent="0.25">
      <c r="A63" t="s">
        <v>28</v>
      </c>
      <c r="B63" s="16" t="str">
        <f>"05126"</f>
        <v>05126</v>
      </c>
      <c r="C63" t="s">
        <v>11</v>
      </c>
      <c r="D63" t="s">
        <v>34</v>
      </c>
      <c r="E63" s="16" t="str">
        <f>"001"</f>
        <v>001</v>
      </c>
      <c r="F63" s="16">
        <v>2009</v>
      </c>
      <c r="G63" s="6">
        <v>231245400</v>
      </c>
      <c r="H63" s="6">
        <v>20991900</v>
      </c>
      <c r="I63" s="6">
        <v>210253500</v>
      </c>
    </row>
    <row r="64" spans="1:9" x14ac:dyDescent="0.25">
      <c r="A64" t="s">
        <v>28</v>
      </c>
      <c r="B64" s="16" t="str">
        <f>"05126"</f>
        <v>05126</v>
      </c>
      <c r="C64" t="s">
        <v>11</v>
      </c>
      <c r="D64" t="s">
        <v>34</v>
      </c>
      <c r="E64" s="16" t="str">
        <f>"002"</f>
        <v>002</v>
      </c>
      <c r="F64" s="16">
        <v>2011</v>
      </c>
      <c r="G64" s="6">
        <v>97108400</v>
      </c>
      <c r="H64" s="6">
        <v>3285500</v>
      </c>
      <c r="I64" s="6">
        <v>93822900</v>
      </c>
    </row>
    <row r="65" spans="1:9" x14ac:dyDescent="0.25">
      <c r="A65" t="s">
        <v>28</v>
      </c>
      <c r="B65" s="16" t="str">
        <f t="shared" ref="B65:B71" si="2">"05136"</f>
        <v>05136</v>
      </c>
      <c r="C65" t="s">
        <v>11</v>
      </c>
      <c r="D65" t="s">
        <v>35</v>
      </c>
      <c r="E65" s="16" t="str">
        <f>"003"</f>
        <v>003</v>
      </c>
      <c r="F65" s="16">
        <v>2006</v>
      </c>
      <c r="G65" s="6">
        <v>49858000</v>
      </c>
      <c r="H65" s="6">
        <v>16302800</v>
      </c>
      <c r="I65" s="6">
        <v>33555200</v>
      </c>
    </row>
    <row r="66" spans="1:9" x14ac:dyDescent="0.25">
      <c r="A66" t="s">
        <v>28</v>
      </c>
      <c r="B66" s="16" t="str">
        <f t="shared" si="2"/>
        <v>05136</v>
      </c>
      <c r="C66" t="s">
        <v>11</v>
      </c>
      <c r="D66" t="s">
        <v>35</v>
      </c>
      <c r="E66" s="16" t="str">
        <f>"004"</f>
        <v>004</v>
      </c>
      <c r="F66" s="16">
        <v>2007</v>
      </c>
      <c r="G66" s="6">
        <v>119442000</v>
      </c>
      <c r="H66" s="6">
        <v>68155700</v>
      </c>
      <c r="I66" s="6">
        <v>51286300</v>
      </c>
    </row>
    <row r="67" spans="1:9" x14ac:dyDescent="0.25">
      <c r="A67" t="s">
        <v>28</v>
      </c>
      <c r="B67" s="16" t="str">
        <f t="shared" si="2"/>
        <v>05136</v>
      </c>
      <c r="C67" t="s">
        <v>11</v>
      </c>
      <c r="D67" t="s">
        <v>35</v>
      </c>
      <c r="E67" s="16" t="str">
        <f>"005"</f>
        <v>005</v>
      </c>
      <c r="F67" s="16">
        <v>2008</v>
      </c>
      <c r="G67" s="6">
        <v>15022600</v>
      </c>
      <c r="H67" s="6">
        <v>9872400</v>
      </c>
      <c r="I67" s="6">
        <v>5150200</v>
      </c>
    </row>
    <row r="68" spans="1:9" x14ac:dyDescent="0.25">
      <c r="A68" t="s">
        <v>28</v>
      </c>
      <c r="B68" s="16" t="str">
        <f t="shared" si="2"/>
        <v>05136</v>
      </c>
      <c r="C68" t="s">
        <v>11</v>
      </c>
      <c r="D68" t="s">
        <v>35</v>
      </c>
      <c r="E68" s="16" t="str">
        <f>"006"</f>
        <v>006</v>
      </c>
      <c r="F68" s="16">
        <v>2008</v>
      </c>
      <c r="G68" s="6">
        <v>39996500</v>
      </c>
      <c r="H68" s="6">
        <v>7930100</v>
      </c>
      <c r="I68" s="6">
        <v>32066400</v>
      </c>
    </row>
    <row r="69" spans="1:9" x14ac:dyDescent="0.25">
      <c r="A69" t="s">
        <v>28</v>
      </c>
      <c r="B69" s="16" t="str">
        <f t="shared" si="2"/>
        <v>05136</v>
      </c>
      <c r="C69" t="s">
        <v>11</v>
      </c>
      <c r="D69" t="s">
        <v>35</v>
      </c>
      <c r="E69" s="16" t="str">
        <f>"007"</f>
        <v>007</v>
      </c>
      <c r="F69" s="16">
        <v>2012</v>
      </c>
      <c r="G69" s="6">
        <v>23051800</v>
      </c>
      <c r="H69" s="6">
        <v>18245700</v>
      </c>
      <c r="I69" s="6">
        <v>4806100</v>
      </c>
    </row>
    <row r="70" spans="1:9" x14ac:dyDescent="0.25">
      <c r="A70" t="s">
        <v>28</v>
      </c>
      <c r="B70" s="16" t="str">
        <f t="shared" si="2"/>
        <v>05136</v>
      </c>
      <c r="C70" t="s">
        <v>11</v>
      </c>
      <c r="D70" t="s">
        <v>35</v>
      </c>
      <c r="E70" s="16" t="str">
        <f>"008"</f>
        <v>008</v>
      </c>
      <c r="F70" s="16">
        <v>2015</v>
      </c>
      <c r="G70" s="6">
        <v>46705000</v>
      </c>
      <c r="H70" s="6">
        <v>8378100</v>
      </c>
      <c r="I70" s="6">
        <v>38326900</v>
      </c>
    </row>
    <row r="71" spans="1:9" x14ac:dyDescent="0.25">
      <c r="A71" t="s">
        <v>28</v>
      </c>
      <c r="B71" s="16" t="str">
        <f t="shared" si="2"/>
        <v>05136</v>
      </c>
      <c r="C71" t="s">
        <v>11</v>
      </c>
      <c r="D71" t="s">
        <v>35</v>
      </c>
      <c r="E71" s="16" t="str">
        <f>"009"</f>
        <v>009</v>
      </c>
      <c r="F71" s="16">
        <v>2019</v>
      </c>
      <c r="G71" s="6">
        <v>6030900</v>
      </c>
      <c r="H71" s="6">
        <v>6637800</v>
      </c>
      <c r="I71" s="6">
        <v>-606900</v>
      </c>
    </row>
    <row r="72" spans="1:9" x14ac:dyDescent="0.25">
      <c r="A72" t="s">
        <v>28</v>
      </c>
      <c r="B72" s="16" t="str">
        <f>"05024"</f>
        <v>05024</v>
      </c>
      <c r="C72" t="s">
        <v>13</v>
      </c>
      <c r="D72" t="s">
        <v>36</v>
      </c>
      <c r="E72" s="16" t="str">
        <f>"001A"</f>
        <v>001A</v>
      </c>
      <c r="F72" s="16">
        <v>2018</v>
      </c>
      <c r="G72" s="6">
        <v>13676400</v>
      </c>
      <c r="H72" s="6">
        <v>212900</v>
      </c>
      <c r="I72" s="6">
        <v>13463500</v>
      </c>
    </row>
    <row r="73" spans="1:9" x14ac:dyDescent="0.25">
      <c r="A73" t="s">
        <v>28</v>
      </c>
      <c r="B73" s="16" t="str">
        <f>"05024"</f>
        <v>05024</v>
      </c>
      <c r="C73" t="s">
        <v>13</v>
      </c>
      <c r="D73" t="s">
        <v>36</v>
      </c>
      <c r="E73" s="16" t="str">
        <f>"002A"</f>
        <v>002A</v>
      </c>
      <c r="F73" s="16">
        <v>2018</v>
      </c>
      <c r="G73" s="6">
        <v>18730400</v>
      </c>
      <c r="H73" s="6">
        <v>1218900</v>
      </c>
      <c r="I73" s="6">
        <v>17511500</v>
      </c>
    </row>
    <row r="74" spans="1:9" x14ac:dyDescent="0.25">
      <c r="A74" t="s">
        <v>28</v>
      </c>
      <c r="B74" s="16" t="str">
        <f>"05025"</f>
        <v>05025</v>
      </c>
      <c r="C74" t="s">
        <v>13</v>
      </c>
      <c r="D74" t="s">
        <v>37</v>
      </c>
      <c r="E74" s="16" t="str">
        <f>"001A"</f>
        <v>001A</v>
      </c>
      <c r="F74" s="16">
        <v>2015</v>
      </c>
      <c r="G74" s="6">
        <v>66313500</v>
      </c>
      <c r="H74" s="6">
        <v>27418500</v>
      </c>
      <c r="I74" s="6">
        <v>38895000</v>
      </c>
    </row>
    <row r="75" spans="1:9" x14ac:dyDescent="0.25">
      <c r="A75" t="s">
        <v>28</v>
      </c>
      <c r="B75" s="16" t="str">
        <f>"05025"</f>
        <v>05025</v>
      </c>
      <c r="C75" t="s">
        <v>13</v>
      </c>
      <c r="D75" t="s">
        <v>37</v>
      </c>
      <c r="E75" s="16" t="str">
        <f>"002T"</f>
        <v>002T</v>
      </c>
      <c r="F75" s="16">
        <v>2019</v>
      </c>
      <c r="G75" s="6">
        <v>6255100</v>
      </c>
      <c r="H75" s="6">
        <v>440000</v>
      </c>
      <c r="I75" s="6">
        <v>5815100</v>
      </c>
    </row>
    <row r="76" spans="1:9" x14ac:dyDescent="0.25">
      <c r="A76" t="s">
        <v>28</v>
      </c>
      <c r="B76" s="16" t="str">
        <f>"05171"</f>
        <v>05171</v>
      </c>
      <c r="C76" t="s">
        <v>11</v>
      </c>
      <c r="D76" t="s">
        <v>38</v>
      </c>
      <c r="E76" s="16" t="str">
        <f>"002"</f>
        <v>002</v>
      </c>
      <c r="F76" s="16">
        <v>2005</v>
      </c>
      <c r="G76" s="6">
        <v>23163400</v>
      </c>
      <c r="H76" s="6">
        <v>10361100</v>
      </c>
      <c r="I76" s="6">
        <v>12802300</v>
      </c>
    </row>
    <row r="77" spans="1:9" x14ac:dyDescent="0.25">
      <c r="A77" t="s">
        <v>28</v>
      </c>
      <c r="B77" s="16" t="str">
        <f>"05171"</f>
        <v>05171</v>
      </c>
      <c r="C77" t="s">
        <v>11</v>
      </c>
      <c r="D77" t="s">
        <v>38</v>
      </c>
      <c r="E77" s="16" t="str">
        <f>"003"</f>
        <v>003</v>
      </c>
      <c r="F77" s="16">
        <v>2014</v>
      </c>
      <c r="G77" s="6">
        <v>6087700</v>
      </c>
      <c r="H77" s="6">
        <v>6000000</v>
      </c>
      <c r="I77" s="6">
        <v>87700</v>
      </c>
    </row>
    <row r="78" spans="1:9" x14ac:dyDescent="0.25">
      <c r="A78" t="s">
        <v>28</v>
      </c>
      <c r="B78" s="16" t="str">
        <f>"05171"</f>
        <v>05171</v>
      </c>
      <c r="C78" t="s">
        <v>11</v>
      </c>
      <c r="D78" t="s">
        <v>38</v>
      </c>
      <c r="E78" s="16" t="str">
        <f>"004"</f>
        <v>004</v>
      </c>
      <c r="F78" s="16">
        <v>2015</v>
      </c>
      <c r="G78" s="6">
        <v>28331100</v>
      </c>
      <c r="H78" s="6">
        <v>1902300</v>
      </c>
      <c r="I78" s="6">
        <v>26428800</v>
      </c>
    </row>
    <row r="79" spans="1:9" x14ac:dyDescent="0.25">
      <c r="A79" t="s">
        <v>28</v>
      </c>
      <c r="B79" s="16" t="str">
        <f>"05178"</f>
        <v>05178</v>
      </c>
      <c r="C79" t="s">
        <v>11</v>
      </c>
      <c r="D79" t="s">
        <v>39</v>
      </c>
      <c r="E79" s="16" t="str">
        <f>"001"</f>
        <v>001</v>
      </c>
      <c r="F79" s="16">
        <v>2004</v>
      </c>
      <c r="G79" s="6">
        <v>66033900</v>
      </c>
      <c r="H79" s="6">
        <v>10470700</v>
      </c>
      <c r="I79" s="6">
        <v>55563200</v>
      </c>
    </row>
    <row r="80" spans="1:9" x14ac:dyDescent="0.25">
      <c r="A80" t="s">
        <v>28</v>
      </c>
      <c r="B80" s="16" t="str">
        <f>"05178"</f>
        <v>05178</v>
      </c>
      <c r="C80" t="s">
        <v>11</v>
      </c>
      <c r="D80" t="s">
        <v>39</v>
      </c>
      <c r="E80" s="16" t="str">
        <f>"002"</f>
        <v>002</v>
      </c>
      <c r="F80" s="16">
        <v>2006</v>
      </c>
      <c r="G80" s="6">
        <v>27208600</v>
      </c>
      <c r="H80" s="6">
        <v>10526200</v>
      </c>
      <c r="I80" s="6">
        <v>16682400</v>
      </c>
    </row>
    <row r="81" spans="1:9" x14ac:dyDescent="0.25">
      <c r="A81" t="s">
        <v>28</v>
      </c>
      <c r="B81" s="16" t="str">
        <f>"05178"</f>
        <v>05178</v>
      </c>
      <c r="C81" t="s">
        <v>11</v>
      </c>
      <c r="D81" t="s">
        <v>39</v>
      </c>
      <c r="E81" s="16" t="str">
        <f>"004"</f>
        <v>004</v>
      </c>
      <c r="F81" s="16">
        <v>2014</v>
      </c>
      <c r="G81" s="6">
        <v>66608100</v>
      </c>
      <c r="H81" s="6">
        <v>34008700</v>
      </c>
      <c r="I81" s="6">
        <v>32599400</v>
      </c>
    </row>
    <row r="82" spans="1:9" x14ac:dyDescent="0.25">
      <c r="A82" t="s">
        <v>28</v>
      </c>
      <c r="B82" s="16" t="str">
        <f>"05191"</f>
        <v>05191</v>
      </c>
      <c r="C82" t="s">
        <v>11</v>
      </c>
      <c r="D82" t="s">
        <v>40</v>
      </c>
      <c r="E82" s="16" t="str">
        <f>"003"</f>
        <v>003</v>
      </c>
      <c r="F82" s="16">
        <v>2015</v>
      </c>
      <c r="G82" s="6">
        <v>11873600</v>
      </c>
      <c r="H82" s="6">
        <v>8774500</v>
      </c>
      <c r="I82" s="6">
        <v>3099100</v>
      </c>
    </row>
    <row r="83" spans="1:9" x14ac:dyDescent="0.25">
      <c r="A83" t="s">
        <v>28</v>
      </c>
      <c r="B83" s="16" t="str">
        <f>"05191"</f>
        <v>05191</v>
      </c>
      <c r="C83" t="s">
        <v>11</v>
      </c>
      <c r="D83" t="s">
        <v>40</v>
      </c>
      <c r="E83" s="16" t="str">
        <f>"004"</f>
        <v>004</v>
      </c>
      <c r="F83" s="16">
        <v>2016</v>
      </c>
      <c r="G83" s="6">
        <v>14168700</v>
      </c>
      <c r="H83" s="6">
        <v>8400</v>
      </c>
      <c r="I83" s="6">
        <v>14160300</v>
      </c>
    </row>
    <row r="84" spans="1:9" x14ac:dyDescent="0.25">
      <c r="A84" t="s">
        <v>28</v>
      </c>
      <c r="B84" s="16" t="str">
        <f>"05191"</f>
        <v>05191</v>
      </c>
      <c r="C84" t="s">
        <v>11</v>
      </c>
      <c r="D84" t="s">
        <v>40</v>
      </c>
      <c r="E84" s="16" t="str">
        <f>"005"</f>
        <v>005</v>
      </c>
      <c r="F84" s="16">
        <v>2018</v>
      </c>
      <c r="G84" s="6">
        <v>9317500</v>
      </c>
      <c r="H84" s="6">
        <v>5315100</v>
      </c>
      <c r="I84" s="6">
        <v>4002400</v>
      </c>
    </row>
    <row r="85" spans="1:9" x14ac:dyDescent="0.25">
      <c r="A85" t="s">
        <v>41</v>
      </c>
      <c r="B85" s="16" t="str">
        <f>"06201"</f>
        <v>06201</v>
      </c>
      <c r="C85" t="s">
        <v>10</v>
      </c>
      <c r="D85" t="s">
        <v>42</v>
      </c>
      <c r="E85" s="16" t="str">
        <f>"001"</f>
        <v>001</v>
      </c>
      <c r="F85" s="16">
        <v>1994</v>
      </c>
      <c r="G85" s="6">
        <v>4678400</v>
      </c>
      <c r="H85" s="6">
        <v>769100</v>
      </c>
      <c r="I85" s="6">
        <v>3909300</v>
      </c>
    </row>
    <row r="86" spans="1:9" x14ac:dyDescent="0.25">
      <c r="A86" t="s">
        <v>41</v>
      </c>
      <c r="B86" s="16" t="str">
        <f>"06111"</f>
        <v>06111</v>
      </c>
      <c r="C86" t="s">
        <v>11</v>
      </c>
      <c r="D86" t="s">
        <v>43</v>
      </c>
      <c r="E86" s="16" t="str">
        <f>"001"</f>
        <v>001</v>
      </c>
      <c r="F86" s="16">
        <v>2019</v>
      </c>
      <c r="G86" s="6">
        <v>7518500</v>
      </c>
      <c r="H86" s="6">
        <v>1988700</v>
      </c>
      <c r="I86" s="6">
        <v>5529800</v>
      </c>
    </row>
    <row r="87" spans="1:9" x14ac:dyDescent="0.25">
      <c r="A87" t="s">
        <v>41</v>
      </c>
      <c r="B87" s="16" t="str">
        <f>"06251"</f>
        <v>06251</v>
      </c>
      <c r="C87" t="s">
        <v>10</v>
      </c>
      <c r="D87" t="s">
        <v>44</v>
      </c>
      <c r="E87" s="16" t="str">
        <f>"001"</f>
        <v>001</v>
      </c>
      <c r="F87" s="16">
        <v>1989</v>
      </c>
      <c r="G87" s="6">
        <v>14701200</v>
      </c>
      <c r="H87" s="6">
        <v>116300</v>
      </c>
      <c r="I87" s="6">
        <v>14584900</v>
      </c>
    </row>
    <row r="88" spans="1:9" x14ac:dyDescent="0.25">
      <c r="A88" t="s">
        <v>41</v>
      </c>
      <c r="B88" s="16" t="str">
        <f>"06251"</f>
        <v>06251</v>
      </c>
      <c r="C88" t="s">
        <v>10</v>
      </c>
      <c r="D88" t="s">
        <v>44</v>
      </c>
      <c r="E88" s="16" t="str">
        <f>"002"</f>
        <v>002</v>
      </c>
      <c r="F88" s="16">
        <v>2005</v>
      </c>
      <c r="G88" s="6">
        <v>11834000</v>
      </c>
      <c r="H88" s="6">
        <v>19900</v>
      </c>
      <c r="I88" s="6">
        <v>11814100</v>
      </c>
    </row>
    <row r="89" spans="1:9" x14ac:dyDescent="0.25">
      <c r="A89" t="s">
        <v>45</v>
      </c>
      <c r="B89" s="16" t="str">
        <f>"07131"</f>
        <v>07131</v>
      </c>
      <c r="C89" t="s">
        <v>11</v>
      </c>
      <c r="D89" t="s">
        <v>46</v>
      </c>
      <c r="E89" s="16" t="str">
        <f>"004"</f>
        <v>004</v>
      </c>
      <c r="F89" s="16">
        <v>2005</v>
      </c>
      <c r="G89" s="6">
        <v>4769600</v>
      </c>
      <c r="H89" s="6">
        <v>1091000</v>
      </c>
      <c r="I89" s="6">
        <v>3678600</v>
      </c>
    </row>
    <row r="90" spans="1:9" x14ac:dyDescent="0.25">
      <c r="A90" t="s">
        <v>45</v>
      </c>
      <c r="B90" s="16" t="str">
        <f>"07131"</f>
        <v>07131</v>
      </c>
      <c r="C90" t="s">
        <v>11</v>
      </c>
      <c r="D90" t="s">
        <v>46</v>
      </c>
      <c r="E90" s="16" t="str">
        <f>"005"</f>
        <v>005</v>
      </c>
      <c r="F90" s="16">
        <v>2008</v>
      </c>
      <c r="G90" s="6">
        <v>637600</v>
      </c>
      <c r="H90" s="6">
        <v>212600</v>
      </c>
      <c r="I90" s="6">
        <v>425000</v>
      </c>
    </row>
    <row r="91" spans="1:9" x14ac:dyDescent="0.25">
      <c r="A91" t="s">
        <v>45</v>
      </c>
      <c r="B91" s="16" t="str">
        <f>"07181"</f>
        <v>07181</v>
      </c>
      <c r="C91" t="s">
        <v>11</v>
      </c>
      <c r="D91" t="s">
        <v>47</v>
      </c>
      <c r="E91" s="16" t="str">
        <f>"001"</f>
        <v>001</v>
      </c>
      <c r="F91" s="16">
        <v>1994</v>
      </c>
      <c r="G91" s="6">
        <v>1421400</v>
      </c>
      <c r="H91" s="6">
        <v>58700</v>
      </c>
      <c r="I91" s="6">
        <v>1362700</v>
      </c>
    </row>
    <row r="92" spans="1:9" x14ac:dyDescent="0.25">
      <c r="A92" t="s">
        <v>45</v>
      </c>
      <c r="B92" s="16" t="str">
        <f>"07181"</f>
        <v>07181</v>
      </c>
      <c r="C92" t="s">
        <v>11</v>
      </c>
      <c r="D92" t="s">
        <v>47</v>
      </c>
      <c r="E92" s="16" t="str">
        <f>"002"</f>
        <v>002</v>
      </c>
      <c r="F92" s="16">
        <v>2003</v>
      </c>
      <c r="G92" s="6">
        <v>25887900</v>
      </c>
      <c r="H92" s="6">
        <v>18762600</v>
      </c>
      <c r="I92" s="6">
        <v>7125300</v>
      </c>
    </row>
    <row r="93" spans="1:9" x14ac:dyDescent="0.25">
      <c r="A93" t="s">
        <v>45</v>
      </c>
      <c r="B93" s="16" t="str">
        <f>"07191"</f>
        <v>07191</v>
      </c>
      <c r="C93" t="s">
        <v>11</v>
      </c>
      <c r="D93" t="s">
        <v>48</v>
      </c>
      <c r="E93" s="16" t="str">
        <f>"002"</f>
        <v>002</v>
      </c>
      <c r="F93" s="16">
        <v>2005</v>
      </c>
      <c r="G93" s="6">
        <v>4316100</v>
      </c>
      <c r="H93" s="6">
        <v>3223200</v>
      </c>
      <c r="I93" s="6">
        <v>1092900</v>
      </c>
    </row>
    <row r="94" spans="1:9" x14ac:dyDescent="0.25">
      <c r="A94" t="s">
        <v>49</v>
      </c>
      <c r="B94" s="16" t="str">
        <f>"08201"</f>
        <v>08201</v>
      </c>
      <c r="C94" t="s">
        <v>10</v>
      </c>
      <c r="D94" t="s">
        <v>50</v>
      </c>
      <c r="E94" s="16" t="str">
        <f>"006"</f>
        <v>006</v>
      </c>
      <c r="F94" s="16">
        <v>2000</v>
      </c>
      <c r="G94" s="6">
        <v>137738300</v>
      </c>
      <c r="H94" s="6">
        <v>12141600</v>
      </c>
      <c r="I94" s="6">
        <v>125596700</v>
      </c>
    </row>
    <row r="95" spans="1:9" x14ac:dyDescent="0.25">
      <c r="A95" t="s">
        <v>49</v>
      </c>
      <c r="B95" s="16" t="str">
        <f>"08206"</f>
        <v>08206</v>
      </c>
      <c r="C95" t="s">
        <v>10</v>
      </c>
      <c r="D95" t="s">
        <v>51</v>
      </c>
      <c r="E95" s="16" t="str">
        <f>"002"</f>
        <v>002</v>
      </c>
      <c r="F95" s="16">
        <v>2006</v>
      </c>
      <c r="G95" s="6">
        <v>6374300</v>
      </c>
      <c r="H95" s="6">
        <v>997500</v>
      </c>
      <c r="I95" s="6">
        <v>5376800</v>
      </c>
    </row>
    <row r="96" spans="1:9" x14ac:dyDescent="0.25">
      <c r="A96" t="s">
        <v>49</v>
      </c>
      <c r="B96" s="16" t="str">
        <f>"08206"</f>
        <v>08206</v>
      </c>
      <c r="C96" t="s">
        <v>10</v>
      </c>
      <c r="D96" t="s">
        <v>51</v>
      </c>
      <c r="E96" s="16" t="str">
        <f>"003"</f>
        <v>003</v>
      </c>
      <c r="F96" s="16">
        <v>2007</v>
      </c>
      <c r="G96" s="6">
        <v>10910700</v>
      </c>
      <c r="H96" s="6">
        <v>127200</v>
      </c>
      <c r="I96" s="6">
        <v>10783500</v>
      </c>
    </row>
    <row r="97" spans="1:9" x14ac:dyDescent="0.25">
      <c r="A97" t="s">
        <v>49</v>
      </c>
      <c r="B97" s="16" t="str">
        <f>"08206"</f>
        <v>08206</v>
      </c>
      <c r="C97" t="s">
        <v>10</v>
      </c>
      <c r="D97" t="s">
        <v>51</v>
      </c>
      <c r="E97" s="16" t="str">
        <f>"004"</f>
        <v>004</v>
      </c>
      <c r="F97" s="16">
        <v>2007</v>
      </c>
      <c r="G97" s="6">
        <v>19046300</v>
      </c>
      <c r="H97" s="6">
        <v>5412400</v>
      </c>
      <c r="I97" s="6">
        <v>13633900</v>
      </c>
    </row>
    <row r="98" spans="1:9" x14ac:dyDescent="0.25">
      <c r="A98" t="s">
        <v>49</v>
      </c>
      <c r="B98" s="16" t="str">
        <f>"08206"</f>
        <v>08206</v>
      </c>
      <c r="C98" t="s">
        <v>10</v>
      </c>
      <c r="D98" t="s">
        <v>51</v>
      </c>
      <c r="E98" s="16" t="str">
        <f>"005E"</f>
        <v>005E</v>
      </c>
      <c r="F98" s="16">
        <v>2018</v>
      </c>
      <c r="G98" s="6">
        <v>3498200</v>
      </c>
      <c r="H98" s="6">
        <v>314601</v>
      </c>
      <c r="I98" s="6">
        <v>3183599</v>
      </c>
    </row>
    <row r="99" spans="1:9" x14ac:dyDescent="0.25">
      <c r="A99" t="s">
        <v>49</v>
      </c>
      <c r="B99" s="16" t="str">
        <f>"08211"</f>
        <v>08211</v>
      </c>
      <c r="C99" t="s">
        <v>10</v>
      </c>
      <c r="D99" t="s">
        <v>52</v>
      </c>
      <c r="E99" s="16" t="str">
        <f>"004"</f>
        <v>004</v>
      </c>
      <c r="F99" s="16">
        <v>2005</v>
      </c>
      <c r="G99" s="6">
        <v>5446000</v>
      </c>
      <c r="H99" s="6">
        <v>2156300</v>
      </c>
      <c r="I99" s="6">
        <v>3289700</v>
      </c>
    </row>
    <row r="100" spans="1:9" x14ac:dyDescent="0.25">
      <c r="A100" t="s">
        <v>49</v>
      </c>
      <c r="B100" s="16" t="str">
        <f>"08211"</f>
        <v>08211</v>
      </c>
      <c r="C100" t="s">
        <v>10</v>
      </c>
      <c r="D100" t="s">
        <v>52</v>
      </c>
      <c r="E100" s="16" t="str">
        <f>"006"</f>
        <v>006</v>
      </c>
      <c r="F100" s="16">
        <v>2017</v>
      </c>
      <c r="G100" s="6">
        <v>8211700</v>
      </c>
      <c r="H100" s="6">
        <v>815900</v>
      </c>
      <c r="I100" s="6">
        <v>7395800</v>
      </c>
    </row>
    <row r="101" spans="1:9" x14ac:dyDescent="0.25">
      <c r="A101" t="s">
        <v>49</v>
      </c>
      <c r="B101" s="16" t="str">
        <f>"08211"</f>
        <v>08211</v>
      </c>
      <c r="C101" t="s">
        <v>10</v>
      </c>
      <c r="D101" t="s">
        <v>52</v>
      </c>
      <c r="E101" s="16" t="str">
        <f>"007"</f>
        <v>007</v>
      </c>
      <c r="F101" s="16">
        <v>2017</v>
      </c>
      <c r="G101" s="6">
        <v>404400</v>
      </c>
      <c r="H101" s="6">
        <v>45800</v>
      </c>
      <c r="I101" s="6">
        <v>358600</v>
      </c>
    </row>
    <row r="102" spans="1:9" x14ac:dyDescent="0.25">
      <c r="A102" t="s">
        <v>49</v>
      </c>
      <c r="B102" s="16" t="str">
        <f>"08211"</f>
        <v>08211</v>
      </c>
      <c r="C102" t="s">
        <v>10</v>
      </c>
      <c r="D102" t="s">
        <v>52</v>
      </c>
      <c r="E102" s="16" t="str">
        <f>"008"</f>
        <v>008</v>
      </c>
      <c r="F102" s="16">
        <v>2020</v>
      </c>
      <c r="G102" s="6">
        <v>3251800</v>
      </c>
      <c r="H102" s="6">
        <v>1826000</v>
      </c>
      <c r="I102" s="6">
        <v>1425800</v>
      </c>
    </row>
    <row r="103" spans="1:9" x14ac:dyDescent="0.25">
      <c r="A103" t="s">
        <v>49</v>
      </c>
      <c r="B103" s="16" t="str">
        <f>"08131"</f>
        <v>08131</v>
      </c>
      <c r="C103" t="s">
        <v>11</v>
      </c>
      <c r="D103" t="s">
        <v>53</v>
      </c>
      <c r="E103" s="16" t="str">
        <f>"001"</f>
        <v>001</v>
      </c>
      <c r="F103" s="16">
        <v>2013</v>
      </c>
      <c r="G103" s="6">
        <v>41771200</v>
      </c>
      <c r="H103" s="6">
        <v>785100</v>
      </c>
      <c r="I103" s="6">
        <v>40986100</v>
      </c>
    </row>
    <row r="104" spans="1:9" x14ac:dyDescent="0.25">
      <c r="A104" t="s">
        <v>49</v>
      </c>
      <c r="B104" s="16" t="str">
        <f>"08131"</f>
        <v>08131</v>
      </c>
      <c r="C104" t="s">
        <v>11</v>
      </c>
      <c r="D104" t="s">
        <v>53</v>
      </c>
      <c r="E104" s="16" t="str">
        <f>"002"</f>
        <v>002</v>
      </c>
      <c r="F104" s="16">
        <v>2019</v>
      </c>
      <c r="G104" s="6">
        <v>16101100</v>
      </c>
      <c r="H104" s="6">
        <v>4708200</v>
      </c>
      <c r="I104" s="6">
        <v>11392900</v>
      </c>
    </row>
    <row r="105" spans="1:9" x14ac:dyDescent="0.25">
      <c r="A105" t="s">
        <v>49</v>
      </c>
      <c r="B105" s="16" t="str">
        <f>"08131"</f>
        <v>08131</v>
      </c>
      <c r="C105" t="s">
        <v>11</v>
      </c>
      <c r="D105" t="s">
        <v>53</v>
      </c>
      <c r="E105" s="16" t="str">
        <f>"003"</f>
        <v>003</v>
      </c>
      <c r="F105" s="16">
        <v>2020</v>
      </c>
      <c r="G105" s="6">
        <v>1287700</v>
      </c>
      <c r="H105" s="6">
        <v>193500</v>
      </c>
      <c r="I105" s="6">
        <v>1094200</v>
      </c>
    </row>
    <row r="106" spans="1:9" x14ac:dyDescent="0.25">
      <c r="A106" t="s">
        <v>49</v>
      </c>
      <c r="B106" s="16" t="str">
        <f>"08131"</f>
        <v>08131</v>
      </c>
      <c r="C106" t="s">
        <v>11</v>
      </c>
      <c r="D106" t="s">
        <v>53</v>
      </c>
      <c r="E106" s="16" t="str">
        <f>"004"</f>
        <v>004</v>
      </c>
      <c r="F106" s="16">
        <v>2020</v>
      </c>
      <c r="G106" s="6">
        <v>439300</v>
      </c>
      <c r="H106" s="6">
        <v>444400</v>
      </c>
      <c r="I106" s="6">
        <v>-5100</v>
      </c>
    </row>
    <row r="107" spans="1:9" x14ac:dyDescent="0.25">
      <c r="A107" t="s">
        <v>49</v>
      </c>
      <c r="B107" s="16" t="str">
        <f>"08136"</f>
        <v>08136</v>
      </c>
      <c r="C107" t="s">
        <v>11</v>
      </c>
      <c r="D107" t="s">
        <v>54</v>
      </c>
      <c r="E107" s="16" t="str">
        <f>"002"</f>
        <v>002</v>
      </c>
      <c r="F107" s="16">
        <v>2007</v>
      </c>
      <c r="G107" s="6">
        <v>21267100</v>
      </c>
      <c r="H107" s="6">
        <v>2371700</v>
      </c>
      <c r="I107" s="6">
        <v>18895400</v>
      </c>
    </row>
    <row r="108" spans="1:9" x14ac:dyDescent="0.25">
      <c r="A108" t="s">
        <v>49</v>
      </c>
      <c r="B108" s="16" t="str">
        <f>"08241"</f>
        <v>08241</v>
      </c>
      <c r="C108" t="s">
        <v>10</v>
      </c>
      <c r="D108" t="s">
        <v>55</v>
      </c>
      <c r="E108" s="16" t="str">
        <f>"005"</f>
        <v>005</v>
      </c>
      <c r="F108" s="16">
        <v>2014</v>
      </c>
      <c r="G108" s="6">
        <v>31547700</v>
      </c>
      <c r="H108" s="6">
        <v>10935000</v>
      </c>
      <c r="I108" s="6">
        <v>20612700</v>
      </c>
    </row>
    <row r="109" spans="1:9" x14ac:dyDescent="0.25">
      <c r="A109" t="s">
        <v>49</v>
      </c>
      <c r="B109" s="16" t="str">
        <f>"08251"</f>
        <v>08251</v>
      </c>
      <c r="C109" t="s">
        <v>10</v>
      </c>
      <c r="D109" t="s">
        <v>56</v>
      </c>
      <c r="E109" s="16" t="str">
        <f>"009"</f>
        <v>009</v>
      </c>
      <c r="F109" s="16">
        <v>2005</v>
      </c>
      <c r="G109" s="6">
        <v>42087900</v>
      </c>
      <c r="H109" s="6">
        <v>3458400</v>
      </c>
      <c r="I109" s="6">
        <v>38629500</v>
      </c>
    </row>
    <row r="110" spans="1:9" x14ac:dyDescent="0.25">
      <c r="A110" t="s">
        <v>49</v>
      </c>
      <c r="B110" s="16" t="str">
        <f>"08251"</f>
        <v>08251</v>
      </c>
      <c r="C110" t="s">
        <v>10</v>
      </c>
      <c r="D110" t="s">
        <v>56</v>
      </c>
      <c r="E110" s="16" t="str">
        <f>"012"</f>
        <v>012</v>
      </c>
      <c r="F110" s="16">
        <v>2011</v>
      </c>
      <c r="G110" s="6">
        <v>71649300</v>
      </c>
      <c r="H110" s="6">
        <v>21715600</v>
      </c>
      <c r="I110" s="6">
        <v>49933700</v>
      </c>
    </row>
    <row r="111" spans="1:9" x14ac:dyDescent="0.25">
      <c r="A111" t="s">
        <v>49</v>
      </c>
      <c r="B111" s="16" t="str">
        <f>"08261"</f>
        <v>08261</v>
      </c>
      <c r="C111" t="s">
        <v>10</v>
      </c>
      <c r="D111" t="s">
        <v>57</v>
      </c>
      <c r="E111" s="16" t="str">
        <f>"004"</f>
        <v>004</v>
      </c>
      <c r="F111" s="16">
        <v>2018</v>
      </c>
      <c r="G111" s="6">
        <v>15045600</v>
      </c>
      <c r="H111" s="6">
        <v>9565200</v>
      </c>
      <c r="I111" s="6">
        <v>5480400</v>
      </c>
    </row>
    <row r="112" spans="1:9" x14ac:dyDescent="0.25">
      <c r="A112" t="s">
        <v>49</v>
      </c>
      <c r="B112" s="16" t="str">
        <f>"08261"</f>
        <v>08261</v>
      </c>
      <c r="C112" t="s">
        <v>10</v>
      </c>
      <c r="D112" t="s">
        <v>57</v>
      </c>
      <c r="E112" s="16" t="str">
        <f>"005"</f>
        <v>005</v>
      </c>
      <c r="F112" s="16">
        <v>2018</v>
      </c>
      <c r="G112" s="6">
        <v>2550000</v>
      </c>
      <c r="H112" s="6">
        <v>1286900</v>
      </c>
      <c r="I112" s="6">
        <v>1263100</v>
      </c>
    </row>
    <row r="113" spans="1:9" x14ac:dyDescent="0.25">
      <c r="A113" t="s">
        <v>49</v>
      </c>
      <c r="B113" s="16" t="str">
        <f>"08261"</f>
        <v>08261</v>
      </c>
      <c r="C113" t="s">
        <v>10</v>
      </c>
      <c r="D113" t="s">
        <v>57</v>
      </c>
      <c r="E113" s="16" t="str">
        <f>"006E"</f>
        <v>006E</v>
      </c>
      <c r="F113" s="16">
        <v>2019</v>
      </c>
      <c r="G113" s="6">
        <v>2583400</v>
      </c>
      <c r="H113" s="6">
        <v>1</v>
      </c>
      <c r="I113" s="6">
        <v>2583399</v>
      </c>
    </row>
    <row r="114" spans="1:9" x14ac:dyDescent="0.25">
      <c r="A114" t="s">
        <v>49</v>
      </c>
      <c r="B114" s="16" t="str">
        <f>"08179"</f>
        <v>08179</v>
      </c>
      <c r="C114" t="s">
        <v>11</v>
      </c>
      <c r="D114" t="s">
        <v>58</v>
      </c>
      <c r="E114" s="16" t="str">
        <f>"002"</f>
        <v>002</v>
      </c>
      <c r="F114" s="16">
        <v>2013</v>
      </c>
      <c r="G114" s="6">
        <v>5740300</v>
      </c>
      <c r="H114" s="6">
        <v>2827500</v>
      </c>
      <c r="I114" s="6">
        <v>2912800</v>
      </c>
    </row>
    <row r="115" spans="1:9" x14ac:dyDescent="0.25">
      <c r="A115" t="s">
        <v>49</v>
      </c>
      <c r="B115" s="16" t="str">
        <f>"08179"</f>
        <v>08179</v>
      </c>
      <c r="C115" t="s">
        <v>11</v>
      </c>
      <c r="D115" t="s">
        <v>58</v>
      </c>
      <c r="E115" s="16" t="str">
        <f>"003"</f>
        <v>003</v>
      </c>
      <c r="F115" s="16">
        <v>2013</v>
      </c>
      <c r="G115" s="6">
        <v>13821200</v>
      </c>
      <c r="H115" s="6">
        <v>8668600</v>
      </c>
      <c r="I115" s="6">
        <v>5152600</v>
      </c>
    </row>
    <row r="116" spans="1:9" x14ac:dyDescent="0.25">
      <c r="A116" t="s">
        <v>59</v>
      </c>
      <c r="B116" s="16" t="str">
        <f>"09206"</f>
        <v>09206</v>
      </c>
      <c r="C116" t="s">
        <v>10</v>
      </c>
      <c r="D116" t="s">
        <v>60</v>
      </c>
      <c r="E116" s="16" t="str">
        <f>"004"</f>
        <v>004</v>
      </c>
      <c r="F116" s="16">
        <v>2005</v>
      </c>
      <c r="G116" s="6">
        <v>32845500</v>
      </c>
      <c r="H116" s="6">
        <v>3787400</v>
      </c>
      <c r="I116" s="6">
        <v>29058100</v>
      </c>
    </row>
    <row r="117" spans="1:9" x14ac:dyDescent="0.25">
      <c r="A117" t="s">
        <v>59</v>
      </c>
      <c r="B117" s="16" t="str">
        <f>"09111"</f>
        <v>09111</v>
      </c>
      <c r="C117" t="s">
        <v>11</v>
      </c>
      <c r="D117" t="s">
        <v>61</v>
      </c>
      <c r="E117" s="16" t="str">
        <f>"004"</f>
        <v>004</v>
      </c>
      <c r="F117" s="16">
        <v>2013</v>
      </c>
      <c r="G117" s="6">
        <v>4397600</v>
      </c>
      <c r="H117" s="6">
        <v>2245200</v>
      </c>
      <c r="I117" s="6">
        <v>2152400</v>
      </c>
    </row>
    <row r="118" spans="1:9" x14ac:dyDescent="0.25">
      <c r="A118" t="s">
        <v>59</v>
      </c>
      <c r="B118" s="16" t="str">
        <f>"09111"</f>
        <v>09111</v>
      </c>
      <c r="C118" t="s">
        <v>11</v>
      </c>
      <c r="D118" t="s">
        <v>61</v>
      </c>
      <c r="E118" s="16" t="str">
        <f>"005"</f>
        <v>005</v>
      </c>
      <c r="F118" s="16">
        <v>2019</v>
      </c>
      <c r="G118" s="6">
        <v>754500</v>
      </c>
      <c r="H118" s="6">
        <v>663500</v>
      </c>
      <c r="I118" s="6">
        <v>91000</v>
      </c>
    </row>
    <row r="119" spans="1:9" x14ac:dyDescent="0.25">
      <c r="A119" t="s">
        <v>59</v>
      </c>
      <c r="B119" s="16" t="str">
        <f t="shared" ref="B119:B127" si="3">"09211"</f>
        <v>09211</v>
      </c>
      <c r="C119" t="s">
        <v>10</v>
      </c>
      <c r="D119" t="s">
        <v>62</v>
      </c>
      <c r="E119" s="16" t="str">
        <f>"005"</f>
        <v>005</v>
      </c>
      <c r="F119" s="16">
        <v>1998</v>
      </c>
      <c r="G119" s="6">
        <v>69811900</v>
      </c>
      <c r="H119" s="6">
        <v>35893400</v>
      </c>
      <c r="I119" s="6">
        <v>33918500</v>
      </c>
    </row>
    <row r="120" spans="1:9" x14ac:dyDescent="0.25">
      <c r="A120" t="s">
        <v>59</v>
      </c>
      <c r="B120" s="16" t="str">
        <f t="shared" si="3"/>
        <v>09211</v>
      </c>
      <c r="C120" t="s">
        <v>10</v>
      </c>
      <c r="D120" t="s">
        <v>62</v>
      </c>
      <c r="E120" s="16" t="str">
        <f>"007"</f>
        <v>007</v>
      </c>
      <c r="F120" s="16">
        <v>2001</v>
      </c>
      <c r="G120" s="6">
        <v>6098500</v>
      </c>
      <c r="H120" s="6">
        <v>1501600</v>
      </c>
      <c r="I120" s="6">
        <v>4596900</v>
      </c>
    </row>
    <row r="121" spans="1:9" x14ac:dyDescent="0.25">
      <c r="A121" t="s">
        <v>59</v>
      </c>
      <c r="B121" s="16" t="str">
        <f t="shared" si="3"/>
        <v>09211</v>
      </c>
      <c r="C121" t="s">
        <v>10</v>
      </c>
      <c r="D121" t="s">
        <v>62</v>
      </c>
      <c r="E121" s="16" t="str">
        <f>"008"</f>
        <v>008</v>
      </c>
      <c r="F121" s="16">
        <v>2002</v>
      </c>
      <c r="G121" s="6">
        <v>2505200</v>
      </c>
      <c r="H121" s="6">
        <v>439000</v>
      </c>
      <c r="I121" s="6">
        <v>2066200</v>
      </c>
    </row>
    <row r="122" spans="1:9" x14ac:dyDescent="0.25">
      <c r="A122" t="s">
        <v>59</v>
      </c>
      <c r="B122" s="16" t="str">
        <f t="shared" si="3"/>
        <v>09211</v>
      </c>
      <c r="C122" t="s">
        <v>10</v>
      </c>
      <c r="D122" t="s">
        <v>62</v>
      </c>
      <c r="E122" s="16" t="str">
        <f>"010"</f>
        <v>010</v>
      </c>
      <c r="F122" s="16">
        <v>2005</v>
      </c>
      <c r="G122" s="6">
        <v>2037900</v>
      </c>
      <c r="H122" s="6">
        <v>0</v>
      </c>
      <c r="I122" s="6">
        <v>2037900</v>
      </c>
    </row>
    <row r="123" spans="1:9" x14ac:dyDescent="0.25">
      <c r="A123" t="s">
        <v>59</v>
      </c>
      <c r="B123" s="16" t="str">
        <f t="shared" si="3"/>
        <v>09211</v>
      </c>
      <c r="C123" t="s">
        <v>10</v>
      </c>
      <c r="D123" t="s">
        <v>62</v>
      </c>
      <c r="E123" s="16" t="str">
        <f>"011"</f>
        <v>011</v>
      </c>
      <c r="F123" s="16">
        <v>2008</v>
      </c>
      <c r="G123" s="6">
        <v>28902500</v>
      </c>
      <c r="H123" s="6">
        <v>79500</v>
      </c>
      <c r="I123" s="6">
        <v>28823000</v>
      </c>
    </row>
    <row r="124" spans="1:9" x14ac:dyDescent="0.25">
      <c r="A124" t="s">
        <v>59</v>
      </c>
      <c r="B124" s="16" t="str">
        <f t="shared" si="3"/>
        <v>09211</v>
      </c>
      <c r="C124" t="s">
        <v>10</v>
      </c>
      <c r="D124" t="s">
        <v>62</v>
      </c>
      <c r="E124" s="16" t="str">
        <f>"012"</f>
        <v>012</v>
      </c>
      <c r="F124" s="16">
        <v>2012</v>
      </c>
      <c r="G124" s="6">
        <v>10784200</v>
      </c>
      <c r="H124" s="6">
        <v>5386700</v>
      </c>
      <c r="I124" s="6">
        <v>5397500</v>
      </c>
    </row>
    <row r="125" spans="1:9" x14ac:dyDescent="0.25">
      <c r="A125" t="s">
        <v>59</v>
      </c>
      <c r="B125" s="16" t="str">
        <f t="shared" si="3"/>
        <v>09211</v>
      </c>
      <c r="C125" t="s">
        <v>10</v>
      </c>
      <c r="D125" t="s">
        <v>62</v>
      </c>
      <c r="E125" s="16" t="str">
        <f>"013"</f>
        <v>013</v>
      </c>
      <c r="F125" s="16">
        <v>2015</v>
      </c>
      <c r="G125" s="6">
        <v>7156600</v>
      </c>
      <c r="H125" s="6">
        <v>3503000</v>
      </c>
      <c r="I125" s="6">
        <v>3653600</v>
      </c>
    </row>
    <row r="126" spans="1:9" x14ac:dyDescent="0.25">
      <c r="A126" t="s">
        <v>59</v>
      </c>
      <c r="B126" s="16" t="str">
        <f t="shared" si="3"/>
        <v>09211</v>
      </c>
      <c r="C126" t="s">
        <v>10</v>
      </c>
      <c r="D126" t="s">
        <v>62</v>
      </c>
      <c r="E126" s="16" t="str">
        <f>"014"</f>
        <v>014</v>
      </c>
      <c r="F126" s="16">
        <v>2015</v>
      </c>
      <c r="G126" s="6">
        <v>82150400</v>
      </c>
      <c r="H126" s="6">
        <v>0</v>
      </c>
      <c r="I126" s="6">
        <v>82150400</v>
      </c>
    </row>
    <row r="127" spans="1:9" x14ac:dyDescent="0.25">
      <c r="A127" t="s">
        <v>59</v>
      </c>
      <c r="B127" s="16" t="str">
        <f t="shared" si="3"/>
        <v>09211</v>
      </c>
      <c r="C127" t="s">
        <v>10</v>
      </c>
      <c r="D127" t="s">
        <v>62</v>
      </c>
      <c r="E127" s="16" t="str">
        <f>"015"</f>
        <v>015</v>
      </c>
      <c r="F127" s="16">
        <v>2018</v>
      </c>
      <c r="G127" s="6">
        <v>2186300</v>
      </c>
      <c r="H127" s="6">
        <v>1885100</v>
      </c>
      <c r="I127" s="6">
        <v>301200</v>
      </c>
    </row>
    <row r="128" spans="1:9" x14ac:dyDescent="0.25">
      <c r="A128" t="s">
        <v>59</v>
      </c>
      <c r="B128" s="16" t="str">
        <f>"09221"</f>
        <v>09221</v>
      </c>
      <c r="C128" t="s">
        <v>10</v>
      </c>
      <c r="D128" t="s">
        <v>63</v>
      </c>
      <c r="E128" s="16" t="str">
        <f>"009"</f>
        <v>009</v>
      </c>
      <c r="F128" s="16">
        <v>2008</v>
      </c>
      <c r="G128" s="6">
        <v>36300</v>
      </c>
      <c r="H128" s="6">
        <v>54500</v>
      </c>
      <c r="I128" s="6">
        <v>-18200</v>
      </c>
    </row>
    <row r="129" spans="1:9" x14ac:dyDescent="0.25">
      <c r="A129" t="s">
        <v>59</v>
      </c>
      <c r="B129" s="16" t="str">
        <f>"09128"</f>
        <v>09128</v>
      </c>
      <c r="C129" t="s">
        <v>11</v>
      </c>
      <c r="D129" t="s">
        <v>64</v>
      </c>
      <c r="E129" s="16" t="str">
        <f>"001"</f>
        <v>001</v>
      </c>
      <c r="F129" s="16">
        <v>2003</v>
      </c>
      <c r="G129" s="6">
        <v>108896300</v>
      </c>
      <c r="H129" s="6">
        <v>12138900</v>
      </c>
      <c r="I129" s="6">
        <v>96757400</v>
      </c>
    </row>
    <row r="130" spans="1:9" x14ac:dyDescent="0.25">
      <c r="A130" t="s">
        <v>59</v>
      </c>
      <c r="B130" s="16" t="str">
        <f>"09128"</f>
        <v>09128</v>
      </c>
      <c r="C130" t="s">
        <v>11</v>
      </c>
      <c r="D130" t="s">
        <v>64</v>
      </c>
      <c r="E130" s="16" t="str">
        <f>"002"</f>
        <v>002</v>
      </c>
      <c r="F130" s="16">
        <v>2003</v>
      </c>
      <c r="G130" s="6">
        <v>23193800</v>
      </c>
      <c r="H130" s="6">
        <v>131900</v>
      </c>
      <c r="I130" s="6">
        <v>23061900</v>
      </c>
    </row>
    <row r="131" spans="1:9" x14ac:dyDescent="0.25">
      <c r="A131" t="s">
        <v>59</v>
      </c>
      <c r="B131" s="16" t="str">
        <f>"09161"</f>
        <v>09161</v>
      </c>
      <c r="C131" t="s">
        <v>11</v>
      </c>
      <c r="D131" t="s">
        <v>65</v>
      </c>
      <c r="E131" s="16" t="str">
        <f>"001"</f>
        <v>001</v>
      </c>
      <c r="F131" s="16">
        <v>2008</v>
      </c>
      <c r="G131" s="6">
        <v>9230200</v>
      </c>
      <c r="H131" s="6">
        <v>283700</v>
      </c>
      <c r="I131" s="6">
        <v>8946500</v>
      </c>
    </row>
    <row r="132" spans="1:9" x14ac:dyDescent="0.25">
      <c r="A132" t="s">
        <v>59</v>
      </c>
      <c r="B132" s="16" t="str">
        <f>"09281"</f>
        <v>09281</v>
      </c>
      <c r="C132" t="s">
        <v>10</v>
      </c>
      <c r="D132" t="s">
        <v>66</v>
      </c>
      <c r="E132" s="16" t="str">
        <f>"003"</f>
        <v>003</v>
      </c>
      <c r="F132" s="16">
        <v>2001</v>
      </c>
      <c r="G132" s="6">
        <v>29360200</v>
      </c>
      <c r="H132" s="6">
        <v>4205200</v>
      </c>
      <c r="I132" s="6">
        <v>25155000</v>
      </c>
    </row>
    <row r="133" spans="1:9" x14ac:dyDescent="0.25">
      <c r="A133" t="s">
        <v>67</v>
      </c>
      <c r="B133" s="16" t="str">
        <f>"10201"</f>
        <v>10201</v>
      </c>
      <c r="C133" t="s">
        <v>10</v>
      </c>
      <c r="D133" t="s">
        <v>68</v>
      </c>
      <c r="E133" s="16" t="str">
        <f>"005"</f>
        <v>005</v>
      </c>
      <c r="F133" s="16">
        <v>2008</v>
      </c>
      <c r="G133" s="6">
        <v>592500</v>
      </c>
      <c r="H133" s="6">
        <v>458800</v>
      </c>
      <c r="I133" s="6">
        <v>133700</v>
      </c>
    </row>
    <row r="134" spans="1:9" x14ac:dyDescent="0.25">
      <c r="A134" t="s">
        <v>67</v>
      </c>
      <c r="B134" s="16" t="str">
        <f>"10201"</f>
        <v>10201</v>
      </c>
      <c r="C134" t="s">
        <v>10</v>
      </c>
      <c r="D134" t="s">
        <v>68</v>
      </c>
      <c r="E134" s="16" t="str">
        <f>"006"</f>
        <v>006</v>
      </c>
      <c r="F134" s="16">
        <v>2016</v>
      </c>
      <c r="G134" s="6">
        <v>24584700</v>
      </c>
      <c r="H134" s="6">
        <v>2947100</v>
      </c>
      <c r="I134" s="6">
        <v>21637600</v>
      </c>
    </row>
    <row r="135" spans="1:9" x14ac:dyDescent="0.25">
      <c r="A135" t="s">
        <v>67</v>
      </c>
      <c r="B135" s="16" t="str">
        <f>"10201"</f>
        <v>10201</v>
      </c>
      <c r="C135" t="s">
        <v>10</v>
      </c>
      <c r="D135" t="s">
        <v>68</v>
      </c>
      <c r="E135" s="16" t="str">
        <f>"007"</f>
        <v>007</v>
      </c>
      <c r="F135" s="16">
        <v>2016</v>
      </c>
      <c r="G135" s="6">
        <v>2081900</v>
      </c>
      <c r="H135" s="6">
        <v>1619500</v>
      </c>
      <c r="I135" s="6">
        <v>462400</v>
      </c>
    </row>
    <row r="136" spans="1:9" x14ac:dyDescent="0.25">
      <c r="A136" t="s">
        <v>67</v>
      </c>
      <c r="B136" s="16" t="str">
        <f>"10116"</f>
        <v>10116</v>
      </c>
      <c r="C136" t="s">
        <v>11</v>
      </c>
      <c r="D136" t="s">
        <v>69</v>
      </c>
      <c r="E136" s="16" t="str">
        <f>"001"</f>
        <v>001</v>
      </c>
      <c r="F136" s="16">
        <v>1992</v>
      </c>
      <c r="G136" s="6">
        <v>7174200</v>
      </c>
      <c r="H136" s="6">
        <v>233000</v>
      </c>
      <c r="I136" s="6">
        <v>6941200</v>
      </c>
    </row>
    <row r="137" spans="1:9" x14ac:dyDescent="0.25">
      <c r="A137" t="s">
        <v>67</v>
      </c>
      <c r="B137" s="16" t="str">
        <f>"10116"</f>
        <v>10116</v>
      </c>
      <c r="C137" t="s">
        <v>11</v>
      </c>
      <c r="D137" t="s">
        <v>69</v>
      </c>
      <c r="E137" s="16" t="str">
        <f>"002"</f>
        <v>002</v>
      </c>
      <c r="F137" s="16">
        <v>1995</v>
      </c>
      <c r="G137" s="6">
        <v>26149100</v>
      </c>
      <c r="H137" s="6">
        <v>15499400</v>
      </c>
      <c r="I137" s="6">
        <v>10649700</v>
      </c>
    </row>
    <row r="138" spans="1:9" x14ac:dyDescent="0.25">
      <c r="A138" t="s">
        <v>67</v>
      </c>
      <c r="B138" s="16" t="str">
        <f>"10131"</f>
        <v>10131</v>
      </c>
      <c r="C138" t="s">
        <v>11</v>
      </c>
      <c r="D138" t="s">
        <v>70</v>
      </c>
      <c r="E138" s="16" t="str">
        <f>"001"</f>
        <v>001</v>
      </c>
      <c r="F138" s="16">
        <v>2009</v>
      </c>
      <c r="G138" s="6">
        <v>2208000</v>
      </c>
      <c r="H138" s="6">
        <v>1363000</v>
      </c>
      <c r="I138" s="6">
        <v>845000</v>
      </c>
    </row>
    <row r="139" spans="1:9" x14ac:dyDescent="0.25">
      <c r="A139" t="s">
        <v>67</v>
      </c>
      <c r="B139" s="16" t="str">
        <f>"10231"</f>
        <v>10231</v>
      </c>
      <c r="C139" t="s">
        <v>10</v>
      </c>
      <c r="D139" t="s">
        <v>71</v>
      </c>
      <c r="E139" s="16" t="str">
        <f>"001"</f>
        <v>001</v>
      </c>
      <c r="F139" s="16">
        <v>1991</v>
      </c>
      <c r="G139" s="6">
        <v>1501400</v>
      </c>
      <c r="H139" s="6">
        <v>239000</v>
      </c>
      <c r="I139" s="6">
        <v>1262400</v>
      </c>
    </row>
    <row r="140" spans="1:9" x14ac:dyDescent="0.25">
      <c r="A140" t="s">
        <v>67</v>
      </c>
      <c r="B140" s="16" t="str">
        <f>"10231"</f>
        <v>10231</v>
      </c>
      <c r="C140" t="s">
        <v>10</v>
      </c>
      <c r="D140" t="s">
        <v>71</v>
      </c>
      <c r="E140" s="16" t="str">
        <f>"002"</f>
        <v>002</v>
      </c>
      <c r="F140" s="16">
        <v>1998</v>
      </c>
      <c r="G140" s="6">
        <v>279700</v>
      </c>
      <c r="H140" s="6">
        <v>58300</v>
      </c>
      <c r="I140" s="6">
        <v>221400</v>
      </c>
    </row>
    <row r="141" spans="1:9" x14ac:dyDescent="0.25">
      <c r="A141" t="s">
        <v>67</v>
      </c>
      <c r="B141" s="16" t="str">
        <f>"10231"</f>
        <v>10231</v>
      </c>
      <c r="C141" t="s">
        <v>10</v>
      </c>
      <c r="D141" t="s">
        <v>71</v>
      </c>
      <c r="E141" s="16" t="str">
        <f>"003"</f>
        <v>003</v>
      </c>
      <c r="F141" s="16">
        <v>2019</v>
      </c>
      <c r="G141" s="6">
        <v>2439200</v>
      </c>
      <c r="H141" s="6">
        <v>394700</v>
      </c>
      <c r="I141" s="6">
        <v>2044500</v>
      </c>
    </row>
    <row r="142" spans="1:9" x14ac:dyDescent="0.25">
      <c r="A142" t="s">
        <v>67</v>
      </c>
      <c r="B142" s="16" t="str">
        <f>"10246"</f>
        <v>10246</v>
      </c>
      <c r="C142" t="s">
        <v>10</v>
      </c>
      <c r="D142" t="s">
        <v>72</v>
      </c>
      <c r="E142" s="16" t="str">
        <f>"002"</f>
        <v>002</v>
      </c>
      <c r="F142" s="16">
        <v>2006</v>
      </c>
      <c r="G142" s="6">
        <v>10381200</v>
      </c>
      <c r="H142" s="6">
        <v>4567400</v>
      </c>
      <c r="I142" s="6">
        <v>5813800</v>
      </c>
    </row>
    <row r="143" spans="1:9" x14ac:dyDescent="0.25">
      <c r="A143" t="s">
        <v>67</v>
      </c>
      <c r="B143" s="16" t="str">
        <f>"10261"</f>
        <v>10261</v>
      </c>
      <c r="C143" t="s">
        <v>10</v>
      </c>
      <c r="D143" t="s">
        <v>73</v>
      </c>
      <c r="E143" s="16" t="str">
        <f>"002"</f>
        <v>002</v>
      </c>
      <c r="F143" s="16">
        <v>1999</v>
      </c>
      <c r="G143" s="6">
        <v>3594900</v>
      </c>
      <c r="H143" s="6">
        <v>107200</v>
      </c>
      <c r="I143" s="6">
        <v>3487700</v>
      </c>
    </row>
    <row r="144" spans="1:9" x14ac:dyDescent="0.25">
      <c r="A144" t="s">
        <v>67</v>
      </c>
      <c r="B144" s="16" t="str">
        <f>"10261"</f>
        <v>10261</v>
      </c>
      <c r="C144" t="s">
        <v>10</v>
      </c>
      <c r="D144" t="s">
        <v>73</v>
      </c>
      <c r="E144" s="16" t="str">
        <f>"003"</f>
        <v>003</v>
      </c>
      <c r="F144" s="16">
        <v>2006</v>
      </c>
      <c r="G144" s="6">
        <v>3243600</v>
      </c>
      <c r="H144" s="6">
        <v>304800</v>
      </c>
      <c r="I144" s="6">
        <v>2938800</v>
      </c>
    </row>
    <row r="145" spans="1:9" x14ac:dyDescent="0.25">
      <c r="A145" t="s">
        <v>67</v>
      </c>
      <c r="B145" s="16" t="str">
        <f>"10265"</f>
        <v>10265</v>
      </c>
      <c r="C145" t="s">
        <v>10</v>
      </c>
      <c r="D145" t="s">
        <v>74</v>
      </c>
      <c r="E145" s="16" t="str">
        <f>"003"</f>
        <v>003</v>
      </c>
      <c r="F145" s="16">
        <v>1996</v>
      </c>
      <c r="G145" s="6">
        <v>1049200</v>
      </c>
      <c r="H145" s="6">
        <v>6100</v>
      </c>
      <c r="I145" s="6">
        <v>1043100</v>
      </c>
    </row>
    <row r="146" spans="1:9" x14ac:dyDescent="0.25">
      <c r="A146" t="s">
        <v>67</v>
      </c>
      <c r="B146" s="16" t="str">
        <f>"10265"</f>
        <v>10265</v>
      </c>
      <c r="C146" t="s">
        <v>10</v>
      </c>
      <c r="D146" t="s">
        <v>74</v>
      </c>
      <c r="E146" s="16" t="str">
        <f>"004"</f>
        <v>004</v>
      </c>
      <c r="F146" s="16">
        <v>2004</v>
      </c>
      <c r="G146" s="6">
        <v>16765100</v>
      </c>
      <c r="H146" s="6">
        <v>2268400</v>
      </c>
      <c r="I146" s="6">
        <v>14496700</v>
      </c>
    </row>
    <row r="147" spans="1:9" x14ac:dyDescent="0.25">
      <c r="A147" t="s">
        <v>67</v>
      </c>
      <c r="B147" s="16" t="str">
        <f>"10286"</f>
        <v>10286</v>
      </c>
      <c r="C147" t="s">
        <v>10</v>
      </c>
      <c r="D147" t="s">
        <v>75</v>
      </c>
      <c r="E147" s="16" t="str">
        <f>"005"</f>
        <v>005</v>
      </c>
      <c r="F147" s="16">
        <v>1999</v>
      </c>
      <c r="G147" s="6">
        <v>9285200</v>
      </c>
      <c r="H147" s="6">
        <v>285400</v>
      </c>
      <c r="I147" s="6">
        <v>8999800</v>
      </c>
    </row>
    <row r="148" spans="1:9" x14ac:dyDescent="0.25">
      <c r="A148" t="s">
        <v>67</v>
      </c>
      <c r="B148" s="16" t="str">
        <f>"10286"</f>
        <v>10286</v>
      </c>
      <c r="C148" t="s">
        <v>10</v>
      </c>
      <c r="D148" t="s">
        <v>75</v>
      </c>
      <c r="E148" s="16" t="str">
        <f>"006"</f>
        <v>006</v>
      </c>
      <c r="F148" s="16">
        <v>2000</v>
      </c>
      <c r="G148" s="6">
        <v>6631200</v>
      </c>
      <c r="H148" s="6">
        <v>1582000</v>
      </c>
      <c r="I148" s="6">
        <v>5049200</v>
      </c>
    </row>
    <row r="149" spans="1:9" x14ac:dyDescent="0.25">
      <c r="A149" t="s">
        <v>67</v>
      </c>
      <c r="B149" s="16" t="str">
        <f>"10186"</f>
        <v>10186</v>
      </c>
      <c r="C149" t="s">
        <v>11</v>
      </c>
      <c r="D149" t="s">
        <v>76</v>
      </c>
      <c r="E149" s="16" t="str">
        <f>"001"</f>
        <v>001</v>
      </c>
      <c r="F149" s="16">
        <v>1998</v>
      </c>
      <c r="G149" s="6">
        <v>1047200</v>
      </c>
      <c r="H149" s="6">
        <v>119500</v>
      </c>
      <c r="I149" s="6">
        <v>927700</v>
      </c>
    </row>
    <row r="150" spans="1:9" x14ac:dyDescent="0.25">
      <c r="A150" t="s">
        <v>67</v>
      </c>
      <c r="B150" s="16" t="str">
        <f>"10191"</f>
        <v>10191</v>
      </c>
      <c r="C150" t="s">
        <v>11</v>
      </c>
      <c r="D150" t="s">
        <v>77</v>
      </c>
      <c r="E150" s="16" t="str">
        <f>"001"</f>
        <v>001</v>
      </c>
      <c r="F150" s="16">
        <v>1996</v>
      </c>
      <c r="G150" s="6">
        <v>3099700</v>
      </c>
      <c r="H150" s="6">
        <v>499800</v>
      </c>
      <c r="I150" s="6">
        <v>2599900</v>
      </c>
    </row>
    <row r="151" spans="1:9" x14ac:dyDescent="0.25">
      <c r="A151" t="s">
        <v>67</v>
      </c>
      <c r="B151" s="16" t="str">
        <f>"10191"</f>
        <v>10191</v>
      </c>
      <c r="C151" t="s">
        <v>11</v>
      </c>
      <c r="D151" t="s">
        <v>77</v>
      </c>
      <c r="E151" s="16" t="str">
        <f>"002"</f>
        <v>002</v>
      </c>
      <c r="F151" s="16">
        <v>2010</v>
      </c>
      <c r="G151" s="6">
        <v>1193000</v>
      </c>
      <c r="H151" s="6">
        <v>428700</v>
      </c>
      <c r="I151" s="6">
        <v>764300</v>
      </c>
    </row>
    <row r="152" spans="1:9" x14ac:dyDescent="0.25">
      <c r="A152" t="s">
        <v>67</v>
      </c>
      <c r="B152" s="16" t="str">
        <f>"10191"</f>
        <v>10191</v>
      </c>
      <c r="C152" t="s">
        <v>11</v>
      </c>
      <c r="D152" t="s">
        <v>77</v>
      </c>
      <c r="E152" s="16" t="str">
        <f>"003"</f>
        <v>003</v>
      </c>
      <c r="F152" s="16">
        <v>2012</v>
      </c>
      <c r="G152" s="6">
        <v>825000</v>
      </c>
      <c r="H152" s="6">
        <v>262800</v>
      </c>
      <c r="I152" s="6">
        <v>562200</v>
      </c>
    </row>
    <row r="153" spans="1:9" x14ac:dyDescent="0.25">
      <c r="A153" t="s">
        <v>78</v>
      </c>
      <c r="B153" s="16" t="str">
        <f>"11101"</f>
        <v>11101</v>
      </c>
      <c r="C153" t="s">
        <v>11</v>
      </c>
      <c r="D153" t="s">
        <v>79</v>
      </c>
      <c r="E153" s="16" t="str">
        <f>"001"</f>
        <v>001</v>
      </c>
      <c r="F153" s="16">
        <v>1999</v>
      </c>
      <c r="G153" s="6">
        <v>14027600</v>
      </c>
      <c r="H153" s="6">
        <v>2502900</v>
      </c>
      <c r="I153" s="6">
        <v>11524700</v>
      </c>
    </row>
    <row r="154" spans="1:9" x14ac:dyDescent="0.25">
      <c r="A154" t="s">
        <v>78</v>
      </c>
      <c r="B154" s="16" t="str">
        <f>"11211"</f>
        <v>11211</v>
      </c>
      <c r="C154" t="s">
        <v>10</v>
      </c>
      <c r="D154" t="s">
        <v>80</v>
      </c>
      <c r="E154" s="16" t="str">
        <f>"003"</f>
        <v>003</v>
      </c>
      <c r="F154" s="16">
        <v>1995</v>
      </c>
      <c r="G154" s="6">
        <v>27504700</v>
      </c>
      <c r="H154" s="6">
        <v>3581200</v>
      </c>
      <c r="I154" s="6">
        <v>23923500</v>
      </c>
    </row>
    <row r="155" spans="1:9" x14ac:dyDescent="0.25">
      <c r="A155" t="s">
        <v>78</v>
      </c>
      <c r="B155" s="16" t="str">
        <f>"11211"</f>
        <v>11211</v>
      </c>
      <c r="C155" t="s">
        <v>10</v>
      </c>
      <c r="D155" t="s">
        <v>80</v>
      </c>
      <c r="E155" s="16" t="str">
        <f>"004"</f>
        <v>004</v>
      </c>
      <c r="F155" s="16">
        <v>2015</v>
      </c>
      <c r="G155" s="6">
        <v>19928800</v>
      </c>
      <c r="H155" s="6">
        <v>3124100</v>
      </c>
      <c r="I155" s="6">
        <v>16804700</v>
      </c>
    </row>
    <row r="156" spans="1:9" x14ac:dyDescent="0.25">
      <c r="A156" t="s">
        <v>78</v>
      </c>
      <c r="B156" s="16" t="str">
        <f>"11211"</f>
        <v>11211</v>
      </c>
      <c r="C156" t="s">
        <v>10</v>
      </c>
      <c r="D156" t="s">
        <v>80</v>
      </c>
      <c r="E156" s="16" t="str">
        <f>"005"</f>
        <v>005</v>
      </c>
      <c r="F156" s="16">
        <v>2019</v>
      </c>
      <c r="G156" s="6">
        <v>4032200</v>
      </c>
      <c r="H156" s="6">
        <v>4315600</v>
      </c>
      <c r="I156" s="6">
        <v>-283400</v>
      </c>
    </row>
    <row r="157" spans="1:9" x14ac:dyDescent="0.25">
      <c r="A157" t="s">
        <v>78</v>
      </c>
      <c r="B157" s="16" t="str">
        <f>"11126"</f>
        <v>11126</v>
      </c>
      <c r="C157" t="s">
        <v>11</v>
      </c>
      <c r="D157" t="s">
        <v>81</v>
      </c>
      <c r="E157" s="16" t="str">
        <f>"005"</f>
        <v>005</v>
      </c>
      <c r="F157" s="16">
        <v>2020</v>
      </c>
      <c r="G157" s="6">
        <v>19289100</v>
      </c>
      <c r="H157" s="6">
        <v>18910700</v>
      </c>
      <c r="I157" s="6">
        <v>378400</v>
      </c>
    </row>
    <row r="158" spans="1:9" x14ac:dyDescent="0.25">
      <c r="A158" t="s">
        <v>78</v>
      </c>
      <c r="B158" s="16" t="str">
        <f>"11246"</f>
        <v>11246</v>
      </c>
      <c r="C158" t="s">
        <v>10</v>
      </c>
      <c r="D158" t="s">
        <v>82</v>
      </c>
      <c r="E158" s="16" t="str">
        <f>"003"</f>
        <v>003</v>
      </c>
      <c r="F158" s="16">
        <v>2005</v>
      </c>
      <c r="G158" s="6">
        <v>1212400</v>
      </c>
      <c r="H158" s="6">
        <v>161000</v>
      </c>
      <c r="I158" s="6">
        <v>1051400</v>
      </c>
    </row>
    <row r="159" spans="1:9" x14ac:dyDescent="0.25">
      <c r="A159" t="s">
        <v>78</v>
      </c>
      <c r="B159" s="16" t="str">
        <f>"11246"</f>
        <v>11246</v>
      </c>
      <c r="C159" t="s">
        <v>10</v>
      </c>
      <c r="D159" t="s">
        <v>82</v>
      </c>
      <c r="E159" s="16" t="str">
        <f>"004"</f>
        <v>004</v>
      </c>
      <c r="F159" s="16">
        <v>2015</v>
      </c>
      <c r="G159" s="6">
        <v>20432300</v>
      </c>
      <c r="H159" s="6">
        <v>16032800</v>
      </c>
      <c r="I159" s="6">
        <v>4399500</v>
      </c>
    </row>
    <row r="160" spans="1:9" x14ac:dyDescent="0.25">
      <c r="A160" t="s">
        <v>78</v>
      </c>
      <c r="B160" s="16" t="str">
        <f>"11246"</f>
        <v>11246</v>
      </c>
      <c r="C160" t="s">
        <v>10</v>
      </c>
      <c r="D160" t="s">
        <v>82</v>
      </c>
      <c r="E160" s="16" t="str">
        <f>"005"</f>
        <v>005</v>
      </c>
      <c r="F160" s="16">
        <v>2015</v>
      </c>
      <c r="G160" s="6">
        <v>14880000</v>
      </c>
      <c r="H160" s="6">
        <v>12622800</v>
      </c>
      <c r="I160" s="6">
        <v>2257200</v>
      </c>
    </row>
    <row r="161" spans="1:9" x14ac:dyDescent="0.25">
      <c r="A161" t="s">
        <v>78</v>
      </c>
      <c r="B161" s="16" t="str">
        <f t="shared" ref="B161:B167" si="4">"11271"</f>
        <v>11271</v>
      </c>
      <c r="C161" t="s">
        <v>10</v>
      </c>
      <c r="D161" t="s">
        <v>83</v>
      </c>
      <c r="E161" s="16" t="str">
        <f>"004"</f>
        <v>004</v>
      </c>
      <c r="F161" s="16">
        <v>2003</v>
      </c>
      <c r="G161" s="6">
        <v>2841700</v>
      </c>
      <c r="H161" s="6">
        <v>211900</v>
      </c>
      <c r="I161" s="6">
        <v>2629800</v>
      </c>
    </row>
    <row r="162" spans="1:9" x14ac:dyDescent="0.25">
      <c r="A162" t="s">
        <v>78</v>
      </c>
      <c r="B162" s="16" t="str">
        <f t="shared" si="4"/>
        <v>11271</v>
      </c>
      <c r="C162" t="s">
        <v>10</v>
      </c>
      <c r="D162" t="s">
        <v>83</v>
      </c>
      <c r="E162" s="16" t="str">
        <f>"005"</f>
        <v>005</v>
      </c>
      <c r="F162" s="16">
        <v>2004</v>
      </c>
      <c r="G162" s="6">
        <v>5870200</v>
      </c>
      <c r="H162" s="6">
        <v>1261500</v>
      </c>
      <c r="I162" s="6">
        <v>4608700</v>
      </c>
    </row>
    <row r="163" spans="1:9" x14ac:dyDescent="0.25">
      <c r="A163" t="s">
        <v>78</v>
      </c>
      <c r="B163" s="16" t="str">
        <f t="shared" si="4"/>
        <v>11271</v>
      </c>
      <c r="C163" t="s">
        <v>10</v>
      </c>
      <c r="D163" t="s">
        <v>83</v>
      </c>
      <c r="E163" s="16" t="str">
        <f>"006"</f>
        <v>006</v>
      </c>
      <c r="F163" s="16">
        <v>2008</v>
      </c>
      <c r="G163" s="6">
        <v>13265400</v>
      </c>
      <c r="H163" s="6">
        <v>13785500</v>
      </c>
      <c r="I163" s="6">
        <v>-520100</v>
      </c>
    </row>
    <row r="164" spans="1:9" x14ac:dyDescent="0.25">
      <c r="A164" t="s">
        <v>78</v>
      </c>
      <c r="B164" s="16" t="str">
        <f t="shared" si="4"/>
        <v>11271</v>
      </c>
      <c r="C164" t="s">
        <v>10</v>
      </c>
      <c r="D164" t="s">
        <v>83</v>
      </c>
      <c r="E164" s="16" t="str">
        <f>"007"</f>
        <v>007</v>
      </c>
      <c r="F164" s="16">
        <v>2010</v>
      </c>
      <c r="G164" s="6">
        <v>24108600</v>
      </c>
      <c r="H164" s="6">
        <v>20589600</v>
      </c>
      <c r="I164" s="6">
        <v>3519000</v>
      </c>
    </row>
    <row r="165" spans="1:9" x14ac:dyDescent="0.25">
      <c r="A165" t="s">
        <v>78</v>
      </c>
      <c r="B165" s="16" t="str">
        <f t="shared" si="4"/>
        <v>11271</v>
      </c>
      <c r="C165" t="s">
        <v>10</v>
      </c>
      <c r="D165" t="s">
        <v>83</v>
      </c>
      <c r="E165" s="16" t="str">
        <f>"008"</f>
        <v>008</v>
      </c>
      <c r="F165" s="16">
        <v>2014</v>
      </c>
      <c r="G165" s="6">
        <v>3159300</v>
      </c>
      <c r="H165" s="6">
        <v>654400</v>
      </c>
      <c r="I165" s="6">
        <v>2504900</v>
      </c>
    </row>
    <row r="166" spans="1:9" x14ac:dyDescent="0.25">
      <c r="A166" t="s">
        <v>78</v>
      </c>
      <c r="B166" s="16" t="str">
        <f t="shared" si="4"/>
        <v>11271</v>
      </c>
      <c r="C166" t="s">
        <v>10</v>
      </c>
      <c r="D166" t="s">
        <v>83</v>
      </c>
      <c r="E166" s="16" t="str">
        <f>"009"</f>
        <v>009</v>
      </c>
      <c r="F166" s="16">
        <v>2017</v>
      </c>
      <c r="G166" s="6">
        <v>28500</v>
      </c>
      <c r="H166" s="6">
        <v>28700</v>
      </c>
      <c r="I166" s="6">
        <v>-200</v>
      </c>
    </row>
    <row r="167" spans="1:9" x14ac:dyDescent="0.25">
      <c r="A167" t="s">
        <v>78</v>
      </c>
      <c r="B167" s="16" t="str">
        <f t="shared" si="4"/>
        <v>11271</v>
      </c>
      <c r="C167" t="s">
        <v>10</v>
      </c>
      <c r="D167" t="s">
        <v>83</v>
      </c>
      <c r="E167" s="16" t="str">
        <f>"010"</f>
        <v>010</v>
      </c>
      <c r="F167" s="16">
        <v>2019</v>
      </c>
      <c r="G167" s="6">
        <v>1974300</v>
      </c>
      <c r="H167" s="6">
        <v>910100</v>
      </c>
      <c r="I167" s="6">
        <v>1064200</v>
      </c>
    </row>
    <row r="168" spans="1:9" x14ac:dyDescent="0.25">
      <c r="A168" t="s">
        <v>78</v>
      </c>
      <c r="B168" s="16" t="str">
        <f>"11177"</f>
        <v>11177</v>
      </c>
      <c r="C168" t="s">
        <v>11</v>
      </c>
      <c r="D168" t="s">
        <v>84</v>
      </c>
      <c r="E168" s="16" t="str">
        <f>"001"</f>
        <v>001</v>
      </c>
      <c r="F168" s="16">
        <v>1988</v>
      </c>
      <c r="G168" s="6">
        <v>3243100</v>
      </c>
      <c r="H168" s="6">
        <v>551400</v>
      </c>
      <c r="I168" s="6">
        <v>2691700</v>
      </c>
    </row>
    <row r="169" spans="1:9" x14ac:dyDescent="0.25">
      <c r="A169" t="s">
        <v>78</v>
      </c>
      <c r="B169" s="16" t="str">
        <f>"11177"</f>
        <v>11177</v>
      </c>
      <c r="C169" t="s">
        <v>11</v>
      </c>
      <c r="D169" t="s">
        <v>84</v>
      </c>
      <c r="E169" s="16" t="str">
        <f>"003"</f>
        <v>003</v>
      </c>
      <c r="F169" s="16">
        <v>1996</v>
      </c>
      <c r="G169" s="6">
        <v>10561000</v>
      </c>
      <c r="H169" s="6">
        <v>1268100</v>
      </c>
      <c r="I169" s="6">
        <v>9292900</v>
      </c>
    </row>
    <row r="170" spans="1:9" x14ac:dyDescent="0.25">
      <c r="A170" t="s">
        <v>78</v>
      </c>
      <c r="B170" s="16" t="str">
        <f>"11291"</f>
        <v>11291</v>
      </c>
      <c r="C170" t="s">
        <v>10</v>
      </c>
      <c r="D170" t="s">
        <v>15</v>
      </c>
      <c r="E170" s="16" t="str">
        <f>"003"</f>
        <v>003</v>
      </c>
      <c r="F170" s="16">
        <v>2005</v>
      </c>
      <c r="G170" s="6">
        <v>33136900</v>
      </c>
      <c r="H170" s="6">
        <v>15355400</v>
      </c>
      <c r="I170" s="6">
        <v>17781500</v>
      </c>
    </row>
    <row r="171" spans="1:9" x14ac:dyDescent="0.25">
      <c r="A171" t="s">
        <v>85</v>
      </c>
      <c r="B171" s="16" t="str">
        <f>"12116"</f>
        <v>12116</v>
      </c>
      <c r="C171" t="s">
        <v>11</v>
      </c>
      <c r="D171" t="s">
        <v>86</v>
      </c>
      <c r="E171" s="16" t="str">
        <f>"001"</f>
        <v>001</v>
      </c>
      <c r="F171" s="16">
        <v>2001</v>
      </c>
      <c r="G171" s="6">
        <v>511300</v>
      </c>
      <c r="H171" s="6">
        <v>161700</v>
      </c>
      <c r="I171" s="6">
        <v>349600</v>
      </c>
    </row>
    <row r="172" spans="1:9" x14ac:dyDescent="0.25">
      <c r="A172" t="s">
        <v>85</v>
      </c>
      <c r="B172" s="16" t="str">
        <f>"12126"</f>
        <v>12126</v>
      </c>
      <c r="C172" t="s">
        <v>11</v>
      </c>
      <c r="D172" t="s">
        <v>87</v>
      </c>
      <c r="E172" s="16" t="str">
        <f>"001"</f>
        <v>001</v>
      </c>
      <c r="F172" s="16">
        <v>2003</v>
      </c>
      <c r="G172" s="6">
        <v>369400</v>
      </c>
      <c r="H172" s="6">
        <v>52100</v>
      </c>
      <c r="I172" s="6">
        <v>317300</v>
      </c>
    </row>
    <row r="173" spans="1:9" x14ac:dyDescent="0.25">
      <c r="A173" t="s">
        <v>85</v>
      </c>
      <c r="B173" s="16" t="str">
        <f>"12131"</f>
        <v>12131</v>
      </c>
      <c r="C173" t="s">
        <v>11</v>
      </c>
      <c r="D173" t="s">
        <v>88</v>
      </c>
      <c r="E173" s="16" t="str">
        <f>"001"</f>
        <v>001</v>
      </c>
      <c r="F173" s="16">
        <v>2000</v>
      </c>
      <c r="G173" s="6">
        <v>2527800</v>
      </c>
      <c r="H173" s="6">
        <v>7900</v>
      </c>
      <c r="I173" s="6">
        <v>2519900</v>
      </c>
    </row>
    <row r="174" spans="1:9" x14ac:dyDescent="0.25">
      <c r="A174" t="s">
        <v>85</v>
      </c>
      <c r="B174" s="16" t="str">
        <f>"12131"</f>
        <v>12131</v>
      </c>
      <c r="C174" t="s">
        <v>11</v>
      </c>
      <c r="D174" t="s">
        <v>88</v>
      </c>
      <c r="E174" s="16" t="str">
        <f>"003"</f>
        <v>003</v>
      </c>
      <c r="F174" s="16">
        <v>2018</v>
      </c>
      <c r="G174" s="6">
        <v>22300</v>
      </c>
      <c r="H174" s="6">
        <v>0</v>
      </c>
      <c r="I174" s="6">
        <v>22300</v>
      </c>
    </row>
    <row r="175" spans="1:9" x14ac:dyDescent="0.25">
      <c r="A175" t="s">
        <v>85</v>
      </c>
      <c r="B175" s="16" t="str">
        <f>"12131"</f>
        <v>12131</v>
      </c>
      <c r="C175" t="s">
        <v>11</v>
      </c>
      <c r="D175" t="s">
        <v>88</v>
      </c>
      <c r="E175" s="16" t="str">
        <f>"004"</f>
        <v>004</v>
      </c>
      <c r="F175" s="16">
        <v>2018</v>
      </c>
      <c r="G175" s="6">
        <v>222000</v>
      </c>
      <c r="H175" s="6">
        <v>206800</v>
      </c>
      <c r="I175" s="6">
        <v>15200</v>
      </c>
    </row>
    <row r="176" spans="1:9" x14ac:dyDescent="0.25">
      <c r="A176" t="s">
        <v>85</v>
      </c>
      <c r="B176" s="16" t="str">
        <f>"12271"</f>
        <v>12271</v>
      </c>
      <c r="C176" t="s">
        <v>10</v>
      </c>
      <c r="D176" t="s">
        <v>89</v>
      </c>
      <c r="E176" s="16" t="str">
        <f>"001E"</f>
        <v>001E</v>
      </c>
      <c r="F176" s="16">
        <v>2007</v>
      </c>
      <c r="G176" s="6">
        <v>517600</v>
      </c>
      <c r="H176" s="6">
        <v>0</v>
      </c>
      <c r="I176" s="6">
        <v>517600</v>
      </c>
    </row>
    <row r="177" spans="1:9" x14ac:dyDescent="0.25">
      <c r="A177" t="s">
        <v>85</v>
      </c>
      <c r="B177" s="16" t="str">
        <f>"12271"</f>
        <v>12271</v>
      </c>
      <c r="C177" t="s">
        <v>10</v>
      </c>
      <c r="D177" t="s">
        <v>89</v>
      </c>
      <c r="E177" s="16" t="str">
        <f>"005"</f>
        <v>005</v>
      </c>
      <c r="F177" s="16">
        <v>1994</v>
      </c>
      <c r="G177" s="6">
        <v>11157000</v>
      </c>
      <c r="H177" s="6">
        <v>248800</v>
      </c>
      <c r="I177" s="6">
        <v>10908200</v>
      </c>
    </row>
    <row r="178" spans="1:9" x14ac:dyDescent="0.25">
      <c r="A178" t="s">
        <v>90</v>
      </c>
      <c r="B178" s="16" t="str">
        <f>"13106"</f>
        <v>13106</v>
      </c>
      <c r="C178" t="s">
        <v>11</v>
      </c>
      <c r="D178" t="s">
        <v>91</v>
      </c>
      <c r="E178" s="16" t="str">
        <f>"003"</f>
        <v>003</v>
      </c>
      <c r="F178" s="16">
        <v>2009</v>
      </c>
      <c r="G178" s="6">
        <v>25517500</v>
      </c>
      <c r="H178" s="6">
        <v>162400</v>
      </c>
      <c r="I178" s="6">
        <v>25355100</v>
      </c>
    </row>
    <row r="179" spans="1:9" x14ac:dyDescent="0.25">
      <c r="A179" t="s">
        <v>90</v>
      </c>
      <c r="B179" s="16" t="str">
        <f>"13106"</f>
        <v>13106</v>
      </c>
      <c r="C179" t="s">
        <v>11</v>
      </c>
      <c r="D179" t="s">
        <v>91</v>
      </c>
      <c r="E179" s="16" t="str">
        <f>"004"</f>
        <v>004</v>
      </c>
      <c r="F179" s="16">
        <v>2009</v>
      </c>
      <c r="G179" s="6">
        <v>1740400</v>
      </c>
      <c r="H179" s="6">
        <v>2331600</v>
      </c>
      <c r="I179" s="6">
        <v>-591200</v>
      </c>
    </row>
    <row r="180" spans="1:9" x14ac:dyDescent="0.25">
      <c r="A180" t="s">
        <v>90</v>
      </c>
      <c r="B180" s="16" t="str">
        <f>"13106"</f>
        <v>13106</v>
      </c>
      <c r="C180" t="s">
        <v>11</v>
      </c>
      <c r="D180" t="s">
        <v>91</v>
      </c>
      <c r="E180" s="16" t="str">
        <f>"005"</f>
        <v>005</v>
      </c>
      <c r="F180" s="16">
        <v>2009</v>
      </c>
      <c r="G180" s="6">
        <v>6402400</v>
      </c>
      <c r="H180" s="6">
        <v>6990200</v>
      </c>
      <c r="I180" s="6">
        <v>-587800</v>
      </c>
    </row>
    <row r="181" spans="1:9" x14ac:dyDescent="0.25">
      <c r="A181" t="s">
        <v>90</v>
      </c>
      <c r="B181" s="16" t="str">
        <f>"13107"</f>
        <v>13107</v>
      </c>
      <c r="C181" t="s">
        <v>11</v>
      </c>
      <c r="D181" t="s">
        <v>92</v>
      </c>
      <c r="E181" s="16" t="str">
        <f>"003"</f>
        <v>003</v>
      </c>
      <c r="F181" s="16">
        <v>2009</v>
      </c>
      <c r="G181" s="6">
        <v>5789500</v>
      </c>
      <c r="H181" s="6">
        <v>3089300</v>
      </c>
      <c r="I181" s="6">
        <v>2700200</v>
      </c>
    </row>
    <row r="182" spans="1:9" x14ac:dyDescent="0.25">
      <c r="A182" t="s">
        <v>90</v>
      </c>
      <c r="B182" s="16" t="str">
        <f>"13107"</f>
        <v>13107</v>
      </c>
      <c r="C182" t="s">
        <v>11</v>
      </c>
      <c r="D182" t="s">
        <v>92</v>
      </c>
      <c r="E182" s="16" t="str">
        <f>"005"</f>
        <v>005</v>
      </c>
      <c r="F182" s="16">
        <v>2018</v>
      </c>
      <c r="G182" s="6">
        <v>7046500</v>
      </c>
      <c r="H182" s="6">
        <v>5748600</v>
      </c>
      <c r="I182" s="6">
        <v>1297900</v>
      </c>
    </row>
    <row r="183" spans="1:9" x14ac:dyDescent="0.25">
      <c r="A183" t="s">
        <v>90</v>
      </c>
      <c r="B183" s="16" t="str">
        <f>"13109"</f>
        <v>13109</v>
      </c>
      <c r="C183" t="s">
        <v>11</v>
      </c>
      <c r="D183" t="s">
        <v>93</v>
      </c>
      <c r="E183" s="16" t="str">
        <f>"001"</f>
        <v>001</v>
      </c>
      <c r="F183" s="16">
        <v>2008</v>
      </c>
      <c r="G183" s="6">
        <v>1265800</v>
      </c>
      <c r="H183" s="6">
        <v>833000</v>
      </c>
      <c r="I183" s="6">
        <v>432800</v>
      </c>
    </row>
    <row r="184" spans="1:9" x14ac:dyDescent="0.25">
      <c r="A184" t="s">
        <v>90</v>
      </c>
      <c r="B184" s="16" t="str">
        <f>"13109"</f>
        <v>13109</v>
      </c>
      <c r="C184" t="s">
        <v>11</v>
      </c>
      <c r="D184" t="s">
        <v>93</v>
      </c>
      <c r="E184" s="16" t="str">
        <f>"002"</f>
        <v>002</v>
      </c>
      <c r="F184" s="16">
        <v>2013</v>
      </c>
      <c r="G184" s="6">
        <v>2460300</v>
      </c>
      <c r="H184" s="6">
        <v>21100</v>
      </c>
      <c r="I184" s="6">
        <v>2439200</v>
      </c>
    </row>
    <row r="185" spans="1:9" x14ac:dyDescent="0.25">
      <c r="A185" t="s">
        <v>90</v>
      </c>
      <c r="B185" s="16" t="str">
        <f>"13111"</f>
        <v>13111</v>
      </c>
      <c r="C185" t="s">
        <v>11</v>
      </c>
      <c r="D185" t="s">
        <v>94</v>
      </c>
      <c r="E185" s="16" t="str">
        <f>"004"</f>
        <v>004</v>
      </c>
      <c r="F185" s="16">
        <v>2013</v>
      </c>
      <c r="G185" s="6">
        <v>13921300</v>
      </c>
      <c r="H185" s="6">
        <v>10041000</v>
      </c>
      <c r="I185" s="6">
        <v>3880300</v>
      </c>
    </row>
    <row r="186" spans="1:9" x14ac:dyDescent="0.25">
      <c r="A186" t="s">
        <v>90</v>
      </c>
      <c r="B186" s="16" t="str">
        <f>"13111"</f>
        <v>13111</v>
      </c>
      <c r="C186" t="s">
        <v>11</v>
      </c>
      <c r="D186" t="s">
        <v>94</v>
      </c>
      <c r="E186" s="16" t="str">
        <f>"005"</f>
        <v>005</v>
      </c>
      <c r="F186" s="16">
        <v>2020</v>
      </c>
      <c r="G186" s="6">
        <v>3236400</v>
      </c>
      <c r="H186" s="6">
        <v>3007200</v>
      </c>
      <c r="I186" s="6">
        <v>229200</v>
      </c>
    </row>
    <row r="187" spans="1:9" x14ac:dyDescent="0.25">
      <c r="A187" t="s">
        <v>90</v>
      </c>
      <c r="B187" s="16" t="str">
        <f t="shared" ref="B187:B192" si="5">"13112"</f>
        <v>13112</v>
      </c>
      <c r="C187" t="s">
        <v>11</v>
      </c>
      <c r="D187" t="s">
        <v>95</v>
      </c>
      <c r="E187" s="16" t="str">
        <f>"005"</f>
        <v>005</v>
      </c>
      <c r="F187" s="16">
        <v>2003</v>
      </c>
      <c r="G187" s="6">
        <v>113797000</v>
      </c>
      <c r="H187" s="6">
        <v>2896100</v>
      </c>
      <c r="I187" s="6">
        <v>110900900</v>
      </c>
    </row>
    <row r="188" spans="1:9" x14ac:dyDescent="0.25">
      <c r="A188" t="s">
        <v>90</v>
      </c>
      <c r="B188" s="16" t="str">
        <f t="shared" si="5"/>
        <v>13112</v>
      </c>
      <c r="C188" t="s">
        <v>11</v>
      </c>
      <c r="D188" t="s">
        <v>95</v>
      </c>
      <c r="E188" s="16" t="str">
        <f>"006"</f>
        <v>006</v>
      </c>
      <c r="F188" s="16">
        <v>2005</v>
      </c>
      <c r="G188" s="6">
        <v>8717300</v>
      </c>
      <c r="H188" s="6">
        <v>6068800</v>
      </c>
      <c r="I188" s="6">
        <v>2648500</v>
      </c>
    </row>
    <row r="189" spans="1:9" x14ac:dyDescent="0.25">
      <c r="A189" t="s">
        <v>90</v>
      </c>
      <c r="B189" s="16" t="str">
        <f t="shared" si="5"/>
        <v>13112</v>
      </c>
      <c r="C189" t="s">
        <v>11</v>
      </c>
      <c r="D189" t="s">
        <v>95</v>
      </c>
      <c r="E189" s="16" t="str">
        <f>"007"</f>
        <v>007</v>
      </c>
      <c r="F189" s="16">
        <v>2005</v>
      </c>
      <c r="G189" s="6">
        <v>44334900</v>
      </c>
      <c r="H189" s="6">
        <v>14419000</v>
      </c>
      <c r="I189" s="6">
        <v>29915900</v>
      </c>
    </row>
    <row r="190" spans="1:9" x14ac:dyDescent="0.25">
      <c r="A190" t="s">
        <v>90</v>
      </c>
      <c r="B190" s="16" t="str">
        <f t="shared" si="5"/>
        <v>13112</v>
      </c>
      <c r="C190" t="s">
        <v>11</v>
      </c>
      <c r="D190" t="s">
        <v>95</v>
      </c>
      <c r="E190" s="16" t="str">
        <f>"008"</f>
        <v>008</v>
      </c>
      <c r="F190" s="16">
        <v>2018</v>
      </c>
      <c r="G190" s="6">
        <v>2546500</v>
      </c>
      <c r="H190" s="6">
        <v>2611600</v>
      </c>
      <c r="I190" s="6">
        <v>-65100</v>
      </c>
    </row>
    <row r="191" spans="1:9" x14ac:dyDescent="0.25">
      <c r="A191" t="s">
        <v>90</v>
      </c>
      <c r="B191" s="16" t="str">
        <f t="shared" si="5"/>
        <v>13112</v>
      </c>
      <c r="C191" t="s">
        <v>11</v>
      </c>
      <c r="D191" t="s">
        <v>95</v>
      </c>
      <c r="E191" s="16" t="str">
        <f>"009"</f>
        <v>009</v>
      </c>
      <c r="F191" s="16">
        <v>2018</v>
      </c>
      <c r="G191" s="6">
        <v>8416700</v>
      </c>
      <c r="H191" s="6">
        <v>9893500</v>
      </c>
      <c r="I191" s="6">
        <v>-1476800</v>
      </c>
    </row>
    <row r="192" spans="1:9" x14ac:dyDescent="0.25">
      <c r="A192" t="s">
        <v>90</v>
      </c>
      <c r="B192" s="16" t="str">
        <f t="shared" si="5"/>
        <v>13112</v>
      </c>
      <c r="C192" t="s">
        <v>11</v>
      </c>
      <c r="D192" t="s">
        <v>95</v>
      </c>
      <c r="E192" s="16" t="str">
        <f>"010"</f>
        <v>010</v>
      </c>
      <c r="F192" s="16">
        <v>2018</v>
      </c>
      <c r="G192" s="6">
        <v>5435800</v>
      </c>
      <c r="H192" s="6">
        <v>1241600</v>
      </c>
      <c r="I192" s="6">
        <v>4194200</v>
      </c>
    </row>
    <row r="193" spans="1:9" x14ac:dyDescent="0.25">
      <c r="A193" t="s">
        <v>90</v>
      </c>
      <c r="B193" s="16" t="str">
        <f>"13113"</f>
        <v>13113</v>
      </c>
      <c r="C193" t="s">
        <v>11</v>
      </c>
      <c r="D193" t="s">
        <v>96</v>
      </c>
      <c r="E193" s="16" t="str">
        <f>"003"</f>
        <v>003</v>
      </c>
      <c r="F193" s="16">
        <v>2008</v>
      </c>
      <c r="G193" s="6">
        <v>59264500</v>
      </c>
      <c r="H193" s="6">
        <v>28128600</v>
      </c>
      <c r="I193" s="6">
        <v>31135900</v>
      </c>
    </row>
    <row r="194" spans="1:9" x14ac:dyDescent="0.25">
      <c r="A194" t="s">
        <v>90</v>
      </c>
      <c r="B194" s="16" t="str">
        <f>"13116"</f>
        <v>13116</v>
      </c>
      <c r="C194" t="s">
        <v>11</v>
      </c>
      <c r="D194" t="s">
        <v>90</v>
      </c>
      <c r="E194" s="16" t="str">
        <f>"002"</f>
        <v>002</v>
      </c>
      <c r="F194" s="16">
        <v>2007</v>
      </c>
      <c r="G194" s="6">
        <v>6021600</v>
      </c>
      <c r="H194" s="6">
        <v>4426100</v>
      </c>
      <c r="I194" s="6">
        <v>1595500</v>
      </c>
    </row>
    <row r="195" spans="1:9" x14ac:dyDescent="0.25">
      <c r="A195" t="s">
        <v>90</v>
      </c>
      <c r="B195" s="16" t="str">
        <f>"13117"</f>
        <v>13117</v>
      </c>
      <c r="C195" t="s">
        <v>11</v>
      </c>
      <c r="D195" t="s">
        <v>97</v>
      </c>
      <c r="E195" s="16" t="str">
        <f>"003"</f>
        <v>003</v>
      </c>
      <c r="F195" s="16">
        <v>2005</v>
      </c>
      <c r="G195" s="6">
        <v>37389900</v>
      </c>
      <c r="H195" s="6">
        <v>9970400</v>
      </c>
      <c r="I195" s="6">
        <v>27419500</v>
      </c>
    </row>
    <row r="196" spans="1:9" x14ac:dyDescent="0.25">
      <c r="A196" t="s">
        <v>90</v>
      </c>
      <c r="B196" s="16" t="str">
        <f>"13117"</f>
        <v>13117</v>
      </c>
      <c r="C196" t="s">
        <v>11</v>
      </c>
      <c r="D196" t="s">
        <v>97</v>
      </c>
      <c r="E196" s="16" t="str">
        <f>"005"</f>
        <v>005</v>
      </c>
      <c r="F196" s="16">
        <v>2008</v>
      </c>
      <c r="G196" s="6">
        <v>313300</v>
      </c>
      <c r="H196" s="6">
        <v>11700</v>
      </c>
      <c r="I196" s="6">
        <v>301600</v>
      </c>
    </row>
    <row r="197" spans="1:9" x14ac:dyDescent="0.25">
      <c r="A197" t="s">
        <v>90</v>
      </c>
      <c r="B197" s="16" t="str">
        <f>"13117"</f>
        <v>13117</v>
      </c>
      <c r="C197" t="s">
        <v>11</v>
      </c>
      <c r="D197" t="s">
        <v>97</v>
      </c>
      <c r="E197" s="16" t="str">
        <f>"006"</f>
        <v>006</v>
      </c>
      <c r="F197" s="16">
        <v>2019</v>
      </c>
      <c r="G197" s="6">
        <v>1751100</v>
      </c>
      <c r="H197" s="6">
        <v>1065700</v>
      </c>
      <c r="I197" s="6">
        <v>685400</v>
      </c>
    </row>
    <row r="198" spans="1:9" x14ac:dyDescent="0.25">
      <c r="A198" t="s">
        <v>90</v>
      </c>
      <c r="B198" s="16" t="str">
        <f t="shared" ref="B198:B205" si="6">"13118"</f>
        <v>13118</v>
      </c>
      <c r="C198" t="s">
        <v>11</v>
      </c>
      <c r="D198" t="s">
        <v>98</v>
      </c>
      <c r="E198" s="16" t="str">
        <f>"002"</f>
        <v>002</v>
      </c>
      <c r="F198" s="16">
        <v>2009</v>
      </c>
      <c r="G198" s="6">
        <v>58928500</v>
      </c>
      <c r="H198" s="6">
        <v>27900</v>
      </c>
      <c r="I198" s="6">
        <v>58900600</v>
      </c>
    </row>
    <row r="199" spans="1:9" x14ac:dyDescent="0.25">
      <c r="A199" t="s">
        <v>90</v>
      </c>
      <c r="B199" s="16" t="str">
        <f t="shared" si="6"/>
        <v>13118</v>
      </c>
      <c r="C199" t="s">
        <v>11</v>
      </c>
      <c r="D199" t="s">
        <v>98</v>
      </c>
      <c r="E199" s="16" t="str">
        <f>"003"</f>
        <v>003</v>
      </c>
      <c r="F199" s="16">
        <v>2009</v>
      </c>
      <c r="G199" s="6">
        <v>19426500</v>
      </c>
      <c r="H199" s="6">
        <v>981900</v>
      </c>
      <c r="I199" s="6">
        <v>18444600</v>
      </c>
    </row>
    <row r="200" spans="1:9" x14ac:dyDescent="0.25">
      <c r="A200" t="s">
        <v>90</v>
      </c>
      <c r="B200" s="16" t="str">
        <f t="shared" si="6"/>
        <v>13118</v>
      </c>
      <c r="C200" t="s">
        <v>11</v>
      </c>
      <c r="D200" t="s">
        <v>98</v>
      </c>
      <c r="E200" s="16" t="str">
        <f>"004"</f>
        <v>004</v>
      </c>
      <c r="F200" s="16">
        <v>2009</v>
      </c>
      <c r="G200" s="6">
        <v>60908400</v>
      </c>
      <c r="H200" s="6">
        <v>345700</v>
      </c>
      <c r="I200" s="6">
        <v>60562700</v>
      </c>
    </row>
    <row r="201" spans="1:9" x14ac:dyDescent="0.25">
      <c r="A201" t="s">
        <v>90</v>
      </c>
      <c r="B201" s="16" t="str">
        <f t="shared" si="6"/>
        <v>13118</v>
      </c>
      <c r="C201" t="s">
        <v>11</v>
      </c>
      <c r="D201" t="s">
        <v>98</v>
      </c>
      <c r="E201" s="16" t="str">
        <f>"005"</f>
        <v>005</v>
      </c>
      <c r="F201" s="16">
        <v>2010</v>
      </c>
      <c r="G201" s="6">
        <v>24216700</v>
      </c>
      <c r="H201" s="6">
        <v>350500</v>
      </c>
      <c r="I201" s="6">
        <v>23866200</v>
      </c>
    </row>
    <row r="202" spans="1:9" x14ac:dyDescent="0.25">
      <c r="A202" t="s">
        <v>90</v>
      </c>
      <c r="B202" s="16" t="str">
        <f t="shared" si="6"/>
        <v>13118</v>
      </c>
      <c r="C202" t="s">
        <v>11</v>
      </c>
      <c r="D202" t="s">
        <v>98</v>
      </c>
      <c r="E202" s="16" t="str">
        <f>"006"</f>
        <v>006</v>
      </c>
      <c r="F202" s="16">
        <v>2011</v>
      </c>
      <c r="G202" s="6">
        <v>41800500</v>
      </c>
      <c r="H202" s="6">
        <v>2764600</v>
      </c>
      <c r="I202" s="6">
        <v>39035900</v>
      </c>
    </row>
    <row r="203" spans="1:9" x14ac:dyDescent="0.25">
      <c r="A203" t="s">
        <v>90</v>
      </c>
      <c r="B203" s="16" t="str">
        <f t="shared" si="6"/>
        <v>13118</v>
      </c>
      <c r="C203" t="s">
        <v>11</v>
      </c>
      <c r="D203" t="s">
        <v>98</v>
      </c>
      <c r="E203" s="16" t="str">
        <f>"007"</f>
        <v>007</v>
      </c>
      <c r="F203" s="16">
        <v>2011</v>
      </c>
      <c r="G203" s="6">
        <v>32948900</v>
      </c>
      <c r="H203" s="6">
        <v>4492000</v>
      </c>
      <c r="I203" s="6">
        <v>28456900</v>
      </c>
    </row>
    <row r="204" spans="1:9" x14ac:dyDescent="0.25">
      <c r="A204" t="s">
        <v>90</v>
      </c>
      <c r="B204" s="16" t="str">
        <f t="shared" si="6"/>
        <v>13118</v>
      </c>
      <c r="C204" t="s">
        <v>11</v>
      </c>
      <c r="D204" t="s">
        <v>98</v>
      </c>
      <c r="E204" s="16" t="str">
        <f>"008"</f>
        <v>008</v>
      </c>
      <c r="F204" s="16">
        <v>2017</v>
      </c>
      <c r="G204" s="6">
        <v>50339100</v>
      </c>
      <c r="H204" s="6">
        <v>6728400</v>
      </c>
      <c r="I204" s="6">
        <v>43610700</v>
      </c>
    </row>
    <row r="205" spans="1:9" x14ac:dyDescent="0.25">
      <c r="A205" t="s">
        <v>90</v>
      </c>
      <c r="B205" s="16" t="str">
        <f t="shared" si="6"/>
        <v>13118</v>
      </c>
      <c r="C205" t="s">
        <v>11</v>
      </c>
      <c r="D205" t="s">
        <v>98</v>
      </c>
      <c r="E205" s="16" t="str">
        <f>"009"</f>
        <v>009</v>
      </c>
      <c r="F205" s="16">
        <v>2017</v>
      </c>
      <c r="G205" s="6">
        <v>31427500</v>
      </c>
      <c r="H205" s="6">
        <v>7580900</v>
      </c>
      <c r="I205" s="6">
        <v>23846600</v>
      </c>
    </row>
    <row r="206" spans="1:9" x14ac:dyDescent="0.25">
      <c r="A206" t="s">
        <v>90</v>
      </c>
      <c r="B206" s="16" t="str">
        <f t="shared" ref="B206:B212" si="7">"13225"</f>
        <v>13225</v>
      </c>
      <c r="C206" t="s">
        <v>10</v>
      </c>
      <c r="D206" t="s">
        <v>99</v>
      </c>
      <c r="E206" s="16" t="str">
        <f>"004"</f>
        <v>004</v>
      </c>
      <c r="F206" s="16">
        <v>2003</v>
      </c>
      <c r="G206" s="6">
        <v>269700200</v>
      </c>
      <c r="H206" s="6">
        <v>49144000</v>
      </c>
      <c r="I206" s="6">
        <v>220556200</v>
      </c>
    </row>
    <row r="207" spans="1:9" x14ac:dyDescent="0.25">
      <c r="A207" t="s">
        <v>90</v>
      </c>
      <c r="B207" s="16" t="str">
        <f t="shared" si="7"/>
        <v>13225</v>
      </c>
      <c r="C207" t="s">
        <v>10</v>
      </c>
      <c r="D207" t="s">
        <v>99</v>
      </c>
      <c r="E207" s="16" t="str">
        <f>"006"</f>
        <v>006</v>
      </c>
      <c r="F207" s="16">
        <v>2006</v>
      </c>
      <c r="G207" s="6">
        <v>198236700</v>
      </c>
      <c r="H207" s="6">
        <v>86800800</v>
      </c>
      <c r="I207" s="6">
        <v>111435900</v>
      </c>
    </row>
    <row r="208" spans="1:9" x14ac:dyDescent="0.25">
      <c r="A208" t="s">
        <v>90</v>
      </c>
      <c r="B208" s="16" t="str">
        <f t="shared" si="7"/>
        <v>13225</v>
      </c>
      <c r="C208" t="s">
        <v>10</v>
      </c>
      <c r="D208" t="s">
        <v>99</v>
      </c>
      <c r="E208" s="16" t="str">
        <f>"009"</f>
        <v>009</v>
      </c>
      <c r="F208" s="16">
        <v>2015</v>
      </c>
      <c r="G208" s="6">
        <v>151815000</v>
      </c>
      <c r="H208" s="6">
        <v>46009600</v>
      </c>
      <c r="I208" s="6">
        <v>105805400</v>
      </c>
    </row>
    <row r="209" spans="1:9" x14ac:dyDescent="0.25">
      <c r="A209" t="s">
        <v>90</v>
      </c>
      <c r="B209" s="16" t="str">
        <f t="shared" si="7"/>
        <v>13225</v>
      </c>
      <c r="C209" t="s">
        <v>10</v>
      </c>
      <c r="D209" t="s">
        <v>99</v>
      </c>
      <c r="E209" s="16" t="str">
        <f>"010"</f>
        <v>010</v>
      </c>
      <c r="F209" s="16">
        <v>2016</v>
      </c>
      <c r="G209" s="6">
        <v>74053300</v>
      </c>
      <c r="H209" s="6">
        <v>42872500</v>
      </c>
      <c r="I209" s="6">
        <v>31180800</v>
      </c>
    </row>
    <row r="210" spans="1:9" x14ac:dyDescent="0.25">
      <c r="A210" t="s">
        <v>90</v>
      </c>
      <c r="B210" s="16" t="str">
        <f t="shared" si="7"/>
        <v>13225</v>
      </c>
      <c r="C210" t="s">
        <v>10</v>
      </c>
      <c r="D210" t="s">
        <v>99</v>
      </c>
      <c r="E210" s="16" t="str">
        <f>"011"</f>
        <v>011</v>
      </c>
      <c r="F210" s="16">
        <v>2018</v>
      </c>
      <c r="G210" s="6">
        <v>391000</v>
      </c>
      <c r="H210" s="6">
        <v>436200</v>
      </c>
      <c r="I210" s="6">
        <v>-45200</v>
      </c>
    </row>
    <row r="211" spans="1:9" x14ac:dyDescent="0.25">
      <c r="A211" t="s">
        <v>90</v>
      </c>
      <c r="B211" s="16" t="str">
        <f t="shared" si="7"/>
        <v>13225</v>
      </c>
      <c r="C211" t="s">
        <v>10</v>
      </c>
      <c r="D211" t="s">
        <v>99</v>
      </c>
      <c r="E211" s="16" t="str">
        <f>"012"</f>
        <v>012</v>
      </c>
      <c r="F211" s="16">
        <v>2018</v>
      </c>
      <c r="G211" s="6">
        <v>216824900</v>
      </c>
      <c r="H211" s="6">
        <v>128190000</v>
      </c>
      <c r="I211" s="6">
        <v>88634900</v>
      </c>
    </row>
    <row r="212" spans="1:9" x14ac:dyDescent="0.25">
      <c r="A212" t="s">
        <v>90</v>
      </c>
      <c r="B212" s="16" t="str">
        <f t="shared" si="7"/>
        <v>13225</v>
      </c>
      <c r="C212" t="s">
        <v>10</v>
      </c>
      <c r="D212" t="s">
        <v>99</v>
      </c>
      <c r="E212" s="16" t="str">
        <f>"013"</f>
        <v>013</v>
      </c>
      <c r="F212" s="16">
        <v>2018</v>
      </c>
      <c r="G212" s="6">
        <v>29973500</v>
      </c>
      <c r="H212" s="6">
        <v>16139100</v>
      </c>
      <c r="I212" s="6">
        <v>13834400</v>
      </c>
    </row>
    <row r="213" spans="1:9" x14ac:dyDescent="0.25">
      <c r="A213" t="s">
        <v>90</v>
      </c>
      <c r="B213" s="16" t="str">
        <f>"13032"</f>
        <v>13032</v>
      </c>
      <c r="C213" t="s">
        <v>13</v>
      </c>
      <c r="D213" t="s">
        <v>100</v>
      </c>
      <c r="E213" s="16" t="str">
        <f>"002O"</f>
        <v>002O</v>
      </c>
      <c r="F213" s="16">
        <v>2006</v>
      </c>
      <c r="G213" s="6">
        <v>71750300</v>
      </c>
      <c r="H213" s="6">
        <v>24846800</v>
      </c>
      <c r="I213" s="6">
        <v>46903500</v>
      </c>
    </row>
    <row r="214" spans="1:9" x14ac:dyDescent="0.25">
      <c r="A214" t="s">
        <v>90</v>
      </c>
      <c r="B214" s="16" t="str">
        <f t="shared" ref="B214:B225" si="8">"13251"</f>
        <v>13251</v>
      </c>
      <c r="C214" t="s">
        <v>10</v>
      </c>
      <c r="D214" t="s">
        <v>100</v>
      </c>
      <c r="E214" s="16" t="str">
        <f>"025"</f>
        <v>025</v>
      </c>
      <c r="F214" s="16">
        <v>1995</v>
      </c>
      <c r="G214" s="6">
        <v>252742200</v>
      </c>
      <c r="H214" s="6">
        <v>38606700</v>
      </c>
      <c r="I214" s="6">
        <v>214135500</v>
      </c>
    </row>
    <row r="215" spans="1:9" x14ac:dyDescent="0.25">
      <c r="A215" t="s">
        <v>90</v>
      </c>
      <c r="B215" s="16" t="str">
        <f t="shared" si="8"/>
        <v>13251</v>
      </c>
      <c r="C215" t="s">
        <v>10</v>
      </c>
      <c r="D215" t="s">
        <v>100</v>
      </c>
      <c r="E215" s="16" t="str">
        <f>"029"</f>
        <v>029</v>
      </c>
      <c r="F215" s="16">
        <v>2000</v>
      </c>
      <c r="G215" s="6">
        <v>77184000</v>
      </c>
      <c r="H215" s="6">
        <v>41741400</v>
      </c>
      <c r="I215" s="6">
        <v>35442600</v>
      </c>
    </row>
    <row r="216" spans="1:9" x14ac:dyDescent="0.25">
      <c r="A216" t="s">
        <v>90</v>
      </c>
      <c r="B216" s="16" t="str">
        <f t="shared" si="8"/>
        <v>13251</v>
      </c>
      <c r="C216" t="s">
        <v>10</v>
      </c>
      <c r="D216" t="s">
        <v>100</v>
      </c>
      <c r="E216" s="16" t="str">
        <f>"035"</f>
        <v>035</v>
      </c>
      <c r="F216" s="16">
        <v>2005</v>
      </c>
      <c r="G216" s="6">
        <v>80559600</v>
      </c>
      <c r="H216" s="6">
        <v>25800600</v>
      </c>
      <c r="I216" s="6">
        <v>54759000</v>
      </c>
    </row>
    <row r="217" spans="1:9" x14ac:dyDescent="0.25">
      <c r="A217" t="s">
        <v>90</v>
      </c>
      <c r="B217" s="16" t="str">
        <f t="shared" si="8"/>
        <v>13251</v>
      </c>
      <c r="C217" t="s">
        <v>10</v>
      </c>
      <c r="D217" t="s">
        <v>100</v>
      </c>
      <c r="E217" s="16" t="str">
        <f>"036"</f>
        <v>036</v>
      </c>
      <c r="F217" s="16">
        <v>2005</v>
      </c>
      <c r="G217" s="6">
        <v>549444800</v>
      </c>
      <c r="H217" s="6">
        <v>97652400</v>
      </c>
      <c r="I217" s="6">
        <v>451792400</v>
      </c>
    </row>
    <row r="218" spans="1:9" x14ac:dyDescent="0.25">
      <c r="A218" t="s">
        <v>90</v>
      </c>
      <c r="B218" s="16" t="str">
        <f t="shared" si="8"/>
        <v>13251</v>
      </c>
      <c r="C218" t="s">
        <v>10</v>
      </c>
      <c r="D218" t="s">
        <v>100</v>
      </c>
      <c r="E218" s="16" t="str">
        <f>"037"</f>
        <v>037</v>
      </c>
      <c r="F218" s="16">
        <v>2006</v>
      </c>
      <c r="G218" s="6">
        <v>181495700</v>
      </c>
      <c r="H218" s="6">
        <v>43466900</v>
      </c>
      <c r="I218" s="6">
        <v>138028800</v>
      </c>
    </row>
    <row r="219" spans="1:9" x14ac:dyDescent="0.25">
      <c r="A219" t="s">
        <v>90</v>
      </c>
      <c r="B219" s="16" t="str">
        <f t="shared" si="8"/>
        <v>13251</v>
      </c>
      <c r="C219" t="s">
        <v>10</v>
      </c>
      <c r="D219" t="s">
        <v>100</v>
      </c>
      <c r="E219" s="16" t="str">
        <f>"039"</f>
        <v>039</v>
      </c>
      <c r="F219" s="16">
        <v>2008</v>
      </c>
      <c r="G219" s="6">
        <v>384728200</v>
      </c>
      <c r="H219" s="6">
        <v>263256500</v>
      </c>
      <c r="I219" s="6">
        <v>121471700</v>
      </c>
    </row>
    <row r="220" spans="1:9" x14ac:dyDescent="0.25">
      <c r="A220" t="s">
        <v>90</v>
      </c>
      <c r="B220" s="16" t="str">
        <f t="shared" si="8"/>
        <v>13251</v>
      </c>
      <c r="C220" t="s">
        <v>10</v>
      </c>
      <c r="D220" t="s">
        <v>100</v>
      </c>
      <c r="E220" s="16" t="str">
        <f>"041"</f>
        <v>041</v>
      </c>
      <c r="F220" s="16">
        <v>2011</v>
      </c>
      <c r="G220" s="6">
        <v>72378300</v>
      </c>
      <c r="H220" s="6">
        <v>18703300</v>
      </c>
      <c r="I220" s="6">
        <v>53675000</v>
      </c>
    </row>
    <row r="221" spans="1:9" x14ac:dyDescent="0.25">
      <c r="A221" t="s">
        <v>90</v>
      </c>
      <c r="B221" s="16" t="str">
        <f t="shared" si="8"/>
        <v>13251</v>
      </c>
      <c r="C221" t="s">
        <v>10</v>
      </c>
      <c r="D221" t="s">
        <v>100</v>
      </c>
      <c r="E221" s="16" t="str">
        <f>"042"</f>
        <v>042</v>
      </c>
      <c r="F221" s="16">
        <v>2012</v>
      </c>
      <c r="G221" s="6">
        <v>122529300</v>
      </c>
      <c r="H221" s="6">
        <v>50866200</v>
      </c>
      <c r="I221" s="6">
        <v>71663100</v>
      </c>
    </row>
    <row r="222" spans="1:9" x14ac:dyDescent="0.25">
      <c r="A222" t="s">
        <v>90</v>
      </c>
      <c r="B222" s="16" t="str">
        <f t="shared" si="8"/>
        <v>13251</v>
      </c>
      <c r="C222" t="s">
        <v>10</v>
      </c>
      <c r="D222" t="s">
        <v>100</v>
      </c>
      <c r="E222" s="16" t="str">
        <f>"044"</f>
        <v>044</v>
      </c>
      <c r="F222" s="16">
        <v>2013</v>
      </c>
      <c r="G222" s="6">
        <v>76072800</v>
      </c>
      <c r="H222" s="6">
        <v>30448400</v>
      </c>
      <c r="I222" s="6">
        <v>45624400</v>
      </c>
    </row>
    <row r="223" spans="1:9" x14ac:dyDescent="0.25">
      <c r="A223" t="s">
        <v>90</v>
      </c>
      <c r="B223" s="16" t="str">
        <f t="shared" si="8"/>
        <v>13251</v>
      </c>
      <c r="C223" t="s">
        <v>10</v>
      </c>
      <c r="D223" t="s">
        <v>100</v>
      </c>
      <c r="E223" s="16" t="str">
        <f>"045"</f>
        <v>045</v>
      </c>
      <c r="F223" s="16">
        <v>2015</v>
      </c>
      <c r="G223" s="6">
        <v>174829200</v>
      </c>
      <c r="H223" s="6">
        <v>79304000</v>
      </c>
      <c r="I223" s="6">
        <v>95525200</v>
      </c>
    </row>
    <row r="224" spans="1:9" x14ac:dyDescent="0.25">
      <c r="A224" t="s">
        <v>90</v>
      </c>
      <c r="B224" s="16" t="str">
        <f t="shared" si="8"/>
        <v>13251</v>
      </c>
      <c r="C224" t="s">
        <v>10</v>
      </c>
      <c r="D224" t="s">
        <v>100</v>
      </c>
      <c r="E224" s="16" t="str">
        <f>"046"</f>
        <v>046</v>
      </c>
      <c r="F224" s="16">
        <v>2015</v>
      </c>
      <c r="G224" s="6">
        <v>419190500</v>
      </c>
      <c r="H224" s="6">
        <v>129904000</v>
      </c>
      <c r="I224" s="6">
        <v>289286500</v>
      </c>
    </row>
    <row r="225" spans="1:9" x14ac:dyDescent="0.25">
      <c r="A225" t="s">
        <v>90</v>
      </c>
      <c r="B225" s="16" t="str">
        <f t="shared" si="8"/>
        <v>13251</v>
      </c>
      <c r="C225" t="s">
        <v>10</v>
      </c>
      <c r="D225" t="s">
        <v>100</v>
      </c>
      <c r="E225" s="16" t="str">
        <f>"047"</f>
        <v>047</v>
      </c>
      <c r="F225" s="16">
        <v>2017</v>
      </c>
      <c r="G225" s="6">
        <v>28125300</v>
      </c>
      <c r="H225" s="6">
        <v>10032600</v>
      </c>
      <c r="I225" s="6">
        <v>18092700</v>
      </c>
    </row>
    <row r="226" spans="1:9" x14ac:dyDescent="0.25">
      <c r="A226" t="s">
        <v>90</v>
      </c>
      <c r="B226" s="16" t="str">
        <f>"13151"</f>
        <v>13151</v>
      </c>
      <c r="C226" t="s">
        <v>11</v>
      </c>
      <c r="D226" t="s">
        <v>101</v>
      </c>
      <c r="E226" s="16" t="str">
        <f>"001"</f>
        <v>001</v>
      </c>
      <c r="F226" s="16">
        <v>2014</v>
      </c>
      <c r="G226" s="6">
        <v>13618600</v>
      </c>
      <c r="H226" s="6">
        <v>5689400</v>
      </c>
      <c r="I226" s="6">
        <v>7929200</v>
      </c>
    </row>
    <row r="227" spans="1:9" x14ac:dyDescent="0.25">
      <c r="A227" t="s">
        <v>90</v>
      </c>
      <c r="B227" s="16" t="str">
        <f>"13152"</f>
        <v>13152</v>
      </c>
      <c r="C227" t="s">
        <v>11</v>
      </c>
      <c r="D227" t="s">
        <v>102</v>
      </c>
      <c r="E227" s="16" t="str">
        <f>"002"</f>
        <v>002</v>
      </c>
      <c r="F227" s="16">
        <v>2018</v>
      </c>
      <c r="G227" s="6">
        <v>18393800</v>
      </c>
      <c r="H227" s="6">
        <v>14377100</v>
      </c>
      <c r="I227" s="6">
        <v>4016700</v>
      </c>
    </row>
    <row r="228" spans="1:9" x14ac:dyDescent="0.25">
      <c r="A228" t="s">
        <v>90</v>
      </c>
      <c r="B228" s="16" t="str">
        <f>"13153"</f>
        <v>13153</v>
      </c>
      <c r="C228" t="s">
        <v>11</v>
      </c>
      <c r="D228" t="s">
        <v>103</v>
      </c>
      <c r="E228" s="16" t="str">
        <f>"004"</f>
        <v>004</v>
      </c>
      <c r="F228" s="16">
        <v>2005</v>
      </c>
      <c r="G228" s="6">
        <v>29093800</v>
      </c>
      <c r="H228" s="6">
        <v>5583500</v>
      </c>
      <c r="I228" s="6">
        <v>23510300</v>
      </c>
    </row>
    <row r="229" spans="1:9" x14ac:dyDescent="0.25">
      <c r="A229" t="s">
        <v>90</v>
      </c>
      <c r="B229" s="16" t="str">
        <f>"13153"</f>
        <v>13153</v>
      </c>
      <c r="C229" t="s">
        <v>11</v>
      </c>
      <c r="D229" t="s">
        <v>103</v>
      </c>
      <c r="E229" s="16" t="str">
        <f>"005"</f>
        <v>005</v>
      </c>
      <c r="F229" s="16">
        <v>2005</v>
      </c>
      <c r="G229" s="6">
        <v>6068100</v>
      </c>
      <c r="H229" s="6">
        <v>4594600</v>
      </c>
      <c r="I229" s="6">
        <v>1473500</v>
      </c>
    </row>
    <row r="230" spans="1:9" x14ac:dyDescent="0.25">
      <c r="A230" t="s">
        <v>90</v>
      </c>
      <c r="B230" s="16" t="str">
        <f>"13154"</f>
        <v>13154</v>
      </c>
      <c r="C230" t="s">
        <v>11</v>
      </c>
      <c r="D230" t="s">
        <v>104</v>
      </c>
      <c r="E230" s="16" t="str">
        <f>"003"</f>
        <v>003</v>
      </c>
      <c r="F230" s="16">
        <v>2004</v>
      </c>
      <c r="G230" s="6">
        <v>74655900</v>
      </c>
      <c r="H230" s="6">
        <v>26997400</v>
      </c>
      <c r="I230" s="6">
        <v>47658500</v>
      </c>
    </row>
    <row r="231" spans="1:9" x14ac:dyDescent="0.25">
      <c r="A231" t="s">
        <v>90</v>
      </c>
      <c r="B231" s="16" t="str">
        <f>"13154"</f>
        <v>13154</v>
      </c>
      <c r="C231" t="s">
        <v>11</v>
      </c>
      <c r="D231" t="s">
        <v>104</v>
      </c>
      <c r="E231" s="16" t="str">
        <f>"004"</f>
        <v>004</v>
      </c>
      <c r="F231" s="16">
        <v>2008</v>
      </c>
      <c r="G231" s="6">
        <v>12616700</v>
      </c>
      <c r="H231" s="6">
        <v>7583100</v>
      </c>
      <c r="I231" s="6">
        <v>5033600</v>
      </c>
    </row>
    <row r="232" spans="1:9" x14ac:dyDescent="0.25">
      <c r="A232" t="s">
        <v>90</v>
      </c>
      <c r="B232" s="16" t="str">
        <f>"13154"</f>
        <v>13154</v>
      </c>
      <c r="C232" t="s">
        <v>11</v>
      </c>
      <c r="D232" t="s">
        <v>104</v>
      </c>
      <c r="E232" s="16" t="str">
        <f>"005"</f>
        <v>005</v>
      </c>
      <c r="F232" s="16">
        <v>2018</v>
      </c>
      <c r="G232" s="6">
        <v>26991100</v>
      </c>
      <c r="H232" s="6">
        <v>17030100</v>
      </c>
      <c r="I232" s="6">
        <v>9961000</v>
      </c>
    </row>
    <row r="233" spans="1:9" x14ac:dyDescent="0.25">
      <c r="A233" t="s">
        <v>90</v>
      </c>
      <c r="B233" s="16" t="str">
        <f>"13255"</f>
        <v>13255</v>
      </c>
      <c r="C233" t="s">
        <v>10</v>
      </c>
      <c r="D233" t="s">
        <v>105</v>
      </c>
      <c r="E233" s="16" t="str">
        <f>"003"</f>
        <v>003</v>
      </c>
      <c r="F233" s="16">
        <v>1993</v>
      </c>
      <c r="G233" s="6">
        <v>601291600</v>
      </c>
      <c r="H233" s="6">
        <v>55868200</v>
      </c>
      <c r="I233" s="6">
        <v>545423400</v>
      </c>
    </row>
    <row r="234" spans="1:9" x14ac:dyDescent="0.25">
      <c r="A234" t="s">
        <v>90</v>
      </c>
      <c r="B234" s="16" t="str">
        <f>"13255"</f>
        <v>13255</v>
      </c>
      <c r="C234" t="s">
        <v>10</v>
      </c>
      <c r="D234" t="s">
        <v>105</v>
      </c>
      <c r="E234" s="16" t="str">
        <f>"005"</f>
        <v>005</v>
      </c>
      <c r="F234" s="16">
        <v>2009</v>
      </c>
      <c r="G234" s="6">
        <v>214700500</v>
      </c>
      <c r="H234" s="6">
        <v>89665500</v>
      </c>
      <c r="I234" s="6">
        <v>125035000</v>
      </c>
    </row>
    <row r="235" spans="1:9" x14ac:dyDescent="0.25">
      <c r="A235" t="s">
        <v>90</v>
      </c>
      <c r="B235" s="16" t="str">
        <f t="shared" ref="B235:B240" si="9">"13258"</f>
        <v>13258</v>
      </c>
      <c r="C235" t="s">
        <v>10</v>
      </c>
      <c r="D235" t="s">
        <v>106</v>
      </c>
      <c r="E235" s="16" t="str">
        <f>"004"</f>
        <v>004</v>
      </c>
      <c r="F235" s="16">
        <v>2000</v>
      </c>
      <c r="G235" s="6">
        <v>56025300</v>
      </c>
      <c r="H235" s="6">
        <v>29942500</v>
      </c>
      <c r="I235" s="6">
        <v>26082800</v>
      </c>
    </row>
    <row r="236" spans="1:9" x14ac:dyDescent="0.25">
      <c r="A236" t="s">
        <v>90</v>
      </c>
      <c r="B236" s="16" t="str">
        <f t="shared" si="9"/>
        <v>13258</v>
      </c>
      <c r="C236" t="s">
        <v>10</v>
      </c>
      <c r="D236" t="s">
        <v>106</v>
      </c>
      <c r="E236" s="16" t="str">
        <f>"005"</f>
        <v>005</v>
      </c>
      <c r="F236" s="16">
        <v>2008</v>
      </c>
      <c r="G236" s="6">
        <v>23929700</v>
      </c>
      <c r="H236" s="6">
        <v>4399900</v>
      </c>
      <c r="I236" s="6">
        <v>19529800</v>
      </c>
    </row>
    <row r="237" spans="1:9" x14ac:dyDescent="0.25">
      <c r="A237" t="s">
        <v>90</v>
      </c>
      <c r="B237" s="16" t="str">
        <f t="shared" si="9"/>
        <v>13258</v>
      </c>
      <c r="C237" t="s">
        <v>10</v>
      </c>
      <c r="D237" t="s">
        <v>106</v>
      </c>
      <c r="E237" s="16" t="str">
        <f>"006"</f>
        <v>006</v>
      </c>
      <c r="F237" s="16">
        <v>2010</v>
      </c>
      <c r="G237" s="6">
        <v>44136600</v>
      </c>
      <c r="H237" s="6">
        <v>17693000</v>
      </c>
      <c r="I237" s="6">
        <v>26443600</v>
      </c>
    </row>
    <row r="238" spans="1:9" x14ac:dyDescent="0.25">
      <c r="A238" t="s">
        <v>90</v>
      </c>
      <c r="B238" s="16" t="str">
        <f t="shared" si="9"/>
        <v>13258</v>
      </c>
      <c r="C238" t="s">
        <v>10</v>
      </c>
      <c r="D238" t="s">
        <v>106</v>
      </c>
      <c r="E238" s="16" t="str">
        <f>"007"</f>
        <v>007</v>
      </c>
      <c r="F238" s="16">
        <v>2012</v>
      </c>
      <c r="G238" s="6">
        <v>12862400</v>
      </c>
      <c r="H238" s="6">
        <v>8247500</v>
      </c>
      <c r="I238" s="6">
        <v>4614900</v>
      </c>
    </row>
    <row r="239" spans="1:9" x14ac:dyDescent="0.25">
      <c r="A239" t="s">
        <v>90</v>
      </c>
      <c r="B239" s="16" t="str">
        <f t="shared" si="9"/>
        <v>13258</v>
      </c>
      <c r="C239" t="s">
        <v>10</v>
      </c>
      <c r="D239" t="s">
        <v>106</v>
      </c>
      <c r="E239" s="16" t="str">
        <f>"008"</f>
        <v>008</v>
      </c>
      <c r="F239" s="16">
        <v>2012</v>
      </c>
      <c r="G239" s="6">
        <v>25866500</v>
      </c>
      <c r="H239" s="6">
        <v>416000</v>
      </c>
      <c r="I239" s="6">
        <v>25450500</v>
      </c>
    </row>
    <row r="240" spans="1:9" x14ac:dyDescent="0.25">
      <c r="A240" t="s">
        <v>90</v>
      </c>
      <c r="B240" s="16" t="str">
        <f t="shared" si="9"/>
        <v>13258</v>
      </c>
      <c r="C240" t="s">
        <v>10</v>
      </c>
      <c r="D240" t="s">
        <v>106</v>
      </c>
      <c r="E240" s="16" t="str">
        <f>"009"</f>
        <v>009</v>
      </c>
      <c r="F240" s="16">
        <v>2015</v>
      </c>
      <c r="G240" s="6">
        <v>36842500</v>
      </c>
      <c r="H240" s="6">
        <v>7246100</v>
      </c>
      <c r="I240" s="6">
        <v>29596400</v>
      </c>
    </row>
    <row r="241" spans="1:9" x14ac:dyDescent="0.25">
      <c r="A241" t="s">
        <v>90</v>
      </c>
      <c r="B241" s="16" t="str">
        <f>"13157"</f>
        <v>13157</v>
      </c>
      <c r="C241" t="s">
        <v>11</v>
      </c>
      <c r="D241" t="s">
        <v>107</v>
      </c>
      <c r="E241" s="16" t="str">
        <f>"003"</f>
        <v>003</v>
      </c>
      <c r="F241" s="16">
        <v>2004</v>
      </c>
      <c r="G241" s="6">
        <v>44792300</v>
      </c>
      <c r="H241" s="6">
        <v>2588300</v>
      </c>
      <c r="I241" s="6">
        <v>42204000</v>
      </c>
    </row>
    <row r="242" spans="1:9" x14ac:dyDescent="0.25">
      <c r="A242" t="s">
        <v>90</v>
      </c>
      <c r="B242" s="16" t="str">
        <f>"13157"</f>
        <v>13157</v>
      </c>
      <c r="C242" t="s">
        <v>11</v>
      </c>
      <c r="D242" t="s">
        <v>107</v>
      </c>
      <c r="E242" s="16" t="str">
        <f>"004"</f>
        <v>004</v>
      </c>
      <c r="F242" s="16">
        <v>2007</v>
      </c>
      <c r="G242" s="6">
        <v>8658800</v>
      </c>
      <c r="H242" s="6">
        <v>3948100</v>
      </c>
      <c r="I242" s="6">
        <v>4710700</v>
      </c>
    </row>
    <row r="243" spans="1:9" x14ac:dyDescent="0.25">
      <c r="A243" t="s">
        <v>90</v>
      </c>
      <c r="B243" s="16" t="str">
        <f>"13157"</f>
        <v>13157</v>
      </c>
      <c r="C243" t="s">
        <v>11</v>
      </c>
      <c r="D243" t="s">
        <v>107</v>
      </c>
      <c r="E243" s="16" t="str">
        <f>"005"</f>
        <v>005</v>
      </c>
      <c r="F243" s="16">
        <v>2016</v>
      </c>
      <c r="G243" s="6">
        <v>62373800</v>
      </c>
      <c r="H243" s="6">
        <v>25350000</v>
      </c>
      <c r="I243" s="6">
        <v>37023800</v>
      </c>
    </row>
    <row r="244" spans="1:9" x14ac:dyDescent="0.25">
      <c r="A244" t="s">
        <v>90</v>
      </c>
      <c r="B244" s="16" t="str">
        <f>"13165"</f>
        <v>13165</v>
      </c>
      <c r="C244" t="s">
        <v>11</v>
      </c>
      <c r="D244" t="s">
        <v>108</v>
      </c>
      <c r="E244" s="16" t="str">
        <f>"003"</f>
        <v>003</v>
      </c>
      <c r="F244" s="16">
        <v>2005</v>
      </c>
      <c r="G244" s="6">
        <v>26126300</v>
      </c>
      <c r="H244" s="6">
        <v>15880800</v>
      </c>
      <c r="I244" s="6">
        <v>10245500</v>
      </c>
    </row>
    <row r="245" spans="1:9" x14ac:dyDescent="0.25">
      <c r="A245" t="s">
        <v>90</v>
      </c>
      <c r="B245" s="16" t="str">
        <f>"13165"</f>
        <v>13165</v>
      </c>
      <c r="C245" t="s">
        <v>11</v>
      </c>
      <c r="D245" t="s">
        <v>108</v>
      </c>
      <c r="E245" s="16" t="str">
        <f>"004"</f>
        <v>004</v>
      </c>
      <c r="F245" s="16">
        <v>2008</v>
      </c>
      <c r="G245" s="6">
        <v>19646500</v>
      </c>
      <c r="H245" s="6">
        <v>12818100</v>
      </c>
      <c r="I245" s="6">
        <v>6828400</v>
      </c>
    </row>
    <row r="246" spans="1:9" x14ac:dyDescent="0.25">
      <c r="A246" t="s">
        <v>90</v>
      </c>
      <c r="B246" s="16" t="str">
        <f>"13165"</f>
        <v>13165</v>
      </c>
      <c r="C246" t="s">
        <v>11</v>
      </c>
      <c r="D246" t="s">
        <v>108</v>
      </c>
      <c r="E246" s="16" t="str">
        <f>"005"</f>
        <v>005</v>
      </c>
      <c r="F246" s="16">
        <v>2017</v>
      </c>
      <c r="G246" s="6">
        <v>69931400</v>
      </c>
      <c r="H246" s="6">
        <v>53696700</v>
      </c>
      <c r="I246" s="6">
        <v>16234700</v>
      </c>
    </row>
    <row r="247" spans="1:9" x14ac:dyDescent="0.25">
      <c r="A247" t="s">
        <v>90</v>
      </c>
      <c r="B247" s="16" t="str">
        <f>"13181"</f>
        <v>13181</v>
      </c>
      <c r="C247" t="s">
        <v>11</v>
      </c>
      <c r="D247" t="s">
        <v>109</v>
      </c>
      <c r="E247" s="16" t="str">
        <f>"003"</f>
        <v>003</v>
      </c>
      <c r="F247" s="16">
        <v>2008</v>
      </c>
      <c r="G247" s="6">
        <v>71986400</v>
      </c>
      <c r="H247" s="6">
        <v>21225400</v>
      </c>
      <c r="I247" s="6">
        <v>50761000</v>
      </c>
    </row>
    <row r="248" spans="1:9" x14ac:dyDescent="0.25">
      <c r="A248" t="s">
        <v>90</v>
      </c>
      <c r="B248" s="16" t="str">
        <f>"13181"</f>
        <v>13181</v>
      </c>
      <c r="C248" t="s">
        <v>11</v>
      </c>
      <c r="D248" t="s">
        <v>109</v>
      </c>
      <c r="E248" s="16" t="str">
        <f>"004"</f>
        <v>004</v>
      </c>
      <c r="F248" s="16">
        <v>2010</v>
      </c>
      <c r="G248" s="6">
        <v>23082500</v>
      </c>
      <c r="H248" s="6">
        <v>8265800</v>
      </c>
      <c r="I248" s="6">
        <v>14816700</v>
      </c>
    </row>
    <row r="249" spans="1:9" x14ac:dyDescent="0.25">
      <c r="A249" t="s">
        <v>90</v>
      </c>
      <c r="B249" s="16" t="str">
        <f>"13181"</f>
        <v>13181</v>
      </c>
      <c r="C249" t="s">
        <v>11</v>
      </c>
      <c r="D249" t="s">
        <v>109</v>
      </c>
      <c r="E249" s="16" t="str">
        <f>"005"</f>
        <v>005</v>
      </c>
      <c r="F249" s="16">
        <v>2016</v>
      </c>
      <c r="G249" s="6">
        <v>12714700</v>
      </c>
      <c r="H249" s="6">
        <v>4252600</v>
      </c>
      <c r="I249" s="6">
        <v>8462100</v>
      </c>
    </row>
    <row r="250" spans="1:9" x14ac:dyDescent="0.25">
      <c r="A250" t="s">
        <v>90</v>
      </c>
      <c r="B250" s="16" t="str">
        <f>"13056"</f>
        <v>13056</v>
      </c>
      <c r="C250" t="s">
        <v>13</v>
      </c>
      <c r="D250" t="s">
        <v>110</v>
      </c>
      <c r="E250" s="16" t="str">
        <f>"001E"</f>
        <v>001E</v>
      </c>
      <c r="F250" s="16">
        <v>2014</v>
      </c>
      <c r="G250" s="6">
        <v>9211800</v>
      </c>
      <c r="H250" s="6">
        <v>408400</v>
      </c>
      <c r="I250" s="6">
        <v>8803400</v>
      </c>
    </row>
    <row r="251" spans="1:9" x14ac:dyDescent="0.25">
      <c r="A251" t="s">
        <v>90</v>
      </c>
      <c r="B251" s="16" t="str">
        <f>"13281"</f>
        <v>13281</v>
      </c>
      <c r="C251" t="s">
        <v>10</v>
      </c>
      <c r="D251" t="s">
        <v>111</v>
      </c>
      <c r="E251" s="16" t="str">
        <f>"004"</f>
        <v>004</v>
      </c>
      <c r="F251" s="16">
        <v>1999</v>
      </c>
      <c r="G251" s="6">
        <v>17670400</v>
      </c>
      <c r="H251" s="6">
        <v>9765300</v>
      </c>
      <c r="I251" s="6">
        <v>7905100</v>
      </c>
    </row>
    <row r="252" spans="1:9" x14ac:dyDescent="0.25">
      <c r="A252" t="s">
        <v>90</v>
      </c>
      <c r="B252" s="16" t="str">
        <f>"13281"</f>
        <v>13281</v>
      </c>
      <c r="C252" t="s">
        <v>10</v>
      </c>
      <c r="D252" t="s">
        <v>111</v>
      </c>
      <c r="E252" s="16" t="str">
        <f>"005"</f>
        <v>005</v>
      </c>
      <c r="F252" s="16">
        <v>2010</v>
      </c>
      <c r="G252" s="6">
        <v>13483600</v>
      </c>
      <c r="H252" s="6">
        <v>10269200</v>
      </c>
      <c r="I252" s="6">
        <v>3214400</v>
      </c>
    </row>
    <row r="253" spans="1:9" x14ac:dyDescent="0.25">
      <c r="A253" t="s">
        <v>90</v>
      </c>
      <c r="B253" s="16" t="str">
        <f>"13281"</f>
        <v>13281</v>
      </c>
      <c r="C253" t="s">
        <v>10</v>
      </c>
      <c r="D253" t="s">
        <v>111</v>
      </c>
      <c r="E253" s="16" t="str">
        <f>"006"</f>
        <v>006</v>
      </c>
      <c r="F253" s="16">
        <v>2015</v>
      </c>
      <c r="G253" s="6">
        <v>3201400</v>
      </c>
      <c r="H253" s="6">
        <v>10000</v>
      </c>
      <c r="I253" s="6">
        <v>3191400</v>
      </c>
    </row>
    <row r="254" spans="1:9" x14ac:dyDescent="0.25">
      <c r="A254" t="s">
        <v>90</v>
      </c>
      <c r="B254" s="16" t="str">
        <f>"13281"</f>
        <v>13281</v>
      </c>
      <c r="C254" t="s">
        <v>10</v>
      </c>
      <c r="D254" t="s">
        <v>111</v>
      </c>
      <c r="E254" s="16" t="str">
        <f>"007"</f>
        <v>007</v>
      </c>
      <c r="F254" s="16">
        <v>2015</v>
      </c>
      <c r="G254" s="6">
        <v>41431300</v>
      </c>
      <c r="H254" s="6">
        <v>1111800</v>
      </c>
      <c r="I254" s="6">
        <v>40319500</v>
      </c>
    </row>
    <row r="255" spans="1:9" x14ac:dyDescent="0.25">
      <c r="A255" t="s">
        <v>90</v>
      </c>
      <c r="B255" s="16" t="str">
        <f>"13281"</f>
        <v>13281</v>
      </c>
      <c r="C255" t="s">
        <v>10</v>
      </c>
      <c r="D255" t="s">
        <v>111</v>
      </c>
      <c r="E255" s="16" t="str">
        <f>"008"</f>
        <v>008</v>
      </c>
      <c r="F255" s="16">
        <v>2018</v>
      </c>
      <c r="G255" s="6">
        <v>7710400</v>
      </c>
      <c r="H255" s="6">
        <v>7376600</v>
      </c>
      <c r="I255" s="6">
        <v>333800</v>
      </c>
    </row>
    <row r="256" spans="1:9" x14ac:dyDescent="0.25">
      <c r="A256" t="s">
        <v>90</v>
      </c>
      <c r="B256" s="16" t="str">
        <f t="shared" ref="B256:B261" si="10">"13282"</f>
        <v>13282</v>
      </c>
      <c r="C256" t="s">
        <v>10</v>
      </c>
      <c r="D256" t="s">
        <v>112</v>
      </c>
      <c r="E256" s="16" t="str">
        <f>"008"</f>
        <v>008</v>
      </c>
      <c r="F256" s="16">
        <v>2002</v>
      </c>
      <c r="G256" s="6">
        <v>134680800</v>
      </c>
      <c r="H256" s="6">
        <v>22279000</v>
      </c>
      <c r="I256" s="6">
        <v>112401800</v>
      </c>
    </row>
    <row r="257" spans="1:9" x14ac:dyDescent="0.25">
      <c r="A257" t="s">
        <v>90</v>
      </c>
      <c r="B257" s="16" t="str">
        <f t="shared" si="10"/>
        <v>13282</v>
      </c>
      <c r="C257" t="s">
        <v>10</v>
      </c>
      <c r="D257" t="s">
        <v>112</v>
      </c>
      <c r="E257" s="16" t="str">
        <f>"009"</f>
        <v>009</v>
      </c>
      <c r="F257" s="16">
        <v>2007</v>
      </c>
      <c r="G257" s="6">
        <v>102982200</v>
      </c>
      <c r="H257" s="6">
        <v>12294900</v>
      </c>
      <c r="I257" s="6">
        <v>90687300</v>
      </c>
    </row>
    <row r="258" spans="1:9" x14ac:dyDescent="0.25">
      <c r="A258" t="s">
        <v>90</v>
      </c>
      <c r="B258" s="16" t="str">
        <f t="shared" si="10"/>
        <v>13282</v>
      </c>
      <c r="C258" t="s">
        <v>10</v>
      </c>
      <c r="D258" t="s">
        <v>112</v>
      </c>
      <c r="E258" s="16" t="str">
        <f>"011"</f>
        <v>011</v>
      </c>
      <c r="F258" s="16">
        <v>2015</v>
      </c>
      <c r="G258" s="6">
        <v>86161000</v>
      </c>
      <c r="H258" s="6">
        <v>32499300</v>
      </c>
      <c r="I258" s="6">
        <v>53661700</v>
      </c>
    </row>
    <row r="259" spans="1:9" x14ac:dyDescent="0.25">
      <c r="A259" t="s">
        <v>90</v>
      </c>
      <c r="B259" s="16" t="str">
        <f t="shared" si="10"/>
        <v>13282</v>
      </c>
      <c r="C259" t="s">
        <v>10</v>
      </c>
      <c r="D259" t="s">
        <v>112</v>
      </c>
      <c r="E259" s="16" t="str">
        <f>"012"</f>
        <v>012</v>
      </c>
      <c r="F259" s="16">
        <v>2016</v>
      </c>
      <c r="G259" s="6">
        <v>16474600</v>
      </c>
      <c r="H259" s="6">
        <v>3774500</v>
      </c>
      <c r="I259" s="6">
        <v>12700100</v>
      </c>
    </row>
    <row r="260" spans="1:9" x14ac:dyDescent="0.25">
      <c r="A260" t="s">
        <v>90</v>
      </c>
      <c r="B260" s="16" t="str">
        <f t="shared" si="10"/>
        <v>13282</v>
      </c>
      <c r="C260" t="s">
        <v>10</v>
      </c>
      <c r="D260" t="s">
        <v>112</v>
      </c>
      <c r="E260" s="16" t="str">
        <f>"013"</f>
        <v>013</v>
      </c>
      <c r="F260" s="16">
        <v>2017</v>
      </c>
      <c r="G260" s="6">
        <v>11192100</v>
      </c>
      <c r="H260" s="6">
        <v>618200</v>
      </c>
      <c r="I260" s="6">
        <v>10573900</v>
      </c>
    </row>
    <row r="261" spans="1:9" x14ac:dyDescent="0.25">
      <c r="A261" t="s">
        <v>90</v>
      </c>
      <c r="B261" s="16" t="str">
        <f t="shared" si="10"/>
        <v>13282</v>
      </c>
      <c r="C261" t="s">
        <v>10</v>
      </c>
      <c r="D261" t="s">
        <v>112</v>
      </c>
      <c r="E261" s="16" t="str">
        <f>"014"</f>
        <v>014</v>
      </c>
      <c r="F261" s="16">
        <v>2020</v>
      </c>
      <c r="G261" s="6">
        <v>4985800</v>
      </c>
      <c r="H261" s="6">
        <v>5448800</v>
      </c>
      <c r="I261" s="6">
        <v>-463000</v>
      </c>
    </row>
    <row r="262" spans="1:9" x14ac:dyDescent="0.25">
      <c r="A262" t="s">
        <v>90</v>
      </c>
      <c r="B262" s="16" t="str">
        <f>"13286"</f>
        <v>13286</v>
      </c>
      <c r="C262" t="s">
        <v>10</v>
      </c>
      <c r="D262" t="s">
        <v>113</v>
      </c>
      <c r="E262" s="16" t="str">
        <f>"004"</f>
        <v>004</v>
      </c>
      <c r="F262" s="16">
        <v>1996</v>
      </c>
      <c r="G262" s="6">
        <v>49636500</v>
      </c>
      <c r="H262" s="6">
        <v>8842400</v>
      </c>
      <c r="I262" s="6">
        <v>40794100</v>
      </c>
    </row>
    <row r="263" spans="1:9" x14ac:dyDescent="0.25">
      <c r="A263" t="s">
        <v>90</v>
      </c>
      <c r="B263" s="16" t="str">
        <f>"13286"</f>
        <v>13286</v>
      </c>
      <c r="C263" t="s">
        <v>10</v>
      </c>
      <c r="D263" t="s">
        <v>113</v>
      </c>
      <c r="E263" s="16" t="str">
        <f>"006"</f>
        <v>006</v>
      </c>
      <c r="F263" s="16">
        <v>2000</v>
      </c>
      <c r="G263" s="6">
        <v>93730900</v>
      </c>
      <c r="H263" s="6">
        <v>475200</v>
      </c>
      <c r="I263" s="6">
        <v>93255700</v>
      </c>
    </row>
    <row r="264" spans="1:9" x14ac:dyDescent="0.25">
      <c r="A264" t="s">
        <v>90</v>
      </c>
      <c r="B264" s="16" t="str">
        <f>"13286"</f>
        <v>13286</v>
      </c>
      <c r="C264" t="s">
        <v>10</v>
      </c>
      <c r="D264" t="s">
        <v>113</v>
      </c>
      <c r="E264" s="16" t="str">
        <f>"008"</f>
        <v>008</v>
      </c>
      <c r="F264" s="16">
        <v>2017</v>
      </c>
      <c r="G264" s="6">
        <v>30198200</v>
      </c>
      <c r="H264" s="6">
        <v>29164700</v>
      </c>
      <c r="I264" s="6">
        <v>1033500</v>
      </c>
    </row>
    <row r="265" spans="1:9" x14ac:dyDescent="0.25">
      <c r="A265" t="s">
        <v>90</v>
      </c>
      <c r="B265" s="16" t="str">
        <f>"13286"</f>
        <v>13286</v>
      </c>
      <c r="C265" t="s">
        <v>10</v>
      </c>
      <c r="D265" t="s">
        <v>113</v>
      </c>
      <c r="E265" s="16" t="str">
        <f>"009"</f>
        <v>009</v>
      </c>
      <c r="F265" s="16">
        <v>2017</v>
      </c>
      <c r="G265" s="6">
        <v>6583400</v>
      </c>
      <c r="H265" s="6">
        <v>5619100</v>
      </c>
      <c r="I265" s="6">
        <v>964300</v>
      </c>
    </row>
    <row r="266" spans="1:9" x14ac:dyDescent="0.25">
      <c r="A266" t="s">
        <v>90</v>
      </c>
      <c r="B266" s="16" t="str">
        <f>"13286"</f>
        <v>13286</v>
      </c>
      <c r="C266" t="s">
        <v>10</v>
      </c>
      <c r="D266" t="s">
        <v>113</v>
      </c>
      <c r="E266" s="16" t="str">
        <f>"010"</f>
        <v>010</v>
      </c>
      <c r="F266" s="16">
        <v>2020</v>
      </c>
      <c r="G266" s="6">
        <v>8237300</v>
      </c>
      <c r="H266" s="6">
        <v>1795300</v>
      </c>
      <c r="I266" s="6">
        <v>6442000</v>
      </c>
    </row>
    <row r="267" spans="1:9" x14ac:dyDescent="0.25">
      <c r="A267" t="s">
        <v>90</v>
      </c>
      <c r="B267" s="16" t="str">
        <f t="shared" ref="B267:B274" si="11">"13191"</f>
        <v>13191</v>
      </c>
      <c r="C267" t="s">
        <v>11</v>
      </c>
      <c r="D267" t="s">
        <v>114</v>
      </c>
      <c r="E267" s="16" t="str">
        <f>"002"</f>
        <v>002</v>
      </c>
      <c r="F267" s="16">
        <v>2000</v>
      </c>
      <c r="G267" s="6">
        <v>23670200</v>
      </c>
      <c r="H267" s="6">
        <v>98800</v>
      </c>
      <c r="I267" s="6">
        <v>23571400</v>
      </c>
    </row>
    <row r="268" spans="1:9" x14ac:dyDescent="0.25">
      <c r="A268" t="s">
        <v>90</v>
      </c>
      <c r="B268" s="16" t="str">
        <f t="shared" si="11"/>
        <v>13191</v>
      </c>
      <c r="C268" t="s">
        <v>11</v>
      </c>
      <c r="D268" t="s">
        <v>114</v>
      </c>
      <c r="E268" s="16" t="str">
        <f>"003"</f>
        <v>003</v>
      </c>
      <c r="F268" s="16">
        <v>2000</v>
      </c>
      <c r="G268" s="6">
        <v>59685400</v>
      </c>
      <c r="H268" s="6">
        <v>634700</v>
      </c>
      <c r="I268" s="6">
        <v>59050700</v>
      </c>
    </row>
    <row r="269" spans="1:9" x14ac:dyDescent="0.25">
      <c r="A269" t="s">
        <v>90</v>
      </c>
      <c r="B269" s="16" t="str">
        <f t="shared" si="11"/>
        <v>13191</v>
      </c>
      <c r="C269" t="s">
        <v>11</v>
      </c>
      <c r="D269" t="s">
        <v>114</v>
      </c>
      <c r="E269" s="16" t="str">
        <f>"004"</f>
        <v>004</v>
      </c>
      <c r="F269" s="16">
        <v>2003</v>
      </c>
      <c r="G269" s="6">
        <v>6134300</v>
      </c>
      <c r="H269" s="6">
        <v>677400</v>
      </c>
      <c r="I269" s="6">
        <v>5456900</v>
      </c>
    </row>
    <row r="270" spans="1:9" x14ac:dyDescent="0.25">
      <c r="A270" t="s">
        <v>90</v>
      </c>
      <c r="B270" s="16" t="str">
        <f t="shared" si="11"/>
        <v>13191</v>
      </c>
      <c r="C270" t="s">
        <v>11</v>
      </c>
      <c r="D270" t="s">
        <v>114</v>
      </c>
      <c r="E270" s="16" t="str">
        <f>"005"</f>
        <v>005</v>
      </c>
      <c r="F270" s="16">
        <v>2005</v>
      </c>
      <c r="G270" s="6">
        <v>53685300</v>
      </c>
      <c r="H270" s="6">
        <v>27543200</v>
      </c>
      <c r="I270" s="6">
        <v>26142100</v>
      </c>
    </row>
    <row r="271" spans="1:9" x14ac:dyDescent="0.25">
      <c r="A271" t="s">
        <v>90</v>
      </c>
      <c r="B271" s="16" t="str">
        <f t="shared" si="11"/>
        <v>13191</v>
      </c>
      <c r="C271" t="s">
        <v>11</v>
      </c>
      <c r="D271" t="s">
        <v>114</v>
      </c>
      <c r="E271" s="16" t="str">
        <f>"006"</f>
        <v>006</v>
      </c>
      <c r="F271" s="16">
        <v>2015</v>
      </c>
      <c r="G271" s="6">
        <v>76970900</v>
      </c>
      <c r="H271" s="6">
        <v>11761100</v>
      </c>
      <c r="I271" s="6">
        <v>65209800</v>
      </c>
    </row>
    <row r="272" spans="1:9" x14ac:dyDescent="0.25">
      <c r="A272" t="s">
        <v>90</v>
      </c>
      <c r="B272" s="16" t="str">
        <f t="shared" si="11"/>
        <v>13191</v>
      </c>
      <c r="C272" t="s">
        <v>11</v>
      </c>
      <c r="D272" t="s">
        <v>114</v>
      </c>
      <c r="E272" s="16" t="str">
        <f>"007"</f>
        <v>007</v>
      </c>
      <c r="F272" s="16">
        <v>2016</v>
      </c>
      <c r="G272" s="6">
        <v>9799500</v>
      </c>
      <c r="H272" s="6">
        <v>4445700</v>
      </c>
      <c r="I272" s="6">
        <v>5353800</v>
      </c>
    </row>
    <row r="273" spans="1:9" x14ac:dyDescent="0.25">
      <c r="A273" t="s">
        <v>90</v>
      </c>
      <c r="B273" s="16" t="str">
        <f t="shared" si="11"/>
        <v>13191</v>
      </c>
      <c r="C273" t="s">
        <v>11</v>
      </c>
      <c r="D273" t="s">
        <v>114</v>
      </c>
      <c r="E273" s="16" t="str">
        <f>"008"</f>
        <v>008</v>
      </c>
      <c r="F273" s="16">
        <v>2018</v>
      </c>
      <c r="G273" s="6">
        <v>33318600</v>
      </c>
      <c r="H273" s="6">
        <v>15985400</v>
      </c>
      <c r="I273" s="6">
        <v>17333200</v>
      </c>
    </row>
    <row r="274" spans="1:9" x14ac:dyDescent="0.25">
      <c r="A274" t="s">
        <v>90</v>
      </c>
      <c r="B274" s="16" t="str">
        <f t="shared" si="11"/>
        <v>13191</v>
      </c>
      <c r="C274" t="s">
        <v>11</v>
      </c>
      <c r="D274" t="s">
        <v>114</v>
      </c>
      <c r="E274" s="16" t="str">
        <f>"009"</f>
        <v>009</v>
      </c>
      <c r="F274" s="16">
        <v>2018</v>
      </c>
      <c r="G274" s="6">
        <v>1044200</v>
      </c>
      <c r="H274" s="6">
        <v>1147000</v>
      </c>
      <c r="I274" s="6">
        <v>-102800</v>
      </c>
    </row>
    <row r="275" spans="1:9" x14ac:dyDescent="0.25">
      <c r="A275" t="s">
        <v>90</v>
      </c>
      <c r="B275" s="16" t="str">
        <f>"13196"</f>
        <v>13196</v>
      </c>
      <c r="C275" t="s">
        <v>11</v>
      </c>
      <c r="D275" t="s">
        <v>115</v>
      </c>
      <c r="E275" s="16" t="str">
        <f>"001"</f>
        <v>001</v>
      </c>
      <c r="F275" s="16">
        <v>2014</v>
      </c>
      <c r="G275" s="6">
        <v>24241000</v>
      </c>
      <c r="H275" s="6">
        <v>382600</v>
      </c>
      <c r="I275" s="6">
        <v>23858400</v>
      </c>
    </row>
    <row r="276" spans="1:9" x14ac:dyDescent="0.25">
      <c r="A276" t="s">
        <v>116</v>
      </c>
      <c r="B276" s="16" t="str">
        <f>"14206"</f>
        <v>14206</v>
      </c>
      <c r="C276" t="s">
        <v>10</v>
      </c>
      <c r="D276" t="s">
        <v>117</v>
      </c>
      <c r="E276" s="16" t="str">
        <f>"006"</f>
        <v>006</v>
      </c>
      <c r="F276" s="16">
        <v>2009</v>
      </c>
      <c r="G276" s="6">
        <v>7131200</v>
      </c>
      <c r="H276" s="6">
        <v>832700</v>
      </c>
      <c r="I276" s="6">
        <v>6298500</v>
      </c>
    </row>
    <row r="277" spans="1:9" x14ac:dyDescent="0.25">
      <c r="A277" t="s">
        <v>116</v>
      </c>
      <c r="B277" s="16" t="str">
        <f>"14206"</f>
        <v>14206</v>
      </c>
      <c r="C277" t="s">
        <v>10</v>
      </c>
      <c r="D277" t="s">
        <v>117</v>
      </c>
      <c r="E277" s="16" t="str">
        <f>"007"</f>
        <v>007</v>
      </c>
      <c r="F277" s="16">
        <v>2016</v>
      </c>
      <c r="G277" s="6">
        <v>27791300</v>
      </c>
      <c r="H277" s="6">
        <v>0</v>
      </c>
      <c r="I277" s="6">
        <v>27791300</v>
      </c>
    </row>
    <row r="278" spans="1:9" x14ac:dyDescent="0.25">
      <c r="A278" t="s">
        <v>116</v>
      </c>
      <c r="B278" s="16" t="str">
        <f>"14206"</f>
        <v>14206</v>
      </c>
      <c r="C278" t="s">
        <v>10</v>
      </c>
      <c r="D278" t="s">
        <v>117</v>
      </c>
      <c r="E278" s="16" t="str">
        <f>"008"</f>
        <v>008</v>
      </c>
      <c r="F278" s="16">
        <v>2018</v>
      </c>
      <c r="G278" s="6">
        <v>23682700</v>
      </c>
      <c r="H278" s="6">
        <v>7192000</v>
      </c>
      <c r="I278" s="6">
        <v>16490700</v>
      </c>
    </row>
    <row r="279" spans="1:9" x14ac:dyDescent="0.25">
      <c r="A279" t="s">
        <v>116</v>
      </c>
      <c r="B279" s="16" t="str">
        <f>"14206"</f>
        <v>14206</v>
      </c>
      <c r="C279" t="s">
        <v>10</v>
      </c>
      <c r="D279" t="s">
        <v>117</v>
      </c>
      <c r="E279" s="16" t="str">
        <f>"009"</f>
        <v>009</v>
      </c>
      <c r="F279" s="16">
        <v>2019</v>
      </c>
      <c r="G279" s="6">
        <v>805600</v>
      </c>
      <c r="H279" s="6">
        <v>642700</v>
      </c>
      <c r="I279" s="6">
        <v>162900</v>
      </c>
    </row>
    <row r="280" spans="1:9" x14ac:dyDescent="0.25">
      <c r="A280" t="s">
        <v>116</v>
      </c>
      <c r="B280" s="16" t="str">
        <f>"14226"</f>
        <v>14226</v>
      </c>
      <c r="C280" t="s">
        <v>10</v>
      </c>
      <c r="D280" t="s">
        <v>118</v>
      </c>
      <c r="E280" s="16" t="str">
        <f>"002"</f>
        <v>002</v>
      </c>
      <c r="F280" s="16">
        <v>2015</v>
      </c>
      <c r="G280" s="6">
        <v>16201300</v>
      </c>
      <c r="H280" s="6">
        <v>7196000</v>
      </c>
      <c r="I280" s="6">
        <v>9005300</v>
      </c>
    </row>
    <row r="281" spans="1:9" x14ac:dyDescent="0.25">
      <c r="A281" t="s">
        <v>116</v>
      </c>
      <c r="B281" s="16" t="str">
        <f>"14226"</f>
        <v>14226</v>
      </c>
      <c r="C281" t="s">
        <v>10</v>
      </c>
      <c r="D281" t="s">
        <v>118</v>
      </c>
      <c r="E281" s="16" t="str">
        <f>"003"</f>
        <v>003</v>
      </c>
      <c r="F281" s="16">
        <v>2016</v>
      </c>
      <c r="G281" s="6">
        <v>9302800</v>
      </c>
      <c r="H281" s="6">
        <v>4634300</v>
      </c>
      <c r="I281" s="6">
        <v>4668500</v>
      </c>
    </row>
    <row r="282" spans="1:9" x14ac:dyDescent="0.25">
      <c r="A282" t="s">
        <v>116</v>
      </c>
      <c r="B282" s="16" t="str">
        <f>"14230"</f>
        <v>14230</v>
      </c>
      <c r="C282" t="s">
        <v>10</v>
      </c>
      <c r="D282" t="s">
        <v>119</v>
      </c>
      <c r="E282" s="16" t="str">
        <f>"007"</f>
        <v>007</v>
      </c>
      <c r="F282" s="16">
        <v>2011</v>
      </c>
      <c r="G282" s="6">
        <v>6662500</v>
      </c>
      <c r="H282" s="6">
        <v>13800</v>
      </c>
      <c r="I282" s="6">
        <v>6648700</v>
      </c>
    </row>
    <row r="283" spans="1:9" x14ac:dyDescent="0.25">
      <c r="A283" t="s">
        <v>116</v>
      </c>
      <c r="B283" s="16" t="str">
        <f>"14230"</f>
        <v>14230</v>
      </c>
      <c r="C283" t="s">
        <v>10</v>
      </c>
      <c r="D283" t="s">
        <v>119</v>
      </c>
      <c r="E283" s="16" t="str">
        <f>"009"</f>
        <v>009</v>
      </c>
      <c r="F283" s="16">
        <v>2015</v>
      </c>
      <c r="G283" s="6">
        <v>11380400</v>
      </c>
      <c r="H283" s="6">
        <v>4428900</v>
      </c>
      <c r="I283" s="6">
        <v>6951500</v>
      </c>
    </row>
    <row r="284" spans="1:9" x14ac:dyDescent="0.25">
      <c r="A284" t="s">
        <v>116</v>
      </c>
      <c r="B284" s="16" t="str">
        <f>"14236"</f>
        <v>14236</v>
      </c>
      <c r="C284" t="s">
        <v>10</v>
      </c>
      <c r="D284" t="s">
        <v>120</v>
      </c>
      <c r="E284" s="16" t="str">
        <f>"004"</f>
        <v>004</v>
      </c>
      <c r="F284" s="16">
        <v>2007</v>
      </c>
      <c r="G284" s="6">
        <v>17161500</v>
      </c>
      <c r="H284" s="6">
        <v>4799600</v>
      </c>
      <c r="I284" s="6">
        <v>12361900</v>
      </c>
    </row>
    <row r="285" spans="1:9" x14ac:dyDescent="0.25">
      <c r="A285" t="s">
        <v>116</v>
      </c>
      <c r="B285" s="16" t="str">
        <f>"14236"</f>
        <v>14236</v>
      </c>
      <c r="C285" t="s">
        <v>10</v>
      </c>
      <c r="D285" t="s">
        <v>120</v>
      </c>
      <c r="E285" s="16" t="str">
        <f>"005"</f>
        <v>005</v>
      </c>
      <c r="F285" s="16">
        <v>2015</v>
      </c>
      <c r="G285" s="6">
        <v>31416100</v>
      </c>
      <c r="H285" s="6">
        <v>4402600</v>
      </c>
      <c r="I285" s="6">
        <v>27013500</v>
      </c>
    </row>
    <row r="286" spans="1:9" x14ac:dyDescent="0.25">
      <c r="A286" t="s">
        <v>116</v>
      </c>
      <c r="B286" s="16" t="str">
        <f>"14236"</f>
        <v>14236</v>
      </c>
      <c r="C286" t="s">
        <v>10</v>
      </c>
      <c r="D286" t="s">
        <v>120</v>
      </c>
      <c r="E286" s="16" t="str">
        <f>"006"</f>
        <v>006</v>
      </c>
      <c r="F286" s="16">
        <v>2017</v>
      </c>
      <c r="G286" s="6">
        <v>15427700</v>
      </c>
      <c r="H286" s="6">
        <v>13427800</v>
      </c>
      <c r="I286" s="6">
        <v>1999900</v>
      </c>
    </row>
    <row r="287" spans="1:9" x14ac:dyDescent="0.25">
      <c r="A287" t="s">
        <v>116</v>
      </c>
      <c r="B287" s="16" t="str">
        <f>"14136"</f>
        <v>14136</v>
      </c>
      <c r="C287" t="s">
        <v>11</v>
      </c>
      <c r="D287" t="s">
        <v>121</v>
      </c>
      <c r="E287" s="16" t="str">
        <f>"001"</f>
        <v>001</v>
      </c>
      <c r="F287" s="16">
        <v>2017</v>
      </c>
      <c r="G287" s="6">
        <v>7305600</v>
      </c>
      <c r="H287" s="6">
        <v>5412600</v>
      </c>
      <c r="I287" s="6">
        <v>1893000</v>
      </c>
    </row>
    <row r="288" spans="1:9" x14ac:dyDescent="0.25">
      <c r="A288" t="s">
        <v>116</v>
      </c>
      <c r="B288" s="16" t="str">
        <f>"14241"</f>
        <v>14241</v>
      </c>
      <c r="C288" t="s">
        <v>10</v>
      </c>
      <c r="D288" t="s">
        <v>122</v>
      </c>
      <c r="E288" s="16" t="str">
        <f>"004"</f>
        <v>004</v>
      </c>
      <c r="F288" s="16">
        <v>2018</v>
      </c>
      <c r="G288" s="6">
        <v>10713600</v>
      </c>
      <c r="H288" s="6">
        <v>7477100</v>
      </c>
      <c r="I288" s="6">
        <v>3236500</v>
      </c>
    </row>
    <row r="289" spans="1:9" x14ac:dyDescent="0.25">
      <c r="A289" t="s">
        <v>116</v>
      </c>
      <c r="B289" s="16" t="str">
        <f>"14146"</f>
        <v>14146</v>
      </c>
      <c r="C289" t="s">
        <v>11</v>
      </c>
      <c r="D289" t="s">
        <v>123</v>
      </c>
      <c r="E289" s="16" t="str">
        <f>"004"</f>
        <v>004</v>
      </c>
      <c r="F289" s="16">
        <v>2006</v>
      </c>
      <c r="G289" s="6">
        <v>12504600</v>
      </c>
      <c r="H289" s="6">
        <v>894000</v>
      </c>
      <c r="I289" s="6">
        <v>11610600</v>
      </c>
    </row>
    <row r="290" spans="1:9" x14ac:dyDescent="0.25">
      <c r="A290" t="s">
        <v>116</v>
      </c>
      <c r="B290" s="16" t="str">
        <f>"14146"</f>
        <v>14146</v>
      </c>
      <c r="C290" t="s">
        <v>11</v>
      </c>
      <c r="D290" t="s">
        <v>123</v>
      </c>
      <c r="E290" s="16" t="str">
        <f>"005"</f>
        <v>005</v>
      </c>
      <c r="F290" s="16">
        <v>2015</v>
      </c>
      <c r="G290" s="6">
        <v>14327400</v>
      </c>
      <c r="H290" s="6">
        <v>297600</v>
      </c>
      <c r="I290" s="6">
        <v>14029800</v>
      </c>
    </row>
    <row r="291" spans="1:9" x14ac:dyDescent="0.25">
      <c r="A291" t="s">
        <v>116</v>
      </c>
      <c r="B291" s="16" t="str">
        <f>"14251"</f>
        <v>14251</v>
      </c>
      <c r="C291" t="s">
        <v>10</v>
      </c>
      <c r="D291" t="s">
        <v>124</v>
      </c>
      <c r="E291" s="16" t="str">
        <f>"004"</f>
        <v>004</v>
      </c>
      <c r="F291" s="16">
        <v>2009</v>
      </c>
      <c r="G291" s="6">
        <v>2331700</v>
      </c>
      <c r="H291" s="6">
        <v>1548600</v>
      </c>
      <c r="I291" s="6">
        <v>783100</v>
      </c>
    </row>
    <row r="292" spans="1:9" x14ac:dyDescent="0.25">
      <c r="A292" t="s">
        <v>116</v>
      </c>
      <c r="B292" s="16" t="str">
        <f>"14251"</f>
        <v>14251</v>
      </c>
      <c r="C292" t="s">
        <v>10</v>
      </c>
      <c r="D292" t="s">
        <v>124</v>
      </c>
      <c r="E292" s="16" t="str">
        <f>"005"</f>
        <v>005</v>
      </c>
      <c r="F292" s="16">
        <v>2013</v>
      </c>
      <c r="G292" s="6">
        <v>6330700</v>
      </c>
      <c r="H292" s="6">
        <v>2333200</v>
      </c>
      <c r="I292" s="6">
        <v>3997500</v>
      </c>
    </row>
    <row r="293" spans="1:9" x14ac:dyDescent="0.25">
      <c r="A293" t="s">
        <v>116</v>
      </c>
      <c r="B293" s="16" t="str">
        <f>"14177"</f>
        <v>14177</v>
      </c>
      <c r="C293" t="s">
        <v>11</v>
      </c>
      <c r="D293" t="s">
        <v>125</v>
      </c>
      <c r="E293" s="16" t="str">
        <f>"003"</f>
        <v>003</v>
      </c>
      <c r="F293" s="16">
        <v>2011</v>
      </c>
      <c r="G293" s="6">
        <v>9680600</v>
      </c>
      <c r="H293" s="6">
        <v>912700</v>
      </c>
      <c r="I293" s="6">
        <v>8767900</v>
      </c>
    </row>
    <row r="294" spans="1:9" x14ac:dyDescent="0.25">
      <c r="A294" t="s">
        <v>116</v>
      </c>
      <c r="B294" s="16" t="str">
        <f>"14292"</f>
        <v>14292</v>
      </c>
      <c r="C294" t="s">
        <v>10</v>
      </c>
      <c r="D294" t="s">
        <v>126</v>
      </c>
      <c r="E294" s="16" t="str">
        <f>"003"</f>
        <v>003</v>
      </c>
      <c r="F294" s="16">
        <v>2005</v>
      </c>
      <c r="G294" s="6">
        <v>9739800</v>
      </c>
      <c r="H294" s="6">
        <v>7038800</v>
      </c>
      <c r="I294" s="6">
        <v>2701000</v>
      </c>
    </row>
    <row r="295" spans="1:9" x14ac:dyDescent="0.25">
      <c r="A295" t="s">
        <v>116</v>
      </c>
      <c r="B295" s="16" t="str">
        <f>"14292"</f>
        <v>14292</v>
      </c>
      <c r="C295" t="s">
        <v>10</v>
      </c>
      <c r="D295" t="s">
        <v>126</v>
      </c>
      <c r="E295" s="16" t="str">
        <f>"005"</f>
        <v>005</v>
      </c>
      <c r="F295" s="16">
        <v>2008</v>
      </c>
      <c r="G295" s="6">
        <v>22814700</v>
      </c>
      <c r="H295" s="6">
        <v>1950300</v>
      </c>
      <c r="I295" s="6">
        <v>20864400</v>
      </c>
    </row>
    <row r="296" spans="1:9" x14ac:dyDescent="0.25">
      <c r="A296" t="s">
        <v>116</v>
      </c>
      <c r="B296" s="16" t="str">
        <f>"14292"</f>
        <v>14292</v>
      </c>
      <c r="C296" t="s">
        <v>10</v>
      </c>
      <c r="D296" t="s">
        <v>126</v>
      </c>
      <c r="E296" s="16" t="str">
        <f>"006"</f>
        <v>006</v>
      </c>
      <c r="F296" s="16">
        <v>2012</v>
      </c>
      <c r="G296" s="6">
        <v>12027100</v>
      </c>
      <c r="H296" s="6">
        <v>5279100</v>
      </c>
      <c r="I296" s="6">
        <v>6748000</v>
      </c>
    </row>
    <row r="297" spans="1:9" x14ac:dyDescent="0.25">
      <c r="A297" t="s">
        <v>116</v>
      </c>
      <c r="B297" s="16" t="str">
        <f>"14292"</f>
        <v>14292</v>
      </c>
      <c r="C297" t="s">
        <v>10</v>
      </c>
      <c r="D297" t="s">
        <v>126</v>
      </c>
      <c r="E297" s="16" t="str">
        <f>"007"</f>
        <v>007</v>
      </c>
      <c r="F297" s="16">
        <v>2017</v>
      </c>
      <c r="G297" s="6">
        <v>3234800</v>
      </c>
      <c r="H297" s="6">
        <v>22100</v>
      </c>
      <c r="I297" s="6">
        <v>3212700</v>
      </c>
    </row>
    <row r="298" spans="1:9" x14ac:dyDescent="0.25">
      <c r="A298" t="s">
        <v>127</v>
      </c>
      <c r="B298" s="16" t="str">
        <f>"15181"</f>
        <v>15181</v>
      </c>
      <c r="C298" t="s">
        <v>11</v>
      </c>
      <c r="D298" t="s">
        <v>128</v>
      </c>
      <c r="E298" s="16" t="str">
        <f>"001"</f>
        <v>001</v>
      </c>
      <c r="F298" s="16">
        <v>2008</v>
      </c>
      <c r="G298" s="6">
        <v>102181800</v>
      </c>
      <c r="H298" s="6">
        <v>44718300</v>
      </c>
      <c r="I298" s="6">
        <v>57463500</v>
      </c>
    </row>
    <row r="299" spans="1:9" x14ac:dyDescent="0.25">
      <c r="A299" t="s">
        <v>127</v>
      </c>
      <c r="B299" s="16" t="str">
        <f>"15181"</f>
        <v>15181</v>
      </c>
      <c r="C299" t="s">
        <v>11</v>
      </c>
      <c r="D299" t="s">
        <v>128</v>
      </c>
      <c r="E299" s="16" t="str">
        <f>"002"</f>
        <v>002</v>
      </c>
      <c r="F299" s="16">
        <v>2018</v>
      </c>
      <c r="G299" s="6">
        <v>14103600</v>
      </c>
      <c r="H299" s="6">
        <v>9649500</v>
      </c>
      <c r="I299" s="6">
        <v>4454100</v>
      </c>
    </row>
    <row r="300" spans="1:9" x14ac:dyDescent="0.25">
      <c r="A300" t="s">
        <v>127</v>
      </c>
      <c r="B300" s="16" t="str">
        <f>"15281"</f>
        <v>15281</v>
      </c>
      <c r="C300" t="s">
        <v>10</v>
      </c>
      <c r="D300" t="s">
        <v>129</v>
      </c>
      <c r="E300" s="16" t="str">
        <f>"001"</f>
        <v>001</v>
      </c>
      <c r="F300" s="16">
        <v>1991</v>
      </c>
      <c r="G300" s="6">
        <v>46586200</v>
      </c>
      <c r="H300" s="6">
        <v>9634200</v>
      </c>
      <c r="I300" s="6">
        <v>36952000</v>
      </c>
    </row>
    <row r="301" spans="1:9" x14ac:dyDescent="0.25">
      <c r="A301" t="s">
        <v>127</v>
      </c>
      <c r="B301" s="16" t="str">
        <f>"15281"</f>
        <v>15281</v>
      </c>
      <c r="C301" t="s">
        <v>10</v>
      </c>
      <c r="D301" t="s">
        <v>129</v>
      </c>
      <c r="E301" s="16" t="str">
        <f>"002"</f>
        <v>002</v>
      </c>
      <c r="F301" s="16">
        <v>1994</v>
      </c>
      <c r="G301" s="6">
        <v>58366600</v>
      </c>
      <c r="H301" s="6">
        <v>16123000</v>
      </c>
      <c r="I301" s="6">
        <v>42243600</v>
      </c>
    </row>
    <row r="302" spans="1:9" x14ac:dyDescent="0.25">
      <c r="A302" t="s">
        <v>127</v>
      </c>
      <c r="B302" s="16" t="str">
        <f>"15281"</f>
        <v>15281</v>
      </c>
      <c r="C302" t="s">
        <v>10</v>
      </c>
      <c r="D302" t="s">
        <v>129</v>
      </c>
      <c r="E302" s="16" t="str">
        <f>"003"</f>
        <v>003</v>
      </c>
      <c r="F302" s="16">
        <v>2008</v>
      </c>
      <c r="G302" s="6">
        <v>3937000</v>
      </c>
      <c r="H302" s="6">
        <v>916900</v>
      </c>
      <c r="I302" s="6">
        <v>3020100</v>
      </c>
    </row>
    <row r="303" spans="1:9" x14ac:dyDescent="0.25">
      <c r="A303" t="s">
        <v>127</v>
      </c>
      <c r="B303" s="16" t="str">
        <f>"15281"</f>
        <v>15281</v>
      </c>
      <c r="C303" t="s">
        <v>10</v>
      </c>
      <c r="D303" t="s">
        <v>129</v>
      </c>
      <c r="E303" s="16" t="str">
        <f>"004"</f>
        <v>004</v>
      </c>
      <c r="F303" s="16">
        <v>2013</v>
      </c>
      <c r="G303" s="6">
        <v>4664400</v>
      </c>
      <c r="H303" s="6">
        <v>415900</v>
      </c>
      <c r="I303" s="6">
        <v>4248500</v>
      </c>
    </row>
    <row r="304" spans="1:9" x14ac:dyDescent="0.25">
      <c r="A304" t="s">
        <v>130</v>
      </c>
      <c r="B304" s="16" t="str">
        <f>"16181"</f>
        <v>16181</v>
      </c>
      <c r="C304" t="s">
        <v>11</v>
      </c>
      <c r="D304" t="s">
        <v>131</v>
      </c>
      <c r="E304" s="16" t="str">
        <f>"002"</f>
        <v>002</v>
      </c>
      <c r="F304" s="16">
        <v>1999</v>
      </c>
      <c r="G304" s="6">
        <v>2840500</v>
      </c>
      <c r="H304" s="6">
        <v>312900</v>
      </c>
      <c r="I304" s="6">
        <v>2527600</v>
      </c>
    </row>
    <row r="305" spans="1:9" x14ac:dyDescent="0.25">
      <c r="A305" t="s">
        <v>130</v>
      </c>
      <c r="B305" s="16" t="str">
        <f>"16181"</f>
        <v>16181</v>
      </c>
      <c r="C305" t="s">
        <v>11</v>
      </c>
      <c r="D305" t="s">
        <v>131</v>
      </c>
      <c r="E305" s="16" t="str">
        <f>"003"</f>
        <v>003</v>
      </c>
      <c r="F305" s="16">
        <v>2011</v>
      </c>
      <c r="G305" s="6">
        <v>1843500</v>
      </c>
      <c r="H305" s="6">
        <v>53900</v>
      </c>
      <c r="I305" s="6">
        <v>1789600</v>
      </c>
    </row>
    <row r="306" spans="1:9" x14ac:dyDescent="0.25">
      <c r="A306" t="s">
        <v>130</v>
      </c>
      <c r="B306" s="16" t="str">
        <f t="shared" ref="B306:B311" si="12">"16281"</f>
        <v>16281</v>
      </c>
      <c r="C306" t="s">
        <v>10</v>
      </c>
      <c r="D306" t="s">
        <v>132</v>
      </c>
      <c r="E306" s="16" t="str">
        <f>"007"</f>
        <v>007</v>
      </c>
      <c r="F306" s="16">
        <v>1996</v>
      </c>
      <c r="G306" s="6">
        <v>25258700</v>
      </c>
      <c r="H306" s="6">
        <v>7399500</v>
      </c>
      <c r="I306" s="6">
        <v>17859200</v>
      </c>
    </row>
    <row r="307" spans="1:9" x14ac:dyDescent="0.25">
      <c r="A307" t="s">
        <v>130</v>
      </c>
      <c r="B307" s="16" t="str">
        <f t="shared" si="12"/>
        <v>16281</v>
      </c>
      <c r="C307" t="s">
        <v>10</v>
      </c>
      <c r="D307" t="s">
        <v>132</v>
      </c>
      <c r="E307" s="16" t="str">
        <f>"009"</f>
        <v>009</v>
      </c>
      <c r="F307" s="16">
        <v>2002</v>
      </c>
      <c r="G307" s="6">
        <v>57974500</v>
      </c>
      <c r="H307" s="6">
        <v>8175600</v>
      </c>
      <c r="I307" s="6">
        <v>49798900</v>
      </c>
    </row>
    <row r="308" spans="1:9" x14ac:dyDescent="0.25">
      <c r="A308" t="s">
        <v>130</v>
      </c>
      <c r="B308" s="16" t="str">
        <f t="shared" si="12"/>
        <v>16281</v>
      </c>
      <c r="C308" t="s">
        <v>10</v>
      </c>
      <c r="D308" t="s">
        <v>132</v>
      </c>
      <c r="E308" s="16" t="str">
        <f>"011"</f>
        <v>011</v>
      </c>
      <c r="F308" s="16">
        <v>2008</v>
      </c>
      <c r="G308" s="6">
        <v>10985600</v>
      </c>
      <c r="H308" s="6">
        <v>1937000</v>
      </c>
      <c r="I308" s="6">
        <v>9048600</v>
      </c>
    </row>
    <row r="309" spans="1:9" x14ac:dyDescent="0.25">
      <c r="A309" t="s">
        <v>130</v>
      </c>
      <c r="B309" s="16" t="str">
        <f t="shared" si="12"/>
        <v>16281</v>
      </c>
      <c r="C309" t="s">
        <v>10</v>
      </c>
      <c r="D309" t="s">
        <v>132</v>
      </c>
      <c r="E309" s="16" t="str">
        <f>"013"</f>
        <v>013</v>
      </c>
      <c r="F309" s="16">
        <v>2014</v>
      </c>
      <c r="G309" s="6">
        <v>15273700</v>
      </c>
      <c r="H309" s="6">
        <v>2400400</v>
      </c>
      <c r="I309" s="6">
        <v>12873300</v>
      </c>
    </row>
    <row r="310" spans="1:9" x14ac:dyDescent="0.25">
      <c r="A310" t="s">
        <v>130</v>
      </c>
      <c r="B310" s="16" t="str">
        <f t="shared" si="12"/>
        <v>16281</v>
      </c>
      <c r="C310" t="s">
        <v>10</v>
      </c>
      <c r="D310" t="s">
        <v>132</v>
      </c>
      <c r="E310" s="16" t="str">
        <f>"014"</f>
        <v>014</v>
      </c>
      <c r="F310" s="16">
        <v>2019</v>
      </c>
      <c r="G310" s="6">
        <v>468100</v>
      </c>
      <c r="H310" s="6">
        <v>147700</v>
      </c>
      <c r="I310" s="6">
        <v>320400</v>
      </c>
    </row>
    <row r="311" spans="1:9" x14ac:dyDescent="0.25">
      <c r="A311" t="s">
        <v>130</v>
      </c>
      <c r="B311" s="16" t="str">
        <f t="shared" si="12"/>
        <v>16281</v>
      </c>
      <c r="C311" t="s">
        <v>10</v>
      </c>
      <c r="D311" t="s">
        <v>132</v>
      </c>
      <c r="E311" s="16" t="str">
        <f>"015"</f>
        <v>015</v>
      </c>
      <c r="F311" s="16">
        <v>2020</v>
      </c>
      <c r="G311" s="6">
        <v>15833100</v>
      </c>
      <c r="H311" s="6">
        <v>377900</v>
      </c>
      <c r="I311" s="6">
        <v>15455200</v>
      </c>
    </row>
    <row r="312" spans="1:9" x14ac:dyDescent="0.25">
      <c r="A312" t="s">
        <v>133</v>
      </c>
      <c r="B312" s="16" t="str">
        <f>"17106"</f>
        <v>17106</v>
      </c>
      <c r="C312" t="s">
        <v>11</v>
      </c>
      <c r="D312" t="s">
        <v>134</v>
      </c>
      <c r="E312" s="16" t="str">
        <f>"002"</f>
        <v>002</v>
      </c>
      <c r="F312" s="16">
        <v>1996</v>
      </c>
      <c r="G312" s="6">
        <v>6761500</v>
      </c>
      <c r="H312" s="6">
        <v>334900</v>
      </c>
      <c r="I312" s="6">
        <v>6426600</v>
      </c>
    </row>
    <row r="313" spans="1:9" x14ac:dyDescent="0.25">
      <c r="A313" t="s">
        <v>133</v>
      </c>
      <c r="B313" s="16" t="str">
        <f>"17106"</f>
        <v>17106</v>
      </c>
      <c r="C313" t="s">
        <v>11</v>
      </c>
      <c r="D313" t="s">
        <v>134</v>
      </c>
      <c r="E313" s="16" t="str">
        <f>"003"</f>
        <v>003</v>
      </c>
      <c r="F313" s="16">
        <v>2007</v>
      </c>
      <c r="G313" s="6">
        <v>1634100</v>
      </c>
      <c r="H313" s="6">
        <v>1520500</v>
      </c>
      <c r="I313" s="6">
        <v>113600</v>
      </c>
    </row>
    <row r="314" spans="1:9" x14ac:dyDescent="0.25">
      <c r="A314" t="s">
        <v>133</v>
      </c>
      <c r="B314" s="16" t="str">
        <f>"17111"</f>
        <v>17111</v>
      </c>
      <c r="C314" t="s">
        <v>11</v>
      </c>
      <c r="D314" t="s">
        <v>135</v>
      </c>
      <c r="E314" s="16" t="str">
        <f>"003"</f>
        <v>003</v>
      </c>
      <c r="F314" s="16">
        <v>2002</v>
      </c>
      <c r="G314" s="6">
        <v>8648700</v>
      </c>
      <c r="H314" s="6">
        <v>4436900</v>
      </c>
      <c r="I314" s="6">
        <v>4211800</v>
      </c>
    </row>
    <row r="315" spans="1:9" x14ac:dyDescent="0.25">
      <c r="A315" t="s">
        <v>133</v>
      </c>
      <c r="B315" s="16" t="str">
        <f>"17111"</f>
        <v>17111</v>
      </c>
      <c r="C315" t="s">
        <v>11</v>
      </c>
      <c r="D315" t="s">
        <v>135</v>
      </c>
      <c r="E315" s="16" t="str">
        <f>"004"</f>
        <v>004</v>
      </c>
      <c r="F315" s="16">
        <v>2006</v>
      </c>
      <c r="G315" s="6">
        <v>4161500</v>
      </c>
      <c r="H315" s="6">
        <v>1876600</v>
      </c>
      <c r="I315" s="6">
        <v>2284900</v>
      </c>
    </row>
    <row r="316" spans="1:9" x14ac:dyDescent="0.25">
      <c r="A316" t="s">
        <v>133</v>
      </c>
      <c r="B316" s="16" t="str">
        <f>"17121"</f>
        <v>17121</v>
      </c>
      <c r="C316" t="s">
        <v>11</v>
      </c>
      <c r="D316" t="s">
        <v>136</v>
      </c>
      <c r="E316" s="16" t="str">
        <f>"001"</f>
        <v>001</v>
      </c>
      <c r="F316" s="16">
        <v>2007</v>
      </c>
      <c r="G316" s="6">
        <v>4504700</v>
      </c>
      <c r="H316" s="6">
        <v>2499700</v>
      </c>
      <c r="I316" s="6">
        <v>2005000</v>
      </c>
    </row>
    <row r="317" spans="1:9" x14ac:dyDescent="0.25">
      <c r="A317" t="s">
        <v>133</v>
      </c>
      <c r="B317" s="16" t="str">
        <f>"17141"</f>
        <v>17141</v>
      </c>
      <c r="C317" t="s">
        <v>11</v>
      </c>
      <c r="D317" t="s">
        <v>137</v>
      </c>
      <c r="E317" s="16" t="str">
        <f>"003"</f>
        <v>003</v>
      </c>
      <c r="F317" s="16">
        <v>2005</v>
      </c>
      <c r="G317" s="6">
        <v>2952900</v>
      </c>
      <c r="H317" s="6">
        <v>201200</v>
      </c>
      <c r="I317" s="6">
        <v>2751700</v>
      </c>
    </row>
    <row r="318" spans="1:9" x14ac:dyDescent="0.25">
      <c r="A318" t="s">
        <v>133</v>
      </c>
      <c r="B318" s="16" t="str">
        <f t="shared" ref="B318:B323" si="13">"17251"</f>
        <v>17251</v>
      </c>
      <c r="C318" t="s">
        <v>10</v>
      </c>
      <c r="D318" t="s">
        <v>138</v>
      </c>
      <c r="E318" s="16" t="str">
        <f>"011"</f>
        <v>011</v>
      </c>
      <c r="F318" s="16">
        <v>2001</v>
      </c>
      <c r="G318" s="6">
        <v>88007500</v>
      </c>
      <c r="H318" s="6">
        <v>6998100</v>
      </c>
      <c r="I318" s="6">
        <v>81009400</v>
      </c>
    </row>
    <row r="319" spans="1:9" x14ac:dyDescent="0.25">
      <c r="A319" t="s">
        <v>133</v>
      </c>
      <c r="B319" s="16" t="str">
        <f t="shared" si="13"/>
        <v>17251</v>
      </c>
      <c r="C319" t="s">
        <v>10</v>
      </c>
      <c r="D319" t="s">
        <v>138</v>
      </c>
      <c r="E319" s="16" t="str">
        <f>"012"</f>
        <v>012</v>
      </c>
      <c r="F319" s="16">
        <v>2003</v>
      </c>
      <c r="G319" s="6">
        <v>26231700</v>
      </c>
      <c r="H319" s="6">
        <v>1671200</v>
      </c>
      <c r="I319" s="6">
        <v>24560500</v>
      </c>
    </row>
    <row r="320" spans="1:9" x14ac:dyDescent="0.25">
      <c r="A320" t="s">
        <v>133</v>
      </c>
      <c r="B320" s="16" t="str">
        <f t="shared" si="13"/>
        <v>17251</v>
      </c>
      <c r="C320" t="s">
        <v>10</v>
      </c>
      <c r="D320" t="s">
        <v>138</v>
      </c>
      <c r="E320" s="16" t="str">
        <f>"013"</f>
        <v>013</v>
      </c>
      <c r="F320" s="16">
        <v>2004</v>
      </c>
      <c r="G320" s="6">
        <v>3756400</v>
      </c>
      <c r="H320" s="6">
        <v>161900</v>
      </c>
      <c r="I320" s="6">
        <v>3594500</v>
      </c>
    </row>
    <row r="321" spans="1:9" x14ac:dyDescent="0.25">
      <c r="A321" t="s">
        <v>133</v>
      </c>
      <c r="B321" s="16" t="str">
        <f t="shared" si="13"/>
        <v>17251</v>
      </c>
      <c r="C321" t="s">
        <v>10</v>
      </c>
      <c r="D321" t="s">
        <v>138</v>
      </c>
      <c r="E321" s="16" t="str">
        <f>"014"</f>
        <v>014</v>
      </c>
      <c r="F321" s="16">
        <v>2004</v>
      </c>
      <c r="G321" s="6">
        <v>14213100</v>
      </c>
      <c r="H321" s="6">
        <v>7958100</v>
      </c>
      <c r="I321" s="6">
        <v>6255000</v>
      </c>
    </row>
    <row r="322" spans="1:9" x14ac:dyDescent="0.25">
      <c r="A322" t="s">
        <v>133</v>
      </c>
      <c r="B322" s="16" t="str">
        <f t="shared" si="13"/>
        <v>17251</v>
      </c>
      <c r="C322" t="s">
        <v>10</v>
      </c>
      <c r="D322" t="s">
        <v>138</v>
      </c>
      <c r="E322" s="16" t="str">
        <f>"015"</f>
        <v>015</v>
      </c>
      <c r="F322" s="16">
        <v>2005</v>
      </c>
      <c r="G322" s="6">
        <v>41106900</v>
      </c>
      <c r="H322" s="6">
        <v>22246100</v>
      </c>
      <c r="I322" s="6">
        <v>18860800</v>
      </c>
    </row>
    <row r="323" spans="1:9" x14ac:dyDescent="0.25">
      <c r="A323" t="s">
        <v>133</v>
      </c>
      <c r="B323" s="16" t="str">
        <f t="shared" si="13"/>
        <v>17251</v>
      </c>
      <c r="C323" t="s">
        <v>10</v>
      </c>
      <c r="D323" t="s">
        <v>138</v>
      </c>
      <c r="E323" s="16" t="str">
        <f>"016"</f>
        <v>016</v>
      </c>
      <c r="F323" s="16">
        <v>2019</v>
      </c>
      <c r="G323" s="6">
        <v>9241200</v>
      </c>
      <c r="H323" s="6">
        <v>560100</v>
      </c>
      <c r="I323" s="6">
        <v>8681100</v>
      </c>
    </row>
    <row r="324" spans="1:9" x14ac:dyDescent="0.25">
      <c r="A324" t="s">
        <v>133</v>
      </c>
      <c r="B324" s="16" t="str">
        <f>"17176"</f>
        <v>17176</v>
      </c>
      <c r="C324" t="s">
        <v>11</v>
      </c>
      <c r="D324" t="s">
        <v>139</v>
      </c>
      <c r="E324" s="16" t="str">
        <f>"001"</f>
        <v>001</v>
      </c>
      <c r="F324" s="16">
        <v>2006</v>
      </c>
      <c r="G324" s="6">
        <v>2805800</v>
      </c>
      <c r="H324" s="6">
        <v>1614000</v>
      </c>
      <c r="I324" s="6">
        <v>1191800</v>
      </c>
    </row>
    <row r="325" spans="1:9" x14ac:dyDescent="0.25">
      <c r="A325" t="s">
        <v>63</v>
      </c>
      <c r="B325" s="16" t="str">
        <f>"18201"</f>
        <v>18201</v>
      </c>
      <c r="C325" t="s">
        <v>10</v>
      </c>
      <c r="D325" t="s">
        <v>140</v>
      </c>
      <c r="E325" s="16" t="str">
        <f>"002"</f>
        <v>002</v>
      </c>
      <c r="F325" s="16">
        <v>2000</v>
      </c>
      <c r="G325" s="6">
        <v>14267100</v>
      </c>
      <c r="H325" s="6">
        <v>1194900</v>
      </c>
      <c r="I325" s="6">
        <v>13072200</v>
      </c>
    </row>
    <row r="326" spans="1:9" x14ac:dyDescent="0.25">
      <c r="A326" t="s">
        <v>63</v>
      </c>
      <c r="B326" s="16" t="str">
        <f>"18201"</f>
        <v>18201</v>
      </c>
      <c r="C326" t="s">
        <v>10</v>
      </c>
      <c r="D326" t="s">
        <v>140</v>
      </c>
      <c r="E326" s="16" t="str">
        <f>"003"</f>
        <v>003</v>
      </c>
      <c r="F326" s="16">
        <v>2001</v>
      </c>
      <c r="G326" s="6">
        <v>258680900</v>
      </c>
      <c r="H326" s="6">
        <v>4837300</v>
      </c>
      <c r="I326" s="6">
        <v>253843600</v>
      </c>
    </row>
    <row r="327" spans="1:9" x14ac:dyDescent="0.25">
      <c r="A327" t="s">
        <v>63</v>
      </c>
      <c r="B327" s="16" t="str">
        <f>"18201"</f>
        <v>18201</v>
      </c>
      <c r="C327" t="s">
        <v>10</v>
      </c>
      <c r="D327" t="s">
        <v>140</v>
      </c>
      <c r="E327" s="16" t="str">
        <f>"004"</f>
        <v>004</v>
      </c>
      <c r="F327" s="16">
        <v>2008</v>
      </c>
      <c r="G327" s="6">
        <v>28863900</v>
      </c>
      <c r="H327" s="6">
        <v>7691500</v>
      </c>
      <c r="I327" s="6">
        <v>21172400</v>
      </c>
    </row>
    <row r="328" spans="1:9" x14ac:dyDescent="0.25">
      <c r="A328" t="s">
        <v>63</v>
      </c>
      <c r="B328" s="16" t="str">
        <f>"18202"</f>
        <v>18202</v>
      </c>
      <c r="C328" t="s">
        <v>10</v>
      </c>
      <c r="D328" t="s">
        <v>141</v>
      </c>
      <c r="E328" s="16" t="str">
        <f>"004"</f>
        <v>004</v>
      </c>
      <c r="F328" s="16">
        <v>2005</v>
      </c>
      <c r="G328" s="6">
        <v>19708400</v>
      </c>
      <c r="H328" s="6">
        <v>3955700</v>
      </c>
      <c r="I328" s="6">
        <v>15752700</v>
      </c>
    </row>
    <row r="329" spans="1:9" x14ac:dyDescent="0.25">
      <c r="A329" t="s">
        <v>63</v>
      </c>
      <c r="B329" s="16" t="str">
        <f t="shared" ref="B329:B335" si="14">"18221"</f>
        <v>18221</v>
      </c>
      <c r="C329" t="s">
        <v>10</v>
      </c>
      <c r="D329" t="s">
        <v>63</v>
      </c>
      <c r="E329" s="16" t="str">
        <f>"007"</f>
        <v>007</v>
      </c>
      <c r="F329" s="16">
        <v>1997</v>
      </c>
      <c r="G329" s="6">
        <v>6547400</v>
      </c>
      <c r="H329" s="6">
        <v>329100</v>
      </c>
      <c r="I329" s="6">
        <v>6218300</v>
      </c>
    </row>
    <row r="330" spans="1:9" x14ac:dyDescent="0.25">
      <c r="A330" t="s">
        <v>63</v>
      </c>
      <c r="B330" s="16" t="str">
        <f t="shared" si="14"/>
        <v>18221</v>
      </c>
      <c r="C330" t="s">
        <v>10</v>
      </c>
      <c r="D330" t="s">
        <v>63</v>
      </c>
      <c r="E330" s="16" t="str">
        <f>"008"</f>
        <v>008</v>
      </c>
      <c r="F330" s="16">
        <v>2002</v>
      </c>
      <c r="G330" s="6">
        <v>78206700</v>
      </c>
      <c r="H330" s="6">
        <v>12418400</v>
      </c>
      <c r="I330" s="6">
        <v>65788300</v>
      </c>
    </row>
    <row r="331" spans="1:9" x14ac:dyDescent="0.25">
      <c r="A331" t="s">
        <v>63</v>
      </c>
      <c r="B331" s="16" t="str">
        <f t="shared" si="14"/>
        <v>18221</v>
      </c>
      <c r="C331" t="s">
        <v>10</v>
      </c>
      <c r="D331" t="s">
        <v>63</v>
      </c>
      <c r="E331" s="16" t="str">
        <f>"009"</f>
        <v>009</v>
      </c>
      <c r="F331" s="16">
        <v>2008</v>
      </c>
      <c r="G331" s="6">
        <v>31241200</v>
      </c>
      <c r="H331" s="6">
        <v>13594700</v>
      </c>
      <c r="I331" s="6">
        <v>17646500</v>
      </c>
    </row>
    <row r="332" spans="1:9" x14ac:dyDescent="0.25">
      <c r="A332" t="s">
        <v>63</v>
      </c>
      <c r="B332" s="16" t="str">
        <f t="shared" si="14"/>
        <v>18221</v>
      </c>
      <c r="C332" t="s">
        <v>10</v>
      </c>
      <c r="D332" t="s">
        <v>63</v>
      </c>
      <c r="E332" s="16" t="str">
        <f>"010"</f>
        <v>010</v>
      </c>
      <c r="F332" s="16">
        <v>2015</v>
      </c>
      <c r="G332" s="6">
        <v>39756300</v>
      </c>
      <c r="H332" s="6">
        <v>9794200</v>
      </c>
      <c r="I332" s="6">
        <v>29962100</v>
      </c>
    </row>
    <row r="333" spans="1:9" x14ac:dyDescent="0.25">
      <c r="A333" t="s">
        <v>63</v>
      </c>
      <c r="B333" s="16" t="str">
        <f t="shared" si="14"/>
        <v>18221</v>
      </c>
      <c r="C333" t="s">
        <v>10</v>
      </c>
      <c r="D333" t="s">
        <v>63</v>
      </c>
      <c r="E333" s="16" t="str">
        <f>"011"</f>
        <v>011</v>
      </c>
      <c r="F333" s="16">
        <v>2015</v>
      </c>
      <c r="G333" s="6">
        <v>34062300</v>
      </c>
      <c r="H333" s="6">
        <v>16625200</v>
      </c>
      <c r="I333" s="6">
        <v>17437100</v>
      </c>
    </row>
    <row r="334" spans="1:9" x14ac:dyDescent="0.25">
      <c r="A334" t="s">
        <v>63</v>
      </c>
      <c r="B334" s="16" t="str">
        <f t="shared" si="14"/>
        <v>18221</v>
      </c>
      <c r="C334" t="s">
        <v>10</v>
      </c>
      <c r="D334" t="s">
        <v>63</v>
      </c>
      <c r="E334" s="16" t="str">
        <f>"012"</f>
        <v>012</v>
      </c>
      <c r="F334" s="16">
        <v>2017</v>
      </c>
      <c r="G334" s="6">
        <v>25050100</v>
      </c>
      <c r="H334" s="6">
        <v>22281500</v>
      </c>
      <c r="I334" s="6">
        <v>2768600</v>
      </c>
    </row>
    <row r="335" spans="1:9" x14ac:dyDescent="0.25">
      <c r="A335" t="s">
        <v>63</v>
      </c>
      <c r="B335" s="16" t="str">
        <f t="shared" si="14"/>
        <v>18221</v>
      </c>
      <c r="C335" t="s">
        <v>10</v>
      </c>
      <c r="D335" t="s">
        <v>63</v>
      </c>
      <c r="E335" s="16" t="str">
        <f>"013"</f>
        <v>013</v>
      </c>
      <c r="F335" s="16">
        <v>2019</v>
      </c>
      <c r="G335" s="6">
        <v>14423200</v>
      </c>
      <c r="H335" s="6">
        <v>3028900</v>
      </c>
      <c r="I335" s="6">
        <v>11394300</v>
      </c>
    </row>
    <row r="336" spans="1:9" x14ac:dyDescent="0.25">
      <c r="A336" t="s">
        <v>63</v>
      </c>
      <c r="B336" s="16" t="str">
        <f>"18127"</f>
        <v>18127</v>
      </c>
      <c r="C336" t="s">
        <v>11</v>
      </c>
      <c r="D336" t="s">
        <v>142</v>
      </c>
      <c r="E336" s="16" t="str">
        <f>"001"</f>
        <v>001</v>
      </c>
      <c r="F336" s="16">
        <v>2000</v>
      </c>
      <c r="G336" s="6">
        <v>1502900</v>
      </c>
      <c r="H336" s="6">
        <v>72800</v>
      </c>
      <c r="I336" s="6">
        <v>1430100</v>
      </c>
    </row>
    <row r="337" spans="1:9" x14ac:dyDescent="0.25">
      <c r="A337" t="s">
        <v>63</v>
      </c>
      <c r="B337" s="16" t="str">
        <f>"18127"</f>
        <v>18127</v>
      </c>
      <c r="C337" t="s">
        <v>11</v>
      </c>
      <c r="D337" t="s">
        <v>142</v>
      </c>
      <c r="E337" s="16" t="str">
        <f>"002"</f>
        <v>002</v>
      </c>
      <c r="F337" s="16">
        <v>2013</v>
      </c>
      <c r="G337" s="6">
        <v>7555500</v>
      </c>
      <c r="H337" s="6">
        <v>1613300</v>
      </c>
      <c r="I337" s="6">
        <v>5942200</v>
      </c>
    </row>
    <row r="338" spans="1:9" x14ac:dyDescent="0.25">
      <c r="A338" t="s">
        <v>143</v>
      </c>
      <c r="B338" s="16" t="str">
        <f>"19010"</f>
        <v>19010</v>
      </c>
      <c r="C338" t="s">
        <v>13</v>
      </c>
      <c r="D338" t="s">
        <v>143</v>
      </c>
      <c r="E338" s="16" t="str">
        <f>"001R"</f>
        <v>001R</v>
      </c>
      <c r="F338" s="16">
        <v>2013</v>
      </c>
      <c r="G338" s="6">
        <v>17136500</v>
      </c>
      <c r="H338" s="6">
        <v>11400400</v>
      </c>
      <c r="I338" s="6">
        <v>5736100</v>
      </c>
    </row>
    <row r="339" spans="1:9" x14ac:dyDescent="0.25">
      <c r="A339" t="s">
        <v>144</v>
      </c>
      <c r="B339" s="16" t="str">
        <f>"20111"</f>
        <v>20111</v>
      </c>
      <c r="C339" t="s">
        <v>11</v>
      </c>
      <c r="D339" t="s">
        <v>145</v>
      </c>
      <c r="E339" s="16" t="str">
        <f>"001"</f>
        <v>001</v>
      </c>
      <c r="F339" s="16">
        <v>2011</v>
      </c>
      <c r="G339" s="6">
        <v>3929400</v>
      </c>
      <c r="H339" s="6">
        <v>1763300</v>
      </c>
      <c r="I339" s="6">
        <v>2166100</v>
      </c>
    </row>
    <row r="340" spans="1:9" x14ac:dyDescent="0.25">
      <c r="A340" t="s">
        <v>144</v>
      </c>
      <c r="B340" s="16" t="str">
        <f>"20126"</f>
        <v>20126</v>
      </c>
      <c r="C340" t="s">
        <v>11</v>
      </c>
      <c r="D340" t="s">
        <v>146</v>
      </c>
      <c r="E340" s="16" t="str">
        <f>"001"</f>
        <v>001</v>
      </c>
      <c r="F340" s="16">
        <v>1997</v>
      </c>
      <c r="G340" s="6">
        <v>5079700</v>
      </c>
      <c r="H340" s="6">
        <v>751400</v>
      </c>
      <c r="I340" s="6">
        <v>4328300</v>
      </c>
    </row>
    <row r="341" spans="1:9" x14ac:dyDescent="0.25">
      <c r="A341" t="s">
        <v>144</v>
      </c>
      <c r="B341" s="16" t="str">
        <f t="shared" ref="B341:B353" si="15">"20226"</f>
        <v>20226</v>
      </c>
      <c r="C341" t="s">
        <v>10</v>
      </c>
      <c r="D341" t="s">
        <v>144</v>
      </c>
      <c r="E341" s="16" t="str">
        <f>"010"</f>
        <v>010</v>
      </c>
      <c r="F341" s="16">
        <v>2004</v>
      </c>
      <c r="G341" s="6">
        <v>74799800</v>
      </c>
      <c r="H341" s="6">
        <v>2030600</v>
      </c>
      <c r="I341" s="6">
        <v>72769200</v>
      </c>
    </row>
    <row r="342" spans="1:9" x14ac:dyDescent="0.25">
      <c r="A342" t="s">
        <v>144</v>
      </c>
      <c r="B342" s="16" t="str">
        <f t="shared" si="15"/>
        <v>20226</v>
      </c>
      <c r="C342" t="s">
        <v>10</v>
      </c>
      <c r="D342" t="s">
        <v>144</v>
      </c>
      <c r="E342" s="16" t="str">
        <f>"012"</f>
        <v>012</v>
      </c>
      <c r="F342" s="16">
        <v>2008</v>
      </c>
      <c r="G342" s="6">
        <v>2602100</v>
      </c>
      <c r="H342" s="6">
        <v>0</v>
      </c>
      <c r="I342" s="6">
        <v>2602100</v>
      </c>
    </row>
    <row r="343" spans="1:9" x14ac:dyDescent="0.25">
      <c r="A343" t="s">
        <v>144</v>
      </c>
      <c r="B343" s="16" t="str">
        <f t="shared" si="15"/>
        <v>20226</v>
      </c>
      <c r="C343" t="s">
        <v>10</v>
      </c>
      <c r="D343" t="s">
        <v>144</v>
      </c>
      <c r="E343" s="16" t="str">
        <f>"013"</f>
        <v>013</v>
      </c>
      <c r="F343" s="16">
        <v>2010</v>
      </c>
      <c r="G343" s="6">
        <v>6843800</v>
      </c>
      <c r="H343" s="6">
        <v>2732500</v>
      </c>
      <c r="I343" s="6">
        <v>4111300</v>
      </c>
    </row>
    <row r="344" spans="1:9" x14ac:dyDescent="0.25">
      <c r="A344" t="s">
        <v>144</v>
      </c>
      <c r="B344" s="16" t="str">
        <f t="shared" si="15"/>
        <v>20226</v>
      </c>
      <c r="C344" t="s">
        <v>10</v>
      </c>
      <c r="D344" t="s">
        <v>144</v>
      </c>
      <c r="E344" s="16" t="str">
        <f>"014"</f>
        <v>014</v>
      </c>
      <c r="F344" s="16">
        <v>2011</v>
      </c>
      <c r="G344" s="6">
        <v>7895200</v>
      </c>
      <c r="H344" s="6">
        <v>529000</v>
      </c>
      <c r="I344" s="6">
        <v>7366200</v>
      </c>
    </row>
    <row r="345" spans="1:9" x14ac:dyDescent="0.25">
      <c r="A345" t="s">
        <v>144</v>
      </c>
      <c r="B345" s="16" t="str">
        <f t="shared" si="15"/>
        <v>20226</v>
      </c>
      <c r="C345" t="s">
        <v>10</v>
      </c>
      <c r="D345" t="s">
        <v>144</v>
      </c>
      <c r="E345" s="16" t="str">
        <f>"015"</f>
        <v>015</v>
      </c>
      <c r="F345" s="16">
        <v>2011</v>
      </c>
      <c r="G345" s="6">
        <v>908900</v>
      </c>
      <c r="H345" s="6">
        <v>196200</v>
      </c>
      <c r="I345" s="6">
        <v>712700</v>
      </c>
    </row>
    <row r="346" spans="1:9" x14ac:dyDescent="0.25">
      <c r="A346" t="s">
        <v>144</v>
      </c>
      <c r="B346" s="16" t="str">
        <f t="shared" si="15"/>
        <v>20226</v>
      </c>
      <c r="C346" t="s">
        <v>10</v>
      </c>
      <c r="D346" t="s">
        <v>144</v>
      </c>
      <c r="E346" s="16" t="str">
        <f>"017"</f>
        <v>017</v>
      </c>
      <c r="F346" s="16">
        <v>2012</v>
      </c>
      <c r="G346" s="6">
        <v>7405600</v>
      </c>
      <c r="H346" s="6">
        <v>1385700</v>
      </c>
      <c r="I346" s="6">
        <v>6019900</v>
      </c>
    </row>
    <row r="347" spans="1:9" x14ac:dyDescent="0.25">
      <c r="A347" t="s">
        <v>144</v>
      </c>
      <c r="B347" s="16" t="str">
        <f t="shared" si="15"/>
        <v>20226</v>
      </c>
      <c r="C347" t="s">
        <v>10</v>
      </c>
      <c r="D347" t="s">
        <v>144</v>
      </c>
      <c r="E347" s="16" t="str">
        <f>"018"</f>
        <v>018</v>
      </c>
      <c r="F347" s="16">
        <v>2014</v>
      </c>
      <c r="G347" s="6">
        <v>14020800</v>
      </c>
      <c r="H347" s="6">
        <v>3789200</v>
      </c>
      <c r="I347" s="6">
        <v>10231600</v>
      </c>
    </row>
    <row r="348" spans="1:9" x14ac:dyDescent="0.25">
      <c r="A348" t="s">
        <v>144</v>
      </c>
      <c r="B348" s="16" t="str">
        <f t="shared" si="15"/>
        <v>20226</v>
      </c>
      <c r="C348" t="s">
        <v>10</v>
      </c>
      <c r="D348" t="s">
        <v>144</v>
      </c>
      <c r="E348" s="16" t="str">
        <f>"019"</f>
        <v>019</v>
      </c>
      <c r="F348" s="16">
        <v>2015</v>
      </c>
      <c r="G348" s="6">
        <v>1733000</v>
      </c>
      <c r="H348" s="6">
        <v>759800</v>
      </c>
      <c r="I348" s="6">
        <v>973200</v>
      </c>
    </row>
    <row r="349" spans="1:9" x14ac:dyDescent="0.25">
      <c r="A349" t="s">
        <v>144</v>
      </c>
      <c r="B349" s="16" t="str">
        <f t="shared" si="15"/>
        <v>20226</v>
      </c>
      <c r="C349" t="s">
        <v>10</v>
      </c>
      <c r="D349" t="s">
        <v>144</v>
      </c>
      <c r="E349" s="16" t="str">
        <f>"020"</f>
        <v>020</v>
      </c>
      <c r="F349" s="16">
        <v>2017</v>
      </c>
      <c r="G349" s="6">
        <v>927300</v>
      </c>
      <c r="H349" s="6">
        <v>0</v>
      </c>
      <c r="I349" s="6">
        <v>927300</v>
      </c>
    </row>
    <row r="350" spans="1:9" x14ac:dyDescent="0.25">
      <c r="A350" t="s">
        <v>144</v>
      </c>
      <c r="B350" s="16" t="str">
        <f t="shared" si="15"/>
        <v>20226</v>
      </c>
      <c r="C350" t="s">
        <v>10</v>
      </c>
      <c r="D350" t="s">
        <v>144</v>
      </c>
      <c r="E350" s="16" t="str">
        <f>"021"</f>
        <v>021</v>
      </c>
      <c r="F350" s="16">
        <v>2017</v>
      </c>
      <c r="G350" s="6">
        <v>1946800</v>
      </c>
      <c r="H350" s="6">
        <v>2156400</v>
      </c>
      <c r="I350" s="6">
        <v>-209600</v>
      </c>
    </row>
    <row r="351" spans="1:9" x14ac:dyDescent="0.25">
      <c r="A351" t="s">
        <v>144</v>
      </c>
      <c r="B351" s="16" t="str">
        <f t="shared" si="15"/>
        <v>20226</v>
      </c>
      <c r="C351" t="s">
        <v>10</v>
      </c>
      <c r="D351" t="s">
        <v>144</v>
      </c>
      <c r="E351" s="16" t="str">
        <f>"022"</f>
        <v>022</v>
      </c>
      <c r="F351" s="16">
        <v>2017</v>
      </c>
      <c r="G351" s="6">
        <v>12745400</v>
      </c>
      <c r="H351" s="6">
        <v>1517700</v>
      </c>
      <c r="I351" s="6">
        <v>11227700</v>
      </c>
    </row>
    <row r="352" spans="1:9" x14ac:dyDescent="0.25">
      <c r="A352" t="s">
        <v>144</v>
      </c>
      <c r="B352" s="16" t="str">
        <f t="shared" si="15"/>
        <v>20226</v>
      </c>
      <c r="C352" t="s">
        <v>10</v>
      </c>
      <c r="D352" t="s">
        <v>144</v>
      </c>
      <c r="E352" s="16" t="str">
        <f>"023"</f>
        <v>023</v>
      </c>
      <c r="F352" s="16">
        <v>2018</v>
      </c>
      <c r="G352" s="6">
        <v>7583200</v>
      </c>
      <c r="H352" s="6">
        <v>5248100</v>
      </c>
      <c r="I352" s="6">
        <v>2335100</v>
      </c>
    </row>
    <row r="353" spans="1:9" x14ac:dyDescent="0.25">
      <c r="A353" t="s">
        <v>144</v>
      </c>
      <c r="B353" s="16" t="str">
        <f t="shared" si="15"/>
        <v>20226</v>
      </c>
      <c r="C353" t="s">
        <v>10</v>
      </c>
      <c r="D353" t="s">
        <v>144</v>
      </c>
      <c r="E353" s="16" t="str">
        <f>"024"</f>
        <v>024</v>
      </c>
      <c r="F353" s="16">
        <v>2018</v>
      </c>
      <c r="G353" s="6">
        <v>14474600</v>
      </c>
      <c r="H353" s="6">
        <v>411500</v>
      </c>
      <c r="I353" s="6">
        <v>14063100</v>
      </c>
    </row>
    <row r="354" spans="1:9" x14ac:dyDescent="0.25">
      <c r="A354" t="s">
        <v>144</v>
      </c>
      <c r="B354" s="16" t="str">
        <f>"20161"</f>
        <v>20161</v>
      </c>
      <c r="C354" t="s">
        <v>11</v>
      </c>
      <c r="D354" t="s">
        <v>147</v>
      </c>
      <c r="E354" s="16" t="str">
        <f>"001"</f>
        <v>001</v>
      </c>
      <c r="F354" s="16">
        <v>1999</v>
      </c>
      <c r="G354" s="6">
        <v>25805000</v>
      </c>
      <c r="H354" s="6">
        <v>200500</v>
      </c>
      <c r="I354" s="6">
        <v>25604500</v>
      </c>
    </row>
    <row r="355" spans="1:9" x14ac:dyDescent="0.25">
      <c r="A355" t="s">
        <v>144</v>
      </c>
      <c r="B355" s="16" t="str">
        <f>"20161"</f>
        <v>20161</v>
      </c>
      <c r="C355" t="s">
        <v>11</v>
      </c>
      <c r="D355" t="s">
        <v>147</v>
      </c>
      <c r="E355" s="16" t="str">
        <f>"002"</f>
        <v>002</v>
      </c>
      <c r="F355" s="16">
        <v>2008</v>
      </c>
      <c r="G355" s="6">
        <v>4348500</v>
      </c>
      <c r="H355" s="6">
        <v>4175100</v>
      </c>
      <c r="I355" s="6">
        <v>173400</v>
      </c>
    </row>
    <row r="356" spans="1:9" x14ac:dyDescent="0.25">
      <c r="A356" t="s">
        <v>144</v>
      </c>
      <c r="B356" s="16" t="str">
        <f>"20165"</f>
        <v>20165</v>
      </c>
      <c r="C356" t="s">
        <v>11</v>
      </c>
      <c r="D356" t="s">
        <v>148</v>
      </c>
      <c r="E356" s="16" t="str">
        <f>"001"</f>
        <v>001</v>
      </c>
      <c r="F356" s="16">
        <v>1995</v>
      </c>
      <c r="G356" s="6">
        <v>11976700</v>
      </c>
      <c r="H356" s="6">
        <v>1707500</v>
      </c>
      <c r="I356" s="6">
        <v>10269200</v>
      </c>
    </row>
    <row r="357" spans="1:9" x14ac:dyDescent="0.25">
      <c r="A357" t="s">
        <v>144</v>
      </c>
      <c r="B357" s="16" t="str">
        <f>"20165"</f>
        <v>20165</v>
      </c>
      <c r="C357" t="s">
        <v>11</v>
      </c>
      <c r="D357" t="s">
        <v>148</v>
      </c>
      <c r="E357" s="16" t="str">
        <f>"002"</f>
        <v>002</v>
      </c>
      <c r="F357" s="16">
        <v>1997</v>
      </c>
      <c r="G357" s="6">
        <v>3965000</v>
      </c>
      <c r="H357" s="6">
        <v>888200</v>
      </c>
      <c r="I357" s="6">
        <v>3076800</v>
      </c>
    </row>
    <row r="358" spans="1:9" x14ac:dyDescent="0.25">
      <c r="A358" t="s">
        <v>144</v>
      </c>
      <c r="B358" s="16" t="str">
        <f t="shared" ref="B358:B367" si="16">"20276"</f>
        <v>20276</v>
      </c>
      <c r="C358" t="s">
        <v>10</v>
      </c>
      <c r="D358" t="s">
        <v>149</v>
      </c>
      <c r="E358" s="16" t="str">
        <f>"004"</f>
        <v>004</v>
      </c>
      <c r="F358" s="16">
        <v>1994</v>
      </c>
      <c r="G358" s="6">
        <v>20757500</v>
      </c>
      <c r="H358" s="6">
        <v>6810200</v>
      </c>
      <c r="I358" s="6">
        <v>13947300</v>
      </c>
    </row>
    <row r="359" spans="1:9" x14ac:dyDescent="0.25">
      <c r="A359" t="s">
        <v>144</v>
      </c>
      <c r="B359" s="16" t="str">
        <f t="shared" si="16"/>
        <v>20276</v>
      </c>
      <c r="C359" t="s">
        <v>10</v>
      </c>
      <c r="D359" t="s">
        <v>149</v>
      </c>
      <c r="E359" s="16" t="str">
        <f>"005"</f>
        <v>005</v>
      </c>
      <c r="F359" s="16">
        <v>2000</v>
      </c>
      <c r="G359" s="6">
        <v>7551600</v>
      </c>
      <c r="H359" s="6">
        <v>239300</v>
      </c>
      <c r="I359" s="6">
        <v>7312300</v>
      </c>
    </row>
    <row r="360" spans="1:9" x14ac:dyDescent="0.25">
      <c r="A360" t="s">
        <v>144</v>
      </c>
      <c r="B360" s="16" t="str">
        <f t="shared" si="16"/>
        <v>20276</v>
      </c>
      <c r="C360" t="s">
        <v>10</v>
      </c>
      <c r="D360" t="s">
        <v>149</v>
      </c>
      <c r="E360" s="16" t="str">
        <f>"006"</f>
        <v>006</v>
      </c>
      <c r="F360" s="16">
        <v>2005</v>
      </c>
      <c r="G360" s="6">
        <v>39306700</v>
      </c>
      <c r="H360" s="6">
        <v>25263300</v>
      </c>
      <c r="I360" s="6">
        <v>14043400</v>
      </c>
    </row>
    <row r="361" spans="1:9" x14ac:dyDescent="0.25">
      <c r="A361" t="s">
        <v>144</v>
      </c>
      <c r="B361" s="16" t="str">
        <f t="shared" si="16"/>
        <v>20276</v>
      </c>
      <c r="C361" t="s">
        <v>10</v>
      </c>
      <c r="D361" t="s">
        <v>149</v>
      </c>
      <c r="E361" s="16" t="str">
        <f>"007"</f>
        <v>007</v>
      </c>
      <c r="F361" s="16">
        <v>2007</v>
      </c>
      <c r="G361" s="6">
        <v>6283100</v>
      </c>
      <c r="H361" s="6">
        <v>845600</v>
      </c>
      <c r="I361" s="6">
        <v>5437500</v>
      </c>
    </row>
    <row r="362" spans="1:9" x14ac:dyDescent="0.25">
      <c r="A362" t="s">
        <v>144</v>
      </c>
      <c r="B362" s="16" t="str">
        <f t="shared" si="16"/>
        <v>20276</v>
      </c>
      <c r="C362" t="s">
        <v>10</v>
      </c>
      <c r="D362" t="s">
        <v>149</v>
      </c>
      <c r="E362" s="16" t="str">
        <f>"009"</f>
        <v>009</v>
      </c>
      <c r="F362" s="16">
        <v>2009</v>
      </c>
      <c r="G362" s="6">
        <v>4804300</v>
      </c>
      <c r="H362" s="6">
        <v>7100</v>
      </c>
      <c r="I362" s="6">
        <v>4797200</v>
      </c>
    </row>
    <row r="363" spans="1:9" x14ac:dyDescent="0.25">
      <c r="A363" t="s">
        <v>144</v>
      </c>
      <c r="B363" s="16" t="str">
        <f t="shared" si="16"/>
        <v>20276</v>
      </c>
      <c r="C363" t="s">
        <v>10</v>
      </c>
      <c r="D363" t="s">
        <v>149</v>
      </c>
      <c r="E363" s="16" t="str">
        <f>"010"</f>
        <v>010</v>
      </c>
      <c r="F363" s="16">
        <v>2009</v>
      </c>
      <c r="G363" s="6">
        <v>8466000</v>
      </c>
      <c r="H363" s="6">
        <v>34400</v>
      </c>
      <c r="I363" s="6">
        <v>8431600</v>
      </c>
    </row>
    <row r="364" spans="1:9" x14ac:dyDescent="0.25">
      <c r="A364" t="s">
        <v>144</v>
      </c>
      <c r="B364" s="16" t="str">
        <f t="shared" si="16"/>
        <v>20276</v>
      </c>
      <c r="C364" t="s">
        <v>10</v>
      </c>
      <c r="D364" t="s">
        <v>149</v>
      </c>
      <c r="E364" s="16" t="str">
        <f>"011"</f>
        <v>011</v>
      </c>
      <c r="F364" s="16">
        <v>2009</v>
      </c>
      <c r="G364" s="6">
        <v>8228700</v>
      </c>
      <c r="H364" s="6">
        <v>6384300</v>
      </c>
      <c r="I364" s="6">
        <v>1844400</v>
      </c>
    </row>
    <row r="365" spans="1:9" x14ac:dyDescent="0.25">
      <c r="A365" t="s">
        <v>144</v>
      </c>
      <c r="B365" s="16" t="str">
        <f t="shared" si="16"/>
        <v>20276</v>
      </c>
      <c r="C365" t="s">
        <v>10</v>
      </c>
      <c r="D365" t="s">
        <v>149</v>
      </c>
      <c r="E365" s="16" t="str">
        <f>"012"</f>
        <v>012</v>
      </c>
      <c r="F365" s="16">
        <v>2014</v>
      </c>
      <c r="G365" s="6">
        <v>5106600</v>
      </c>
      <c r="H365" s="6">
        <v>727100</v>
      </c>
      <c r="I365" s="6">
        <v>4379500</v>
      </c>
    </row>
    <row r="366" spans="1:9" x14ac:dyDescent="0.25">
      <c r="A366" t="s">
        <v>144</v>
      </c>
      <c r="B366" s="16" t="str">
        <f t="shared" si="16"/>
        <v>20276</v>
      </c>
      <c r="C366" t="s">
        <v>10</v>
      </c>
      <c r="D366" t="s">
        <v>149</v>
      </c>
      <c r="E366" s="16" t="str">
        <f>"014"</f>
        <v>014</v>
      </c>
      <c r="F366" s="16">
        <v>2016</v>
      </c>
      <c r="G366" s="6">
        <v>11804200</v>
      </c>
      <c r="H366" s="6">
        <v>0</v>
      </c>
      <c r="I366" s="6">
        <v>11804200</v>
      </c>
    </row>
    <row r="367" spans="1:9" x14ac:dyDescent="0.25">
      <c r="A367" t="s">
        <v>144</v>
      </c>
      <c r="B367" s="16" t="str">
        <f t="shared" si="16"/>
        <v>20276</v>
      </c>
      <c r="C367" t="s">
        <v>10</v>
      </c>
      <c r="D367" t="s">
        <v>149</v>
      </c>
      <c r="E367" s="16" t="str">
        <f>"015"</f>
        <v>015</v>
      </c>
      <c r="F367" s="16">
        <v>2017</v>
      </c>
      <c r="G367" s="6">
        <v>1769800</v>
      </c>
      <c r="H367" s="6">
        <v>259000</v>
      </c>
      <c r="I367" s="6">
        <v>1510800</v>
      </c>
    </row>
    <row r="368" spans="1:9" x14ac:dyDescent="0.25">
      <c r="A368" t="s">
        <v>144</v>
      </c>
      <c r="B368" s="16" t="str">
        <f>"20176"</f>
        <v>20176</v>
      </c>
      <c r="C368" t="s">
        <v>11</v>
      </c>
      <c r="D368" t="s">
        <v>150</v>
      </c>
      <c r="E368" s="16" t="str">
        <f>"001"</f>
        <v>001</v>
      </c>
      <c r="F368" s="16">
        <v>2011</v>
      </c>
      <c r="G368" s="6">
        <v>4389500</v>
      </c>
      <c r="H368" s="6">
        <v>3464400</v>
      </c>
      <c r="I368" s="6">
        <v>925100</v>
      </c>
    </row>
    <row r="369" spans="1:9" x14ac:dyDescent="0.25">
      <c r="A369" t="s">
        <v>144</v>
      </c>
      <c r="B369" s="16" t="str">
        <f>"20176"</f>
        <v>20176</v>
      </c>
      <c r="C369" t="s">
        <v>11</v>
      </c>
      <c r="D369" t="s">
        <v>150</v>
      </c>
      <c r="E369" s="16" t="str">
        <f>"002"</f>
        <v>002</v>
      </c>
      <c r="F369" s="16">
        <v>2019</v>
      </c>
      <c r="G369" s="6">
        <v>4604900</v>
      </c>
      <c r="H369" s="6">
        <v>3650800</v>
      </c>
      <c r="I369" s="6">
        <v>954100</v>
      </c>
    </row>
    <row r="370" spans="1:9" x14ac:dyDescent="0.25">
      <c r="A370" t="s">
        <v>144</v>
      </c>
      <c r="B370" s="16" t="str">
        <f>"20292"</f>
        <v>20292</v>
      </c>
      <c r="C370" t="s">
        <v>10</v>
      </c>
      <c r="D370" t="s">
        <v>126</v>
      </c>
      <c r="E370" s="16" t="str">
        <f>"003"</f>
        <v>003</v>
      </c>
      <c r="F370" s="16">
        <v>2005</v>
      </c>
      <c r="G370" s="6">
        <v>14981600</v>
      </c>
      <c r="H370" s="6">
        <v>10263700</v>
      </c>
      <c r="I370" s="6">
        <v>4717900</v>
      </c>
    </row>
    <row r="371" spans="1:9" x14ac:dyDescent="0.25">
      <c r="A371" t="s">
        <v>144</v>
      </c>
      <c r="B371" s="16" t="str">
        <f>"20292"</f>
        <v>20292</v>
      </c>
      <c r="C371" t="s">
        <v>10</v>
      </c>
      <c r="D371" t="s">
        <v>126</v>
      </c>
      <c r="E371" s="16" t="str">
        <f>"006"</f>
        <v>006</v>
      </c>
      <c r="F371" s="16">
        <v>2012</v>
      </c>
      <c r="G371" s="6">
        <v>8042400</v>
      </c>
      <c r="H371" s="6">
        <v>9154600</v>
      </c>
      <c r="I371" s="6">
        <v>-1112200</v>
      </c>
    </row>
    <row r="372" spans="1:9" x14ac:dyDescent="0.25">
      <c r="A372" t="s">
        <v>144</v>
      </c>
      <c r="B372" s="16" t="str">
        <f>"20292"</f>
        <v>20292</v>
      </c>
      <c r="C372" t="s">
        <v>10</v>
      </c>
      <c r="D372" t="s">
        <v>126</v>
      </c>
      <c r="E372" s="16" t="str">
        <f>"008"</f>
        <v>008</v>
      </c>
      <c r="F372" s="16">
        <v>2018</v>
      </c>
      <c r="G372" s="6">
        <v>9384400</v>
      </c>
      <c r="H372" s="6">
        <v>5047900</v>
      </c>
      <c r="I372" s="6">
        <v>4336500</v>
      </c>
    </row>
    <row r="373" spans="1:9" x14ac:dyDescent="0.25">
      <c r="A373" t="s">
        <v>151</v>
      </c>
      <c r="B373" s="16" t="str">
        <f>"21211"</f>
        <v>21211</v>
      </c>
      <c r="C373" t="s">
        <v>10</v>
      </c>
      <c r="D373" t="s">
        <v>152</v>
      </c>
      <c r="E373" s="16" t="str">
        <f>"001"</f>
        <v>001</v>
      </c>
      <c r="F373" s="16">
        <v>2002</v>
      </c>
      <c r="G373" s="6">
        <v>4472000</v>
      </c>
      <c r="H373" s="6">
        <v>1551000</v>
      </c>
      <c r="I373" s="6">
        <v>2921000</v>
      </c>
    </row>
    <row r="374" spans="1:9" x14ac:dyDescent="0.25">
      <c r="A374" t="s">
        <v>153</v>
      </c>
      <c r="B374" s="16" t="str">
        <f>"22206"</f>
        <v>22206</v>
      </c>
      <c r="C374" t="s">
        <v>10</v>
      </c>
      <c r="D374" t="s">
        <v>154</v>
      </c>
      <c r="E374" s="16" t="str">
        <f>"004"</f>
        <v>004</v>
      </c>
      <c r="F374" s="16">
        <v>2005</v>
      </c>
      <c r="G374" s="6">
        <v>9064600</v>
      </c>
      <c r="H374" s="6">
        <v>5090300</v>
      </c>
      <c r="I374" s="6">
        <v>3974300</v>
      </c>
    </row>
    <row r="375" spans="1:9" x14ac:dyDescent="0.25">
      <c r="A375" t="s">
        <v>153</v>
      </c>
      <c r="B375" s="16" t="str">
        <f>"22206"</f>
        <v>22206</v>
      </c>
      <c r="C375" t="s">
        <v>10</v>
      </c>
      <c r="D375" t="s">
        <v>154</v>
      </c>
      <c r="E375" s="16" t="str">
        <f>"005"</f>
        <v>005</v>
      </c>
      <c r="F375" s="16">
        <v>2020</v>
      </c>
      <c r="G375" s="6">
        <v>11804100</v>
      </c>
      <c r="H375" s="6">
        <v>11816900</v>
      </c>
      <c r="I375" s="6">
        <v>-12800</v>
      </c>
    </row>
    <row r="376" spans="1:9" x14ac:dyDescent="0.25">
      <c r="A376" t="s">
        <v>153</v>
      </c>
      <c r="B376" s="16" t="str">
        <f>"22211"</f>
        <v>22211</v>
      </c>
      <c r="C376" t="s">
        <v>10</v>
      </c>
      <c r="D376" t="s">
        <v>155</v>
      </c>
      <c r="E376" s="16" t="str">
        <f>"002"</f>
        <v>002</v>
      </c>
      <c r="F376" s="16">
        <v>1999</v>
      </c>
      <c r="G376" s="6">
        <v>8945600</v>
      </c>
      <c r="H376" s="6">
        <v>1703000</v>
      </c>
      <c r="I376" s="6">
        <v>7242600</v>
      </c>
    </row>
    <row r="377" spans="1:9" x14ac:dyDescent="0.25">
      <c r="A377" t="s">
        <v>153</v>
      </c>
      <c r="B377" s="16" t="str">
        <f>"22211"</f>
        <v>22211</v>
      </c>
      <c r="C377" t="s">
        <v>10</v>
      </c>
      <c r="D377" t="s">
        <v>155</v>
      </c>
      <c r="E377" s="16" t="str">
        <f>"003"</f>
        <v>003</v>
      </c>
      <c r="F377" s="16">
        <v>2012</v>
      </c>
      <c r="G377" s="6">
        <v>4729300</v>
      </c>
      <c r="H377" s="6">
        <v>2303400</v>
      </c>
      <c r="I377" s="6">
        <v>2425900</v>
      </c>
    </row>
    <row r="378" spans="1:9" x14ac:dyDescent="0.25">
      <c r="A378" t="s">
        <v>153</v>
      </c>
      <c r="B378" s="16" t="str">
        <f>"22211"</f>
        <v>22211</v>
      </c>
      <c r="C378" t="s">
        <v>10</v>
      </c>
      <c r="D378" t="s">
        <v>155</v>
      </c>
      <c r="E378" s="16" t="str">
        <f>"004"</f>
        <v>004</v>
      </c>
      <c r="F378" s="16">
        <v>2019</v>
      </c>
      <c r="G378" s="6">
        <v>9683500</v>
      </c>
      <c r="H378" s="6">
        <v>5965000</v>
      </c>
      <c r="I378" s="6">
        <v>3718500</v>
      </c>
    </row>
    <row r="379" spans="1:9" x14ac:dyDescent="0.25">
      <c r="A379" t="s">
        <v>153</v>
      </c>
      <c r="B379" s="16" t="str">
        <f>"22116"</f>
        <v>22116</v>
      </c>
      <c r="C379" t="s">
        <v>11</v>
      </c>
      <c r="D379" t="s">
        <v>156</v>
      </c>
      <c r="E379" s="16" t="str">
        <f>"001"</f>
        <v>001</v>
      </c>
      <c r="F379" s="16">
        <v>2014</v>
      </c>
      <c r="G379" s="6">
        <v>2875600</v>
      </c>
      <c r="H379" s="6">
        <v>1550700</v>
      </c>
      <c r="I379" s="6">
        <v>1324900</v>
      </c>
    </row>
    <row r="380" spans="1:9" x14ac:dyDescent="0.25">
      <c r="A380" t="s">
        <v>153</v>
      </c>
      <c r="B380" s="16" t="str">
        <f>"22226"</f>
        <v>22226</v>
      </c>
      <c r="C380" t="s">
        <v>10</v>
      </c>
      <c r="D380" t="s">
        <v>157</v>
      </c>
      <c r="E380" s="16" t="str">
        <f>"004"</f>
        <v>004</v>
      </c>
      <c r="F380" s="16">
        <v>2002</v>
      </c>
      <c r="G380" s="6">
        <v>1020600</v>
      </c>
      <c r="H380" s="6">
        <v>32200</v>
      </c>
      <c r="I380" s="6">
        <v>988400</v>
      </c>
    </row>
    <row r="381" spans="1:9" x14ac:dyDescent="0.25">
      <c r="A381" t="s">
        <v>153</v>
      </c>
      <c r="B381" s="16" t="str">
        <f>"22226"</f>
        <v>22226</v>
      </c>
      <c r="C381" t="s">
        <v>10</v>
      </c>
      <c r="D381" t="s">
        <v>157</v>
      </c>
      <c r="E381" s="16" t="str">
        <f>"005"</f>
        <v>005</v>
      </c>
      <c r="F381" s="16">
        <v>2005</v>
      </c>
      <c r="G381" s="6">
        <v>5815800</v>
      </c>
      <c r="H381" s="6">
        <v>6958900</v>
      </c>
      <c r="I381" s="6">
        <v>-1143100</v>
      </c>
    </row>
    <row r="382" spans="1:9" x14ac:dyDescent="0.25">
      <c r="A382" t="s">
        <v>153</v>
      </c>
      <c r="B382" s="16" t="str">
        <f>"22226"</f>
        <v>22226</v>
      </c>
      <c r="C382" t="s">
        <v>10</v>
      </c>
      <c r="D382" t="s">
        <v>157</v>
      </c>
      <c r="E382" s="16" t="str">
        <f>"006"</f>
        <v>006</v>
      </c>
      <c r="F382" s="16">
        <v>2017</v>
      </c>
      <c r="G382" s="6">
        <v>14842800</v>
      </c>
      <c r="H382" s="6">
        <v>6436600</v>
      </c>
      <c r="I382" s="6">
        <v>8406200</v>
      </c>
    </row>
    <row r="383" spans="1:9" x14ac:dyDescent="0.25">
      <c r="A383" t="s">
        <v>153</v>
      </c>
      <c r="B383" s="16" t="str">
        <f>"22246"</f>
        <v>22246</v>
      </c>
      <c r="C383" t="s">
        <v>10</v>
      </c>
      <c r="D383" t="s">
        <v>158</v>
      </c>
      <c r="E383" s="16" t="str">
        <f>"003"</f>
        <v>003</v>
      </c>
      <c r="F383" s="16">
        <v>2006</v>
      </c>
      <c r="G383" s="6">
        <v>9812700</v>
      </c>
      <c r="H383" s="6">
        <v>424500</v>
      </c>
      <c r="I383" s="6">
        <v>9388200</v>
      </c>
    </row>
    <row r="384" spans="1:9" x14ac:dyDescent="0.25">
      <c r="A384" t="s">
        <v>153</v>
      </c>
      <c r="B384" s="16" t="str">
        <f>"22246"</f>
        <v>22246</v>
      </c>
      <c r="C384" t="s">
        <v>10</v>
      </c>
      <c r="D384" t="s">
        <v>158</v>
      </c>
      <c r="E384" s="16" t="str">
        <f>"004"</f>
        <v>004</v>
      </c>
      <c r="F384" s="16">
        <v>2006</v>
      </c>
      <c r="G384" s="6">
        <v>6327900</v>
      </c>
      <c r="H384" s="6">
        <v>2414400</v>
      </c>
      <c r="I384" s="6">
        <v>3913500</v>
      </c>
    </row>
    <row r="385" spans="1:9" x14ac:dyDescent="0.25">
      <c r="A385" t="s">
        <v>153</v>
      </c>
      <c r="B385" s="16" t="str">
        <f>"22246"</f>
        <v>22246</v>
      </c>
      <c r="C385" t="s">
        <v>10</v>
      </c>
      <c r="D385" t="s">
        <v>158</v>
      </c>
      <c r="E385" s="16" t="str">
        <f>"005"</f>
        <v>005</v>
      </c>
      <c r="F385" s="16">
        <v>2018</v>
      </c>
      <c r="G385" s="6">
        <v>2297700</v>
      </c>
      <c r="H385" s="6">
        <v>0</v>
      </c>
      <c r="I385" s="6">
        <v>2297700</v>
      </c>
    </row>
    <row r="386" spans="1:9" x14ac:dyDescent="0.25">
      <c r="A386" t="s">
        <v>153</v>
      </c>
      <c r="B386" s="16" t="str">
        <f>"22246"</f>
        <v>22246</v>
      </c>
      <c r="C386" t="s">
        <v>10</v>
      </c>
      <c r="D386" t="s">
        <v>158</v>
      </c>
      <c r="E386" s="16" t="str">
        <f>"006"</f>
        <v>006</v>
      </c>
      <c r="F386" s="16">
        <v>2020</v>
      </c>
      <c r="G386" s="6">
        <v>2623400</v>
      </c>
      <c r="H386" s="6">
        <v>0</v>
      </c>
      <c r="I386" s="6">
        <v>2623400</v>
      </c>
    </row>
    <row r="387" spans="1:9" x14ac:dyDescent="0.25">
      <c r="A387" t="s">
        <v>153</v>
      </c>
      <c r="B387" s="16" t="str">
        <f>"22151"</f>
        <v>22151</v>
      </c>
      <c r="C387" t="s">
        <v>11</v>
      </c>
      <c r="D387" t="s">
        <v>159</v>
      </c>
      <c r="E387" s="16" t="str">
        <f>"001"</f>
        <v>001</v>
      </c>
      <c r="F387" s="16">
        <v>2014</v>
      </c>
      <c r="G387" s="6">
        <v>2899800</v>
      </c>
      <c r="H387" s="6">
        <v>1968700</v>
      </c>
      <c r="I387" s="6">
        <v>931100</v>
      </c>
    </row>
    <row r="388" spans="1:9" x14ac:dyDescent="0.25">
      <c r="A388" t="s">
        <v>153</v>
      </c>
      <c r="B388" s="16" t="str">
        <f>"22153"</f>
        <v>22153</v>
      </c>
      <c r="C388" t="s">
        <v>11</v>
      </c>
      <c r="D388" t="s">
        <v>160</v>
      </c>
      <c r="E388" s="16" t="str">
        <f>"003"</f>
        <v>003</v>
      </c>
      <c r="F388" s="16">
        <v>1997</v>
      </c>
      <c r="G388" s="6">
        <v>4031000</v>
      </c>
      <c r="H388" s="6">
        <v>2039400</v>
      </c>
      <c r="I388" s="6">
        <v>1991600</v>
      </c>
    </row>
    <row r="389" spans="1:9" x14ac:dyDescent="0.25">
      <c r="A389" t="s">
        <v>153</v>
      </c>
      <c r="B389" s="16" t="str">
        <f>"22271"</f>
        <v>22271</v>
      </c>
      <c r="C389" t="s">
        <v>10</v>
      </c>
      <c r="D389" t="s">
        <v>161</v>
      </c>
      <c r="E389" s="16" t="str">
        <f>"005"</f>
        <v>005</v>
      </c>
      <c r="F389" s="16">
        <v>2005</v>
      </c>
      <c r="G389" s="6">
        <v>45422900</v>
      </c>
      <c r="H389" s="6">
        <v>29500</v>
      </c>
      <c r="I389" s="6">
        <v>45393400</v>
      </c>
    </row>
    <row r="390" spans="1:9" x14ac:dyDescent="0.25">
      <c r="A390" t="s">
        <v>153</v>
      </c>
      <c r="B390" s="16" t="str">
        <f>"22271"</f>
        <v>22271</v>
      </c>
      <c r="C390" t="s">
        <v>10</v>
      </c>
      <c r="D390" t="s">
        <v>161</v>
      </c>
      <c r="E390" s="16" t="str">
        <f>"006"</f>
        <v>006</v>
      </c>
      <c r="F390" s="16">
        <v>2006</v>
      </c>
      <c r="G390" s="6">
        <v>37354200</v>
      </c>
      <c r="H390" s="6">
        <v>7740400</v>
      </c>
      <c r="I390" s="6">
        <v>29613800</v>
      </c>
    </row>
    <row r="391" spans="1:9" x14ac:dyDescent="0.25">
      <c r="A391" t="s">
        <v>153</v>
      </c>
      <c r="B391" s="16" t="str">
        <f>"22271"</f>
        <v>22271</v>
      </c>
      <c r="C391" t="s">
        <v>10</v>
      </c>
      <c r="D391" t="s">
        <v>161</v>
      </c>
      <c r="E391" s="16" t="str">
        <f>"007"</f>
        <v>007</v>
      </c>
      <c r="F391" s="16">
        <v>2006</v>
      </c>
      <c r="G391" s="6">
        <v>51724300</v>
      </c>
      <c r="H391" s="6">
        <v>29515000</v>
      </c>
      <c r="I391" s="6">
        <v>22209300</v>
      </c>
    </row>
    <row r="392" spans="1:9" x14ac:dyDescent="0.25">
      <c r="A392" t="s">
        <v>162</v>
      </c>
      <c r="B392" s="16" t="str">
        <f>"23106"</f>
        <v>23106</v>
      </c>
      <c r="C392" t="s">
        <v>11</v>
      </c>
      <c r="D392" t="s">
        <v>91</v>
      </c>
      <c r="E392" s="16" t="str">
        <f>"005"</f>
        <v>005</v>
      </c>
      <c r="F392" s="16">
        <v>2009</v>
      </c>
      <c r="G392" s="6">
        <v>396300</v>
      </c>
      <c r="H392" s="6">
        <v>368800</v>
      </c>
      <c r="I392" s="6">
        <v>27500</v>
      </c>
    </row>
    <row r="393" spans="1:9" x14ac:dyDescent="0.25">
      <c r="A393" t="s">
        <v>162</v>
      </c>
      <c r="B393" s="16" t="str">
        <f>"23206"</f>
        <v>23206</v>
      </c>
      <c r="C393" t="s">
        <v>10</v>
      </c>
      <c r="D393" t="s">
        <v>163</v>
      </c>
      <c r="E393" s="16" t="str">
        <f>"004"</f>
        <v>004</v>
      </c>
      <c r="F393" s="16">
        <v>2005</v>
      </c>
      <c r="G393" s="6">
        <v>213300</v>
      </c>
      <c r="H393" s="6">
        <v>108400</v>
      </c>
      <c r="I393" s="6">
        <v>104900</v>
      </c>
    </row>
    <row r="394" spans="1:9" x14ac:dyDescent="0.25">
      <c r="A394" t="s">
        <v>162</v>
      </c>
      <c r="B394" s="16" t="str">
        <f>"23206"</f>
        <v>23206</v>
      </c>
      <c r="C394" t="s">
        <v>10</v>
      </c>
      <c r="D394" t="s">
        <v>163</v>
      </c>
      <c r="E394" s="16" t="str">
        <f>"005"</f>
        <v>005</v>
      </c>
      <c r="F394" s="16">
        <v>2005</v>
      </c>
      <c r="G394" s="6">
        <v>1508800</v>
      </c>
      <c r="H394" s="6">
        <v>1529000</v>
      </c>
      <c r="I394" s="6">
        <v>-20200</v>
      </c>
    </row>
    <row r="395" spans="1:9" x14ac:dyDescent="0.25">
      <c r="A395" t="s">
        <v>162</v>
      </c>
      <c r="B395" s="16" t="str">
        <f>"23206"</f>
        <v>23206</v>
      </c>
      <c r="C395" t="s">
        <v>10</v>
      </c>
      <c r="D395" t="s">
        <v>163</v>
      </c>
      <c r="E395" s="16" t="str">
        <f>"006"</f>
        <v>006</v>
      </c>
      <c r="F395" s="16">
        <v>2006</v>
      </c>
      <c r="G395" s="6">
        <v>2379200</v>
      </c>
      <c r="H395" s="6">
        <v>1170300</v>
      </c>
      <c r="I395" s="6">
        <v>1208900</v>
      </c>
    </row>
    <row r="396" spans="1:9" x14ac:dyDescent="0.25">
      <c r="A396" t="s">
        <v>162</v>
      </c>
      <c r="B396" s="16" t="str">
        <f>"23206"</f>
        <v>23206</v>
      </c>
      <c r="C396" t="s">
        <v>10</v>
      </c>
      <c r="D396" t="s">
        <v>163</v>
      </c>
      <c r="E396" s="16" t="str">
        <f>"007"</f>
        <v>007</v>
      </c>
      <c r="F396" s="16">
        <v>2013</v>
      </c>
      <c r="G396" s="6">
        <v>7073100</v>
      </c>
      <c r="H396" s="6">
        <v>4118800</v>
      </c>
      <c r="I396" s="6">
        <v>2954300</v>
      </c>
    </row>
    <row r="397" spans="1:9" x14ac:dyDescent="0.25">
      <c r="A397" t="s">
        <v>162</v>
      </c>
      <c r="B397" s="16" t="str">
        <f>"23109"</f>
        <v>23109</v>
      </c>
      <c r="C397" t="s">
        <v>11</v>
      </c>
      <c r="D397" t="s">
        <v>93</v>
      </c>
      <c r="E397" s="16" t="str">
        <f>"001"</f>
        <v>001</v>
      </c>
      <c r="F397" s="16">
        <v>2008</v>
      </c>
      <c r="G397" s="6">
        <v>6461700</v>
      </c>
      <c r="H397" s="6">
        <v>4400600</v>
      </c>
      <c r="I397" s="6">
        <v>2061100</v>
      </c>
    </row>
    <row r="398" spans="1:9" x14ac:dyDescent="0.25">
      <c r="A398" t="s">
        <v>162</v>
      </c>
      <c r="B398" s="16" t="str">
        <f>"23251"</f>
        <v>23251</v>
      </c>
      <c r="C398" t="s">
        <v>10</v>
      </c>
      <c r="D398" t="s">
        <v>164</v>
      </c>
      <c r="E398" s="16" t="str">
        <f>"006"</f>
        <v>006</v>
      </c>
      <c r="F398" s="16">
        <v>2003</v>
      </c>
      <c r="G398" s="6">
        <v>26523400</v>
      </c>
      <c r="H398" s="6">
        <v>10143200</v>
      </c>
      <c r="I398" s="6">
        <v>16380200</v>
      </c>
    </row>
    <row r="399" spans="1:9" x14ac:dyDescent="0.25">
      <c r="A399" t="s">
        <v>162</v>
      </c>
      <c r="B399" s="16" t="str">
        <f>"23251"</f>
        <v>23251</v>
      </c>
      <c r="C399" t="s">
        <v>10</v>
      </c>
      <c r="D399" t="s">
        <v>164</v>
      </c>
      <c r="E399" s="16" t="str">
        <f>"007"</f>
        <v>007</v>
      </c>
      <c r="F399" s="16">
        <v>2005</v>
      </c>
      <c r="G399" s="6">
        <v>46235000</v>
      </c>
      <c r="H399" s="6">
        <v>32349800</v>
      </c>
      <c r="I399" s="6">
        <v>13885200</v>
      </c>
    </row>
    <row r="400" spans="1:9" x14ac:dyDescent="0.25">
      <c r="A400" t="s">
        <v>162</v>
      </c>
      <c r="B400" s="16" t="str">
        <f>"23251"</f>
        <v>23251</v>
      </c>
      <c r="C400" t="s">
        <v>10</v>
      </c>
      <c r="D400" t="s">
        <v>164</v>
      </c>
      <c r="E400" s="16" t="str">
        <f>"008"</f>
        <v>008</v>
      </c>
      <c r="F400" s="16">
        <v>2007</v>
      </c>
      <c r="G400" s="6">
        <v>4775200</v>
      </c>
      <c r="H400" s="6">
        <v>2332700</v>
      </c>
      <c r="I400" s="6">
        <v>2442500</v>
      </c>
    </row>
    <row r="401" spans="1:9" x14ac:dyDescent="0.25">
      <c r="A401" t="s">
        <v>162</v>
      </c>
      <c r="B401" s="16" t="str">
        <f>"23251"</f>
        <v>23251</v>
      </c>
      <c r="C401" t="s">
        <v>10</v>
      </c>
      <c r="D401" t="s">
        <v>164</v>
      </c>
      <c r="E401" s="16" t="str">
        <f>"009"</f>
        <v>009</v>
      </c>
      <c r="F401" s="16">
        <v>2018</v>
      </c>
      <c r="G401" s="6">
        <v>21498200</v>
      </c>
      <c r="H401" s="6">
        <v>21014500</v>
      </c>
      <c r="I401" s="6">
        <v>483700</v>
      </c>
    </row>
    <row r="402" spans="1:9" x14ac:dyDescent="0.25">
      <c r="A402" t="s">
        <v>162</v>
      </c>
      <c r="B402" s="16" t="str">
        <f>"23251"</f>
        <v>23251</v>
      </c>
      <c r="C402" t="s">
        <v>10</v>
      </c>
      <c r="D402" t="s">
        <v>164</v>
      </c>
      <c r="E402" s="16" t="str">
        <f>"010"</f>
        <v>010</v>
      </c>
      <c r="F402" s="16">
        <v>2017</v>
      </c>
      <c r="G402" s="6">
        <v>17875700</v>
      </c>
      <c r="H402" s="6">
        <v>17449200</v>
      </c>
      <c r="I402" s="6">
        <v>426500</v>
      </c>
    </row>
    <row r="403" spans="1:9" x14ac:dyDescent="0.25">
      <c r="A403" t="s">
        <v>162</v>
      </c>
      <c r="B403" s="16" t="str">
        <f>"23161"</f>
        <v>23161</v>
      </c>
      <c r="C403" t="s">
        <v>11</v>
      </c>
      <c r="D403" t="s">
        <v>165</v>
      </c>
      <c r="E403" s="16" t="str">
        <f>"003"</f>
        <v>003</v>
      </c>
      <c r="F403" s="16">
        <v>2006</v>
      </c>
      <c r="G403" s="6">
        <v>13517100</v>
      </c>
      <c r="H403" s="6">
        <v>19300</v>
      </c>
      <c r="I403" s="6">
        <v>13497800</v>
      </c>
    </row>
    <row r="404" spans="1:9" x14ac:dyDescent="0.25">
      <c r="A404" t="s">
        <v>162</v>
      </c>
      <c r="B404" s="16" t="str">
        <f>"23161"</f>
        <v>23161</v>
      </c>
      <c r="C404" t="s">
        <v>11</v>
      </c>
      <c r="D404" t="s">
        <v>165</v>
      </c>
      <c r="E404" s="16" t="str">
        <f>"004"</f>
        <v>004</v>
      </c>
      <c r="F404" s="16">
        <v>2015</v>
      </c>
      <c r="G404" s="6">
        <v>20570800</v>
      </c>
      <c r="H404" s="6">
        <v>14642600</v>
      </c>
      <c r="I404" s="6">
        <v>5928200</v>
      </c>
    </row>
    <row r="405" spans="1:9" x14ac:dyDescent="0.25">
      <c r="A405" t="s">
        <v>166</v>
      </c>
      <c r="B405" s="16" t="str">
        <f>"24206"</f>
        <v>24206</v>
      </c>
      <c r="C405" t="s">
        <v>10</v>
      </c>
      <c r="D405" t="s">
        <v>167</v>
      </c>
      <c r="E405" s="16" t="str">
        <f>"001E"</f>
        <v>001E</v>
      </c>
      <c r="F405" s="16">
        <v>2003</v>
      </c>
      <c r="G405" s="6">
        <v>1015500</v>
      </c>
      <c r="H405" s="6">
        <v>615300</v>
      </c>
      <c r="I405" s="6">
        <v>400200</v>
      </c>
    </row>
    <row r="406" spans="1:9" x14ac:dyDescent="0.25">
      <c r="A406" t="s">
        <v>166</v>
      </c>
      <c r="B406" s="16" t="str">
        <f>"24206"</f>
        <v>24206</v>
      </c>
      <c r="C406" t="s">
        <v>10</v>
      </c>
      <c r="D406" t="s">
        <v>167</v>
      </c>
      <c r="E406" s="16" t="str">
        <f>"002E"</f>
        <v>002E</v>
      </c>
      <c r="F406" s="16">
        <v>2007</v>
      </c>
      <c r="G406" s="6">
        <v>982700</v>
      </c>
      <c r="H406" s="6">
        <v>105000</v>
      </c>
      <c r="I406" s="6">
        <v>877700</v>
      </c>
    </row>
    <row r="407" spans="1:9" x14ac:dyDescent="0.25">
      <c r="A407" t="s">
        <v>166</v>
      </c>
      <c r="B407" s="16" t="str">
        <f>"24206"</f>
        <v>24206</v>
      </c>
      <c r="C407" t="s">
        <v>10</v>
      </c>
      <c r="D407" t="s">
        <v>167</v>
      </c>
      <c r="E407" s="16" t="str">
        <f>"009"</f>
        <v>009</v>
      </c>
      <c r="F407" s="16">
        <v>1991</v>
      </c>
      <c r="G407" s="6">
        <v>778800</v>
      </c>
      <c r="H407" s="6">
        <v>129300</v>
      </c>
      <c r="I407" s="6">
        <v>649500</v>
      </c>
    </row>
    <row r="408" spans="1:9" x14ac:dyDescent="0.25">
      <c r="A408" t="s">
        <v>166</v>
      </c>
      <c r="B408" s="16" t="str">
        <f>"24206"</f>
        <v>24206</v>
      </c>
      <c r="C408" t="s">
        <v>10</v>
      </c>
      <c r="D408" t="s">
        <v>167</v>
      </c>
      <c r="E408" s="16" t="str">
        <f>"015"</f>
        <v>015</v>
      </c>
      <c r="F408" s="16">
        <v>2008</v>
      </c>
      <c r="G408" s="6">
        <v>14493500</v>
      </c>
      <c r="H408" s="6">
        <v>12491500</v>
      </c>
      <c r="I408" s="6">
        <v>2002000</v>
      </c>
    </row>
    <row r="409" spans="1:9" x14ac:dyDescent="0.25">
      <c r="A409" t="s">
        <v>166</v>
      </c>
      <c r="B409" s="16" t="str">
        <f>"24231"</f>
        <v>24231</v>
      </c>
      <c r="C409" t="s">
        <v>10</v>
      </c>
      <c r="D409" t="s">
        <v>166</v>
      </c>
      <c r="E409" s="16" t="str">
        <f>"003"</f>
        <v>003</v>
      </c>
      <c r="F409" s="16">
        <v>2005</v>
      </c>
      <c r="G409" s="6">
        <v>24756200</v>
      </c>
      <c r="H409" s="6">
        <v>8995800</v>
      </c>
      <c r="I409" s="6">
        <v>15760400</v>
      </c>
    </row>
    <row r="410" spans="1:9" x14ac:dyDescent="0.25">
      <c r="A410" t="s">
        <v>166</v>
      </c>
      <c r="B410" s="16" t="str">
        <f>"24231"</f>
        <v>24231</v>
      </c>
      <c r="C410" t="s">
        <v>10</v>
      </c>
      <c r="D410" t="s">
        <v>166</v>
      </c>
      <c r="E410" s="16" t="str">
        <f>"004"</f>
        <v>004</v>
      </c>
      <c r="F410" s="16">
        <v>2009</v>
      </c>
      <c r="G410" s="6">
        <v>176800</v>
      </c>
      <c r="H410" s="6">
        <v>237700</v>
      </c>
      <c r="I410" s="6">
        <v>-60900</v>
      </c>
    </row>
    <row r="411" spans="1:9" x14ac:dyDescent="0.25">
      <c r="A411" t="s">
        <v>166</v>
      </c>
      <c r="B411" s="16" t="str">
        <f>"24231"</f>
        <v>24231</v>
      </c>
      <c r="C411" t="s">
        <v>10</v>
      </c>
      <c r="D411" t="s">
        <v>166</v>
      </c>
      <c r="E411" s="16" t="str">
        <f>"005"</f>
        <v>005</v>
      </c>
      <c r="F411" s="16">
        <v>2020</v>
      </c>
      <c r="G411" s="6">
        <v>5486000</v>
      </c>
      <c r="H411" s="6">
        <v>5673600</v>
      </c>
      <c r="I411" s="6">
        <v>-187600</v>
      </c>
    </row>
    <row r="412" spans="1:9" x14ac:dyDescent="0.25">
      <c r="A412" t="s">
        <v>166</v>
      </c>
      <c r="B412" s="16" t="str">
        <f>"24251"</f>
        <v>24251</v>
      </c>
      <c r="C412" t="s">
        <v>10</v>
      </c>
      <c r="D412" t="s">
        <v>168</v>
      </c>
      <c r="E412" s="16" t="str">
        <f>"001"</f>
        <v>001</v>
      </c>
      <c r="F412" s="16">
        <v>1995</v>
      </c>
      <c r="G412" s="6">
        <v>5759500</v>
      </c>
      <c r="H412" s="6">
        <v>1326500</v>
      </c>
      <c r="I412" s="6">
        <v>4433000</v>
      </c>
    </row>
    <row r="413" spans="1:9" x14ac:dyDescent="0.25">
      <c r="A413" t="s">
        <v>166</v>
      </c>
      <c r="B413" s="16" t="str">
        <f>"24271"</f>
        <v>24271</v>
      </c>
      <c r="C413" t="s">
        <v>10</v>
      </c>
      <c r="D413" t="s">
        <v>169</v>
      </c>
      <c r="E413" s="16" t="str">
        <f>"002"</f>
        <v>002</v>
      </c>
      <c r="F413" s="16">
        <v>2001</v>
      </c>
      <c r="G413" s="6">
        <v>8281700</v>
      </c>
      <c r="H413" s="6">
        <v>5110600</v>
      </c>
      <c r="I413" s="6">
        <v>3171100</v>
      </c>
    </row>
    <row r="414" spans="1:9" x14ac:dyDescent="0.25">
      <c r="A414" t="s">
        <v>170</v>
      </c>
      <c r="B414" s="16" t="str">
        <f>"25101"</f>
        <v>25101</v>
      </c>
      <c r="C414" t="s">
        <v>11</v>
      </c>
      <c r="D414" t="s">
        <v>171</v>
      </c>
      <c r="E414" s="16" t="str">
        <f>"001"</f>
        <v>001</v>
      </c>
      <c r="F414" s="16">
        <v>2006</v>
      </c>
      <c r="G414" s="6">
        <v>13892400</v>
      </c>
      <c r="H414" s="6">
        <v>5220300</v>
      </c>
      <c r="I414" s="6">
        <v>8672100</v>
      </c>
    </row>
    <row r="415" spans="1:9" x14ac:dyDescent="0.25">
      <c r="A415" t="s">
        <v>170</v>
      </c>
      <c r="B415" s="16" t="str">
        <f>"25106"</f>
        <v>25106</v>
      </c>
      <c r="C415" t="s">
        <v>11</v>
      </c>
      <c r="D415" t="s">
        <v>172</v>
      </c>
      <c r="E415" s="16" t="str">
        <f>"001"</f>
        <v>001</v>
      </c>
      <c r="F415" s="16">
        <v>2002</v>
      </c>
      <c r="G415" s="6">
        <v>10862600</v>
      </c>
      <c r="H415" s="6">
        <v>1732300</v>
      </c>
      <c r="I415" s="6">
        <v>9130300</v>
      </c>
    </row>
    <row r="416" spans="1:9" x14ac:dyDescent="0.25">
      <c r="A416" t="s">
        <v>170</v>
      </c>
      <c r="B416" s="16" t="str">
        <f>"25106"</f>
        <v>25106</v>
      </c>
      <c r="C416" t="s">
        <v>11</v>
      </c>
      <c r="D416" t="s">
        <v>172</v>
      </c>
      <c r="E416" s="16" t="str">
        <f>"002"</f>
        <v>002</v>
      </c>
      <c r="F416" s="16">
        <v>2015</v>
      </c>
      <c r="G416" s="6">
        <v>39134300</v>
      </c>
      <c r="H416" s="6">
        <v>232000</v>
      </c>
      <c r="I416" s="6">
        <v>38902300</v>
      </c>
    </row>
    <row r="417" spans="1:9" x14ac:dyDescent="0.25">
      <c r="A417" t="s">
        <v>170</v>
      </c>
      <c r="B417" s="16" t="str">
        <f>"25216"</f>
        <v>25216</v>
      </c>
      <c r="C417" t="s">
        <v>10</v>
      </c>
      <c r="D417" t="s">
        <v>173</v>
      </c>
      <c r="E417" s="16" t="str">
        <f>"003"</f>
        <v>003</v>
      </c>
      <c r="F417" s="16">
        <v>2020</v>
      </c>
      <c r="G417" s="6">
        <v>1925400</v>
      </c>
      <c r="H417" s="6">
        <v>1867900</v>
      </c>
      <c r="I417" s="6">
        <v>57500</v>
      </c>
    </row>
    <row r="418" spans="1:9" x14ac:dyDescent="0.25">
      <c r="A418" t="s">
        <v>170</v>
      </c>
      <c r="B418" s="16" t="str">
        <f>"25136"</f>
        <v>25136</v>
      </c>
      <c r="C418" t="s">
        <v>11</v>
      </c>
      <c r="D418" t="s">
        <v>174</v>
      </c>
      <c r="E418" s="16" t="str">
        <f>"002"</f>
        <v>002</v>
      </c>
      <c r="F418" s="16">
        <v>1999</v>
      </c>
      <c r="G418" s="6">
        <v>6112100</v>
      </c>
      <c r="H418" s="6">
        <v>973600</v>
      </c>
      <c r="I418" s="6">
        <v>5138500</v>
      </c>
    </row>
    <row r="419" spans="1:9" x14ac:dyDescent="0.25">
      <c r="A419" t="s">
        <v>170</v>
      </c>
      <c r="B419" s="16" t="str">
        <f>"25177"</f>
        <v>25177</v>
      </c>
      <c r="C419" t="s">
        <v>11</v>
      </c>
      <c r="D419" t="s">
        <v>175</v>
      </c>
      <c r="E419" s="16" t="str">
        <f>"001"</f>
        <v>001</v>
      </c>
      <c r="F419" s="16">
        <v>2007</v>
      </c>
      <c r="G419" s="6">
        <v>7375600</v>
      </c>
      <c r="H419" s="6">
        <v>2902100</v>
      </c>
      <c r="I419" s="6">
        <v>4473500</v>
      </c>
    </row>
    <row r="420" spans="1:9" x14ac:dyDescent="0.25">
      <c r="A420" t="s">
        <v>176</v>
      </c>
      <c r="B420" s="16" t="str">
        <f>"27206"</f>
        <v>27206</v>
      </c>
      <c r="C420" t="s">
        <v>10</v>
      </c>
      <c r="D420" t="s">
        <v>177</v>
      </c>
      <c r="E420" s="16" t="str">
        <f>"003"</f>
        <v>003</v>
      </c>
      <c r="F420" s="16">
        <v>2002</v>
      </c>
      <c r="G420" s="6">
        <v>14870900</v>
      </c>
      <c r="H420" s="6">
        <v>496100</v>
      </c>
      <c r="I420" s="6">
        <v>14374800</v>
      </c>
    </row>
    <row r="421" spans="1:9" x14ac:dyDescent="0.25">
      <c r="A421" t="s">
        <v>176</v>
      </c>
      <c r="B421" s="16" t="str">
        <f>"27206"</f>
        <v>27206</v>
      </c>
      <c r="C421" t="s">
        <v>10</v>
      </c>
      <c r="D421" t="s">
        <v>177</v>
      </c>
      <c r="E421" s="16" t="str">
        <f>"004"</f>
        <v>004</v>
      </c>
      <c r="F421" s="16">
        <v>2003</v>
      </c>
      <c r="G421" s="6">
        <v>7705400</v>
      </c>
      <c r="H421" s="6">
        <v>462200</v>
      </c>
      <c r="I421" s="6">
        <v>7243200</v>
      </c>
    </row>
    <row r="422" spans="1:9" x14ac:dyDescent="0.25">
      <c r="A422" t="s">
        <v>176</v>
      </c>
      <c r="B422" s="16" t="str">
        <f>"27206"</f>
        <v>27206</v>
      </c>
      <c r="C422" t="s">
        <v>10</v>
      </c>
      <c r="D422" t="s">
        <v>177</v>
      </c>
      <c r="E422" s="16" t="str">
        <f>"005"</f>
        <v>005</v>
      </c>
      <c r="F422" s="16">
        <v>2008</v>
      </c>
      <c r="G422" s="6">
        <v>541400</v>
      </c>
      <c r="H422" s="6">
        <v>721700</v>
      </c>
      <c r="I422" s="6">
        <v>-180300</v>
      </c>
    </row>
    <row r="423" spans="1:9" x14ac:dyDescent="0.25">
      <c r="A423" t="s">
        <v>176</v>
      </c>
      <c r="B423" s="16" t="str">
        <f>"27206"</f>
        <v>27206</v>
      </c>
      <c r="C423" t="s">
        <v>10</v>
      </c>
      <c r="D423" t="s">
        <v>177</v>
      </c>
      <c r="E423" s="16" t="str">
        <f>"006"</f>
        <v>006</v>
      </c>
      <c r="F423" s="16">
        <v>2017</v>
      </c>
      <c r="G423" s="6">
        <v>9296100</v>
      </c>
      <c r="H423" s="6">
        <v>7792200</v>
      </c>
      <c r="I423" s="6">
        <v>1503900</v>
      </c>
    </row>
    <row r="424" spans="1:9" x14ac:dyDescent="0.25">
      <c r="A424" t="s">
        <v>176</v>
      </c>
      <c r="B424" s="16" t="str">
        <f>"27206"</f>
        <v>27206</v>
      </c>
      <c r="C424" t="s">
        <v>10</v>
      </c>
      <c r="D424" t="s">
        <v>177</v>
      </c>
      <c r="E424" s="16" t="str">
        <f>"007"</f>
        <v>007</v>
      </c>
      <c r="F424" s="16">
        <v>2017</v>
      </c>
      <c r="G424" s="6">
        <v>292900</v>
      </c>
      <c r="H424" s="6">
        <v>0</v>
      </c>
      <c r="I424" s="6">
        <v>292900</v>
      </c>
    </row>
    <row r="425" spans="1:9" x14ac:dyDescent="0.25">
      <c r="A425" t="s">
        <v>176</v>
      </c>
      <c r="B425" s="16" t="str">
        <f>"27136"</f>
        <v>27136</v>
      </c>
      <c r="C425" t="s">
        <v>11</v>
      </c>
      <c r="D425" t="s">
        <v>178</v>
      </c>
      <c r="E425" s="16" t="str">
        <f>"001"</f>
        <v>001</v>
      </c>
      <c r="F425" s="16">
        <v>2007</v>
      </c>
      <c r="G425" s="6">
        <v>10867400</v>
      </c>
      <c r="H425" s="6">
        <v>1557000</v>
      </c>
      <c r="I425" s="6">
        <v>9310400</v>
      </c>
    </row>
    <row r="426" spans="1:9" x14ac:dyDescent="0.25">
      <c r="A426" t="s">
        <v>176</v>
      </c>
      <c r="B426" s="16" t="str">
        <f>"27152"</f>
        <v>27152</v>
      </c>
      <c r="C426" t="s">
        <v>11</v>
      </c>
      <c r="D426" t="s">
        <v>179</v>
      </c>
      <c r="E426" s="16" t="str">
        <f>"001"</f>
        <v>001</v>
      </c>
      <c r="F426" s="16">
        <v>2018</v>
      </c>
      <c r="G426" s="6">
        <v>3787700</v>
      </c>
      <c r="H426" s="6">
        <v>2520600</v>
      </c>
      <c r="I426" s="6">
        <v>1267100</v>
      </c>
    </row>
    <row r="427" spans="1:9" x14ac:dyDescent="0.25">
      <c r="A427" t="s">
        <v>176</v>
      </c>
      <c r="B427" s="16" t="str">
        <f>"27186"</f>
        <v>27186</v>
      </c>
      <c r="C427" t="s">
        <v>11</v>
      </c>
      <c r="D427" t="s">
        <v>180</v>
      </c>
      <c r="E427" s="16" t="str">
        <f>"004"</f>
        <v>004</v>
      </c>
      <c r="F427" s="16">
        <v>1999</v>
      </c>
      <c r="G427" s="6">
        <v>936700</v>
      </c>
      <c r="H427" s="6">
        <v>398800</v>
      </c>
      <c r="I427" s="6">
        <v>537900</v>
      </c>
    </row>
    <row r="428" spans="1:9" x14ac:dyDescent="0.25">
      <c r="A428" t="s">
        <v>181</v>
      </c>
      <c r="B428" s="16" t="str">
        <f>"28226"</f>
        <v>28226</v>
      </c>
      <c r="C428" t="s">
        <v>10</v>
      </c>
      <c r="D428" t="s">
        <v>182</v>
      </c>
      <c r="E428" s="16" t="str">
        <f>"006"</f>
        <v>006</v>
      </c>
      <c r="F428" s="16">
        <v>2000</v>
      </c>
      <c r="G428" s="6">
        <v>7538300</v>
      </c>
      <c r="H428" s="6">
        <v>1135400</v>
      </c>
      <c r="I428" s="6">
        <v>6402900</v>
      </c>
    </row>
    <row r="429" spans="1:9" x14ac:dyDescent="0.25">
      <c r="A429" t="s">
        <v>181</v>
      </c>
      <c r="B429" s="16" t="str">
        <f>"28226"</f>
        <v>28226</v>
      </c>
      <c r="C429" t="s">
        <v>10</v>
      </c>
      <c r="D429" t="s">
        <v>182</v>
      </c>
      <c r="E429" s="16" t="str">
        <f>"007"</f>
        <v>007</v>
      </c>
      <c r="F429" s="16">
        <v>2000</v>
      </c>
      <c r="G429" s="6">
        <v>31758700</v>
      </c>
      <c r="H429" s="6">
        <v>11587900</v>
      </c>
      <c r="I429" s="6">
        <v>20170800</v>
      </c>
    </row>
    <row r="430" spans="1:9" x14ac:dyDescent="0.25">
      <c r="A430" t="s">
        <v>181</v>
      </c>
      <c r="B430" s="16" t="str">
        <f>"28226"</f>
        <v>28226</v>
      </c>
      <c r="C430" t="s">
        <v>10</v>
      </c>
      <c r="D430" t="s">
        <v>182</v>
      </c>
      <c r="E430" s="16" t="str">
        <f>"008"</f>
        <v>008</v>
      </c>
      <c r="F430" s="16">
        <v>2009</v>
      </c>
      <c r="G430" s="6">
        <v>65204300</v>
      </c>
      <c r="H430" s="6">
        <v>28584200</v>
      </c>
      <c r="I430" s="6">
        <v>36620100</v>
      </c>
    </row>
    <row r="431" spans="1:9" x14ac:dyDescent="0.25">
      <c r="A431" t="s">
        <v>181</v>
      </c>
      <c r="B431" s="16" t="str">
        <f>"28241"</f>
        <v>28241</v>
      </c>
      <c r="C431" t="s">
        <v>10</v>
      </c>
      <c r="D431" t="s">
        <v>181</v>
      </c>
      <c r="E431" s="16" t="str">
        <f>"005"</f>
        <v>005</v>
      </c>
      <c r="F431" s="16">
        <v>2001</v>
      </c>
      <c r="G431" s="6">
        <v>35026600</v>
      </c>
      <c r="H431" s="6">
        <v>21437300</v>
      </c>
      <c r="I431" s="6">
        <v>13589300</v>
      </c>
    </row>
    <row r="432" spans="1:9" x14ac:dyDescent="0.25">
      <c r="A432" t="s">
        <v>181</v>
      </c>
      <c r="B432" s="16" t="str">
        <f>"28241"</f>
        <v>28241</v>
      </c>
      <c r="C432" t="s">
        <v>10</v>
      </c>
      <c r="D432" t="s">
        <v>181</v>
      </c>
      <c r="E432" s="16" t="str">
        <f>"006"</f>
        <v>006</v>
      </c>
      <c r="F432" s="16">
        <v>2009</v>
      </c>
      <c r="G432" s="6">
        <v>8104300</v>
      </c>
      <c r="H432" s="6">
        <v>0</v>
      </c>
      <c r="I432" s="6">
        <v>8104300</v>
      </c>
    </row>
    <row r="433" spans="1:9" x14ac:dyDescent="0.25">
      <c r="A433" t="s">
        <v>181</v>
      </c>
      <c r="B433" s="16" t="str">
        <f>"28241"</f>
        <v>28241</v>
      </c>
      <c r="C433" t="s">
        <v>10</v>
      </c>
      <c r="D433" t="s">
        <v>181</v>
      </c>
      <c r="E433" s="16" t="str">
        <f>"007"</f>
        <v>007</v>
      </c>
      <c r="F433" s="16">
        <v>2012</v>
      </c>
      <c r="G433" s="6">
        <v>10700700</v>
      </c>
      <c r="H433" s="6">
        <v>18200</v>
      </c>
      <c r="I433" s="6">
        <v>10682500</v>
      </c>
    </row>
    <row r="434" spans="1:9" x14ac:dyDescent="0.25">
      <c r="A434" t="s">
        <v>181</v>
      </c>
      <c r="B434" s="16" t="str">
        <f>"28241"</f>
        <v>28241</v>
      </c>
      <c r="C434" t="s">
        <v>10</v>
      </c>
      <c r="D434" t="s">
        <v>181</v>
      </c>
      <c r="E434" s="16" t="str">
        <f>"008"</f>
        <v>008</v>
      </c>
      <c r="F434" s="16">
        <v>2015</v>
      </c>
      <c r="G434" s="6">
        <v>1303600</v>
      </c>
      <c r="H434" s="6">
        <v>873200</v>
      </c>
      <c r="I434" s="6">
        <v>430400</v>
      </c>
    </row>
    <row r="435" spans="1:9" x14ac:dyDescent="0.25">
      <c r="A435" t="s">
        <v>181</v>
      </c>
      <c r="B435" s="16" t="str">
        <f>"28241"</f>
        <v>28241</v>
      </c>
      <c r="C435" t="s">
        <v>10</v>
      </c>
      <c r="D435" t="s">
        <v>181</v>
      </c>
      <c r="E435" s="16" t="str">
        <f>"009"</f>
        <v>009</v>
      </c>
      <c r="F435" s="16">
        <v>2019</v>
      </c>
      <c r="G435" s="6">
        <v>3846600</v>
      </c>
      <c r="H435" s="6">
        <v>15100</v>
      </c>
      <c r="I435" s="6">
        <v>3831500</v>
      </c>
    </row>
    <row r="436" spans="1:9" x14ac:dyDescent="0.25">
      <c r="A436" t="s">
        <v>181</v>
      </c>
      <c r="B436" s="16" t="str">
        <f>"28141"</f>
        <v>28141</v>
      </c>
      <c r="C436" t="s">
        <v>11</v>
      </c>
      <c r="D436" t="s">
        <v>183</v>
      </c>
      <c r="E436" s="16" t="str">
        <f>"002"</f>
        <v>002</v>
      </c>
      <c r="F436" s="16">
        <v>1994</v>
      </c>
      <c r="G436" s="6">
        <v>100370200</v>
      </c>
      <c r="H436" s="6">
        <v>11378800</v>
      </c>
      <c r="I436" s="6">
        <v>88991400</v>
      </c>
    </row>
    <row r="437" spans="1:9" x14ac:dyDescent="0.25">
      <c r="A437" t="s">
        <v>181</v>
      </c>
      <c r="B437" s="16" t="str">
        <f>"28141"</f>
        <v>28141</v>
      </c>
      <c r="C437" t="s">
        <v>11</v>
      </c>
      <c r="D437" t="s">
        <v>183</v>
      </c>
      <c r="E437" s="16" t="str">
        <f>"003"</f>
        <v>003</v>
      </c>
      <c r="F437" s="16">
        <v>1995</v>
      </c>
      <c r="G437" s="6">
        <v>59342100</v>
      </c>
      <c r="H437" s="6">
        <v>701400</v>
      </c>
      <c r="I437" s="6">
        <v>58640700</v>
      </c>
    </row>
    <row r="438" spans="1:9" x14ac:dyDescent="0.25">
      <c r="A438" t="s">
        <v>181</v>
      </c>
      <c r="B438" s="16" t="str">
        <f>"28246"</f>
        <v>28246</v>
      </c>
      <c r="C438" t="s">
        <v>10</v>
      </c>
      <c r="D438" t="s">
        <v>184</v>
      </c>
      <c r="E438" s="16" t="str">
        <f>"003"</f>
        <v>003</v>
      </c>
      <c r="F438" s="16">
        <v>2006</v>
      </c>
      <c r="G438" s="6">
        <v>12227600</v>
      </c>
      <c r="H438" s="6">
        <v>6993800</v>
      </c>
      <c r="I438" s="6">
        <v>5233800</v>
      </c>
    </row>
    <row r="439" spans="1:9" x14ac:dyDescent="0.25">
      <c r="A439" t="s">
        <v>181</v>
      </c>
      <c r="B439" s="16" t="str">
        <f>"28246"</f>
        <v>28246</v>
      </c>
      <c r="C439" t="s">
        <v>10</v>
      </c>
      <c r="D439" t="s">
        <v>184</v>
      </c>
      <c r="E439" s="16" t="str">
        <f>"004"</f>
        <v>004</v>
      </c>
      <c r="F439" s="16">
        <v>2006</v>
      </c>
      <c r="G439" s="6">
        <v>27430500</v>
      </c>
      <c r="H439" s="6">
        <v>8565400</v>
      </c>
      <c r="I439" s="6">
        <v>18865100</v>
      </c>
    </row>
    <row r="440" spans="1:9" x14ac:dyDescent="0.25">
      <c r="A440" t="s">
        <v>181</v>
      </c>
      <c r="B440" s="16" t="str">
        <f>"28246"</f>
        <v>28246</v>
      </c>
      <c r="C440" t="s">
        <v>10</v>
      </c>
      <c r="D440" t="s">
        <v>184</v>
      </c>
      <c r="E440" s="16" t="str">
        <f>"005"</f>
        <v>005</v>
      </c>
      <c r="F440" s="16">
        <v>2014</v>
      </c>
      <c r="G440" s="6">
        <v>6451400</v>
      </c>
      <c r="H440" s="6">
        <v>4388700</v>
      </c>
      <c r="I440" s="6">
        <v>2062700</v>
      </c>
    </row>
    <row r="441" spans="1:9" x14ac:dyDescent="0.25">
      <c r="A441" t="s">
        <v>181</v>
      </c>
      <c r="B441" s="16" t="str">
        <f>"28246"</f>
        <v>28246</v>
      </c>
      <c r="C441" t="s">
        <v>10</v>
      </c>
      <c r="D441" t="s">
        <v>184</v>
      </c>
      <c r="E441" s="16" t="str">
        <f>"006"</f>
        <v>006</v>
      </c>
      <c r="F441" s="16">
        <v>2014</v>
      </c>
      <c r="G441" s="6">
        <v>5849700</v>
      </c>
      <c r="H441" s="6">
        <v>3312200</v>
      </c>
      <c r="I441" s="6">
        <v>2537500</v>
      </c>
    </row>
    <row r="442" spans="1:9" x14ac:dyDescent="0.25">
      <c r="A442" t="s">
        <v>181</v>
      </c>
      <c r="B442" s="16" t="str">
        <f>"28246"</f>
        <v>28246</v>
      </c>
      <c r="C442" t="s">
        <v>10</v>
      </c>
      <c r="D442" t="s">
        <v>184</v>
      </c>
      <c r="E442" s="16" t="str">
        <f>"007"</f>
        <v>007</v>
      </c>
      <c r="F442" s="16">
        <v>2019</v>
      </c>
      <c r="G442" s="6">
        <v>11962900</v>
      </c>
      <c r="H442" s="6">
        <v>9657200</v>
      </c>
      <c r="I442" s="6">
        <v>2305700</v>
      </c>
    </row>
    <row r="443" spans="1:9" x14ac:dyDescent="0.25">
      <c r="A443" t="s">
        <v>181</v>
      </c>
      <c r="B443" s="16" t="str">
        <f>"28171"</f>
        <v>28171</v>
      </c>
      <c r="C443" t="s">
        <v>11</v>
      </c>
      <c r="D443" t="s">
        <v>185</v>
      </c>
      <c r="E443" s="16" t="str">
        <f>"003"</f>
        <v>003</v>
      </c>
      <c r="F443" s="16">
        <v>2006</v>
      </c>
      <c r="G443" s="6">
        <v>8998000</v>
      </c>
      <c r="H443" s="6">
        <v>442200</v>
      </c>
      <c r="I443" s="6">
        <v>8555800</v>
      </c>
    </row>
    <row r="444" spans="1:9" x14ac:dyDescent="0.25">
      <c r="A444" t="s">
        <v>181</v>
      </c>
      <c r="B444" s="16" t="str">
        <f>"28290"</f>
        <v>28290</v>
      </c>
      <c r="C444" t="s">
        <v>10</v>
      </c>
      <c r="D444" t="s">
        <v>186</v>
      </c>
      <c r="E444" s="16" t="str">
        <f>"002"</f>
        <v>002</v>
      </c>
      <c r="F444" s="16">
        <v>2011</v>
      </c>
      <c r="G444" s="6">
        <v>12966700</v>
      </c>
      <c r="H444" s="6">
        <v>7158000</v>
      </c>
      <c r="I444" s="6">
        <v>5808700</v>
      </c>
    </row>
    <row r="445" spans="1:9" x14ac:dyDescent="0.25">
      <c r="A445" t="s">
        <v>181</v>
      </c>
      <c r="B445" s="16" t="str">
        <f>"28290"</f>
        <v>28290</v>
      </c>
      <c r="C445" t="s">
        <v>10</v>
      </c>
      <c r="D445" t="s">
        <v>186</v>
      </c>
      <c r="E445" s="16" t="str">
        <f>"003"</f>
        <v>003</v>
      </c>
      <c r="F445" s="16">
        <v>2012</v>
      </c>
      <c r="G445" s="6">
        <v>5626000</v>
      </c>
      <c r="H445" s="6">
        <v>1583100</v>
      </c>
      <c r="I445" s="6">
        <v>4042900</v>
      </c>
    </row>
    <row r="446" spans="1:9" x14ac:dyDescent="0.25">
      <c r="A446" t="s">
        <v>181</v>
      </c>
      <c r="B446" s="16" t="str">
        <f>"28290"</f>
        <v>28290</v>
      </c>
      <c r="C446" t="s">
        <v>10</v>
      </c>
      <c r="D446" t="s">
        <v>186</v>
      </c>
      <c r="E446" s="16" t="str">
        <f>"004"</f>
        <v>004</v>
      </c>
      <c r="F446" s="16">
        <v>2014</v>
      </c>
      <c r="G446" s="6">
        <v>2805900</v>
      </c>
      <c r="H446" s="6">
        <v>2320100</v>
      </c>
      <c r="I446" s="6">
        <v>485800</v>
      </c>
    </row>
    <row r="447" spans="1:9" x14ac:dyDescent="0.25">
      <c r="A447" t="s">
        <v>181</v>
      </c>
      <c r="B447" s="16" t="str">
        <f>"28291"</f>
        <v>28291</v>
      </c>
      <c r="C447" t="s">
        <v>10</v>
      </c>
      <c r="D447" t="s">
        <v>187</v>
      </c>
      <c r="E447" s="16" t="str">
        <f>"004"</f>
        <v>004</v>
      </c>
      <c r="F447" s="16">
        <v>2005</v>
      </c>
      <c r="G447" s="6">
        <v>44631100</v>
      </c>
      <c r="H447" s="6">
        <v>1047600</v>
      </c>
      <c r="I447" s="6">
        <v>43583500</v>
      </c>
    </row>
    <row r="448" spans="1:9" x14ac:dyDescent="0.25">
      <c r="A448" t="s">
        <v>181</v>
      </c>
      <c r="B448" s="16" t="str">
        <f>"28291"</f>
        <v>28291</v>
      </c>
      <c r="C448" t="s">
        <v>10</v>
      </c>
      <c r="D448" t="s">
        <v>187</v>
      </c>
      <c r="E448" s="16" t="str">
        <f>"005"</f>
        <v>005</v>
      </c>
      <c r="F448" s="16">
        <v>2005</v>
      </c>
      <c r="G448" s="6">
        <v>61892600</v>
      </c>
      <c r="H448" s="6">
        <v>39631000</v>
      </c>
      <c r="I448" s="6">
        <v>22261600</v>
      </c>
    </row>
    <row r="449" spans="1:9" x14ac:dyDescent="0.25">
      <c r="A449" t="s">
        <v>181</v>
      </c>
      <c r="B449" s="16" t="str">
        <f>"28291"</f>
        <v>28291</v>
      </c>
      <c r="C449" t="s">
        <v>10</v>
      </c>
      <c r="D449" t="s">
        <v>187</v>
      </c>
      <c r="E449" s="16" t="str">
        <f>"006"</f>
        <v>006</v>
      </c>
      <c r="F449" s="16">
        <v>2005</v>
      </c>
      <c r="G449" s="6">
        <v>3596000</v>
      </c>
      <c r="H449" s="6">
        <v>225800</v>
      </c>
      <c r="I449" s="6">
        <v>3370200</v>
      </c>
    </row>
    <row r="450" spans="1:9" x14ac:dyDescent="0.25">
      <c r="A450" t="s">
        <v>181</v>
      </c>
      <c r="B450" s="16" t="str">
        <f>"28291"</f>
        <v>28291</v>
      </c>
      <c r="C450" t="s">
        <v>10</v>
      </c>
      <c r="D450" t="s">
        <v>187</v>
      </c>
      <c r="E450" s="16" t="str">
        <f>"007"</f>
        <v>007</v>
      </c>
      <c r="F450" s="16">
        <v>2016</v>
      </c>
      <c r="G450" s="6">
        <v>46458400</v>
      </c>
      <c r="H450" s="6">
        <v>42443600</v>
      </c>
      <c r="I450" s="6">
        <v>4014800</v>
      </c>
    </row>
    <row r="451" spans="1:9" x14ac:dyDescent="0.25">
      <c r="A451" t="s">
        <v>181</v>
      </c>
      <c r="B451" s="16" t="str">
        <f>"28292"</f>
        <v>28292</v>
      </c>
      <c r="C451" t="s">
        <v>10</v>
      </c>
      <c r="D451" t="s">
        <v>188</v>
      </c>
      <c r="E451" s="16" t="str">
        <f>"004"</f>
        <v>004</v>
      </c>
      <c r="F451" s="16">
        <v>1990</v>
      </c>
      <c r="G451" s="6">
        <v>33862500</v>
      </c>
      <c r="H451" s="6">
        <v>1936400</v>
      </c>
      <c r="I451" s="6">
        <v>31926100</v>
      </c>
    </row>
    <row r="452" spans="1:9" x14ac:dyDescent="0.25">
      <c r="A452" t="s">
        <v>122</v>
      </c>
      <c r="B452" s="16" t="str">
        <f>"29111"</f>
        <v>29111</v>
      </c>
      <c r="C452" t="s">
        <v>11</v>
      </c>
      <c r="D452" t="s">
        <v>189</v>
      </c>
      <c r="E452" s="16" t="str">
        <f>"001"</f>
        <v>001</v>
      </c>
      <c r="F452" s="16">
        <v>1995</v>
      </c>
      <c r="G452" s="6">
        <v>5704300</v>
      </c>
      <c r="H452" s="6">
        <v>630200</v>
      </c>
      <c r="I452" s="6">
        <v>5074100</v>
      </c>
    </row>
    <row r="453" spans="1:9" x14ac:dyDescent="0.25">
      <c r="A453" t="s">
        <v>122</v>
      </c>
      <c r="B453" s="16" t="str">
        <f>"29221"</f>
        <v>29221</v>
      </c>
      <c r="C453" t="s">
        <v>10</v>
      </c>
      <c r="D453" t="s">
        <v>190</v>
      </c>
      <c r="E453" s="16" t="str">
        <f>"002"</f>
        <v>002</v>
      </c>
      <c r="F453" s="16">
        <v>1999</v>
      </c>
      <c r="G453" s="6">
        <v>654200</v>
      </c>
      <c r="H453" s="6">
        <v>273200</v>
      </c>
      <c r="I453" s="6">
        <v>381000</v>
      </c>
    </row>
    <row r="454" spans="1:9" x14ac:dyDescent="0.25">
      <c r="A454" t="s">
        <v>122</v>
      </c>
      <c r="B454" s="16" t="str">
        <f>"29221"</f>
        <v>29221</v>
      </c>
      <c r="C454" t="s">
        <v>10</v>
      </c>
      <c r="D454" t="s">
        <v>190</v>
      </c>
      <c r="E454" s="16" t="str">
        <f>"003"</f>
        <v>003</v>
      </c>
      <c r="F454" s="16">
        <v>1999</v>
      </c>
      <c r="G454" s="6">
        <v>3917500</v>
      </c>
      <c r="H454" s="6">
        <v>2436500</v>
      </c>
      <c r="I454" s="6">
        <v>1481000</v>
      </c>
    </row>
    <row r="455" spans="1:9" x14ac:dyDescent="0.25">
      <c r="A455" t="s">
        <v>122</v>
      </c>
      <c r="B455" s="16" t="str">
        <f>"29221"</f>
        <v>29221</v>
      </c>
      <c r="C455" t="s">
        <v>10</v>
      </c>
      <c r="D455" t="s">
        <v>190</v>
      </c>
      <c r="E455" s="16" t="str">
        <f>"004"</f>
        <v>004</v>
      </c>
      <c r="F455" s="16">
        <v>1999</v>
      </c>
      <c r="G455" s="6">
        <v>4359700</v>
      </c>
      <c r="H455" s="6">
        <v>1311300</v>
      </c>
      <c r="I455" s="6">
        <v>3048400</v>
      </c>
    </row>
    <row r="456" spans="1:9" x14ac:dyDescent="0.25">
      <c r="A456" t="s">
        <v>122</v>
      </c>
      <c r="B456" s="16" t="str">
        <f>"29221"</f>
        <v>29221</v>
      </c>
      <c r="C456" t="s">
        <v>10</v>
      </c>
      <c r="D456" t="s">
        <v>190</v>
      </c>
      <c r="E456" s="16" t="str">
        <f>"005"</f>
        <v>005</v>
      </c>
      <c r="F456" s="16">
        <v>1999</v>
      </c>
      <c r="G456" s="6">
        <v>2948600</v>
      </c>
      <c r="H456" s="6">
        <v>36500</v>
      </c>
      <c r="I456" s="6">
        <v>2912100</v>
      </c>
    </row>
    <row r="457" spans="1:9" x14ac:dyDescent="0.25">
      <c r="A457" t="s">
        <v>122</v>
      </c>
      <c r="B457" s="16" t="str">
        <f>"29221"</f>
        <v>29221</v>
      </c>
      <c r="C457" t="s">
        <v>10</v>
      </c>
      <c r="D457" t="s">
        <v>190</v>
      </c>
      <c r="E457" s="16" t="str">
        <f>"006"</f>
        <v>006</v>
      </c>
      <c r="F457" s="16">
        <v>2014</v>
      </c>
      <c r="G457" s="6">
        <v>2483700</v>
      </c>
      <c r="H457" s="6">
        <v>818500</v>
      </c>
      <c r="I457" s="6">
        <v>1665200</v>
      </c>
    </row>
    <row r="458" spans="1:9" x14ac:dyDescent="0.25">
      <c r="A458" t="s">
        <v>122</v>
      </c>
      <c r="B458" s="16" t="str">
        <f>"29251"</f>
        <v>29251</v>
      </c>
      <c r="C458" t="s">
        <v>10</v>
      </c>
      <c r="D458" t="s">
        <v>191</v>
      </c>
      <c r="E458" s="16" t="str">
        <f>"002"</f>
        <v>002</v>
      </c>
      <c r="F458" s="16">
        <v>1995</v>
      </c>
      <c r="G458" s="6">
        <v>23914100</v>
      </c>
      <c r="H458" s="6">
        <v>2684900</v>
      </c>
      <c r="I458" s="6">
        <v>21229200</v>
      </c>
    </row>
    <row r="459" spans="1:9" x14ac:dyDescent="0.25">
      <c r="A459" t="s">
        <v>122</v>
      </c>
      <c r="B459" s="16" t="str">
        <f>"29251"</f>
        <v>29251</v>
      </c>
      <c r="C459" t="s">
        <v>10</v>
      </c>
      <c r="D459" t="s">
        <v>191</v>
      </c>
      <c r="E459" s="16" t="str">
        <f>"003"</f>
        <v>003</v>
      </c>
      <c r="F459" s="16">
        <v>1995</v>
      </c>
      <c r="G459" s="6">
        <v>48169300</v>
      </c>
      <c r="H459" s="6">
        <v>9184500</v>
      </c>
      <c r="I459" s="6">
        <v>38984800</v>
      </c>
    </row>
    <row r="460" spans="1:9" x14ac:dyDescent="0.25">
      <c r="A460" t="s">
        <v>122</v>
      </c>
      <c r="B460" s="16" t="str">
        <f>"29161"</f>
        <v>29161</v>
      </c>
      <c r="C460" t="s">
        <v>11</v>
      </c>
      <c r="D460" t="s">
        <v>192</v>
      </c>
      <c r="E460" s="16" t="str">
        <f>"002"</f>
        <v>002</v>
      </c>
      <c r="F460" s="16">
        <v>1995</v>
      </c>
      <c r="G460" s="6">
        <v>6830800</v>
      </c>
      <c r="H460" s="6">
        <v>1233500</v>
      </c>
      <c r="I460" s="6">
        <v>5597300</v>
      </c>
    </row>
    <row r="461" spans="1:9" x14ac:dyDescent="0.25">
      <c r="A461" t="s">
        <v>122</v>
      </c>
      <c r="B461" s="16" t="str">
        <f>"29161"</f>
        <v>29161</v>
      </c>
      <c r="C461" t="s">
        <v>11</v>
      </c>
      <c r="D461" t="s">
        <v>192</v>
      </c>
      <c r="E461" s="16" t="str">
        <f>"003"</f>
        <v>003</v>
      </c>
      <c r="F461" s="16">
        <v>1995</v>
      </c>
      <c r="G461" s="6">
        <v>15080900</v>
      </c>
      <c r="H461" s="6">
        <v>7296300</v>
      </c>
      <c r="I461" s="6">
        <v>7784600</v>
      </c>
    </row>
    <row r="462" spans="1:9" x14ac:dyDescent="0.25">
      <c r="A462" t="s">
        <v>122</v>
      </c>
      <c r="B462" s="16" t="str">
        <f>"29261"</f>
        <v>29261</v>
      </c>
      <c r="C462" t="s">
        <v>10</v>
      </c>
      <c r="D462" t="s">
        <v>193</v>
      </c>
      <c r="E462" s="16" t="str">
        <f>"009"</f>
        <v>009</v>
      </c>
      <c r="F462" s="16">
        <v>1991</v>
      </c>
      <c r="G462" s="6">
        <v>431900</v>
      </c>
      <c r="H462" s="6">
        <v>8300</v>
      </c>
      <c r="I462" s="6">
        <v>423600</v>
      </c>
    </row>
    <row r="463" spans="1:9" x14ac:dyDescent="0.25">
      <c r="A463" t="s">
        <v>122</v>
      </c>
      <c r="B463" s="16" t="str">
        <f>"29261"</f>
        <v>29261</v>
      </c>
      <c r="C463" t="s">
        <v>10</v>
      </c>
      <c r="D463" t="s">
        <v>193</v>
      </c>
      <c r="E463" s="16" t="str">
        <f>"010"</f>
        <v>010</v>
      </c>
      <c r="F463" s="16">
        <v>1991</v>
      </c>
      <c r="G463" s="6">
        <v>319400</v>
      </c>
      <c r="H463" s="6">
        <v>9900</v>
      </c>
      <c r="I463" s="6">
        <v>309500</v>
      </c>
    </row>
    <row r="464" spans="1:9" x14ac:dyDescent="0.25">
      <c r="A464" t="s">
        <v>122</v>
      </c>
      <c r="B464" s="16" t="str">
        <f>"29261"</f>
        <v>29261</v>
      </c>
      <c r="C464" t="s">
        <v>10</v>
      </c>
      <c r="D464" t="s">
        <v>193</v>
      </c>
      <c r="E464" s="16" t="str">
        <f>"012"</f>
        <v>012</v>
      </c>
      <c r="F464" s="16">
        <v>2010</v>
      </c>
      <c r="G464" s="6">
        <v>4095000</v>
      </c>
      <c r="H464" s="6">
        <v>1140800</v>
      </c>
      <c r="I464" s="6">
        <v>2954200</v>
      </c>
    </row>
    <row r="465" spans="1:9" x14ac:dyDescent="0.25">
      <c r="A465" t="s">
        <v>122</v>
      </c>
      <c r="B465" s="16" t="str">
        <f>"29261"</f>
        <v>29261</v>
      </c>
      <c r="C465" t="s">
        <v>10</v>
      </c>
      <c r="D465" t="s">
        <v>193</v>
      </c>
      <c r="E465" s="16" t="str">
        <f>"013"</f>
        <v>013</v>
      </c>
      <c r="F465" s="16">
        <v>2010</v>
      </c>
      <c r="G465" s="6">
        <v>213200</v>
      </c>
      <c r="H465" s="6">
        <v>157200</v>
      </c>
      <c r="I465" s="6">
        <v>56000</v>
      </c>
    </row>
    <row r="466" spans="1:9" x14ac:dyDescent="0.25">
      <c r="A466" t="s">
        <v>122</v>
      </c>
      <c r="B466" s="16" t="str">
        <f>"29291"</f>
        <v>29291</v>
      </c>
      <c r="C466" t="s">
        <v>10</v>
      </c>
      <c r="D466" t="s">
        <v>15</v>
      </c>
      <c r="E466" s="16" t="str">
        <f>"004"</f>
        <v>004</v>
      </c>
      <c r="F466" s="16">
        <v>2006</v>
      </c>
      <c r="G466" s="6">
        <v>520300</v>
      </c>
      <c r="H466" s="6">
        <v>549700</v>
      </c>
      <c r="I466" s="6">
        <v>-29400</v>
      </c>
    </row>
    <row r="467" spans="1:9" x14ac:dyDescent="0.25">
      <c r="A467" t="s">
        <v>194</v>
      </c>
      <c r="B467" s="16" t="str">
        <f>"30104"</f>
        <v>30104</v>
      </c>
      <c r="C467" t="s">
        <v>11</v>
      </c>
      <c r="D467" t="s">
        <v>195</v>
      </c>
      <c r="E467" s="16" t="str">
        <f>"001"</f>
        <v>001</v>
      </c>
      <c r="F467" s="16">
        <v>2019</v>
      </c>
      <c r="G467" s="6">
        <v>762300</v>
      </c>
      <c r="H467" s="6">
        <v>1290400</v>
      </c>
      <c r="I467" s="6">
        <v>-528100</v>
      </c>
    </row>
    <row r="468" spans="1:9" x14ac:dyDescent="0.25">
      <c r="A468" t="s">
        <v>194</v>
      </c>
      <c r="B468" s="16" t="str">
        <f>"30104"</f>
        <v>30104</v>
      </c>
      <c r="C468" t="s">
        <v>11</v>
      </c>
      <c r="D468" t="s">
        <v>195</v>
      </c>
      <c r="E468" s="16" t="str">
        <f>"002"</f>
        <v>002</v>
      </c>
      <c r="F468" s="16">
        <v>2019</v>
      </c>
      <c r="G468" s="6">
        <v>40284200</v>
      </c>
      <c r="H468" s="6">
        <v>0</v>
      </c>
      <c r="I468" s="6">
        <v>40284200</v>
      </c>
    </row>
    <row r="469" spans="1:9" x14ac:dyDescent="0.25">
      <c r="A469" t="s">
        <v>194</v>
      </c>
      <c r="B469" s="16" t="str">
        <f t="shared" ref="B469:B493" si="17">"30241"</f>
        <v>30241</v>
      </c>
      <c r="C469" t="s">
        <v>10</v>
      </c>
      <c r="D469" t="s">
        <v>194</v>
      </c>
      <c r="E469" s="16" t="str">
        <f>"004"</f>
        <v>004</v>
      </c>
      <c r="F469" s="16">
        <v>1989</v>
      </c>
      <c r="G469" s="6">
        <v>128716700</v>
      </c>
      <c r="H469" s="6">
        <v>16173300</v>
      </c>
      <c r="I469" s="6">
        <v>112543400</v>
      </c>
    </row>
    <row r="470" spans="1:9" x14ac:dyDescent="0.25">
      <c r="A470" t="s">
        <v>194</v>
      </c>
      <c r="B470" s="16" t="str">
        <f t="shared" si="17"/>
        <v>30241</v>
      </c>
      <c r="C470" t="s">
        <v>10</v>
      </c>
      <c r="D470" t="s">
        <v>194</v>
      </c>
      <c r="E470" s="16" t="str">
        <f>"005"</f>
        <v>005</v>
      </c>
      <c r="F470" s="16">
        <v>1994</v>
      </c>
      <c r="G470" s="6">
        <v>114909800</v>
      </c>
      <c r="H470" s="6">
        <v>319700</v>
      </c>
      <c r="I470" s="6">
        <v>114590100</v>
      </c>
    </row>
    <row r="471" spans="1:9" x14ac:dyDescent="0.25">
      <c r="A471" t="s">
        <v>194</v>
      </c>
      <c r="B471" s="16" t="str">
        <f t="shared" si="17"/>
        <v>30241</v>
      </c>
      <c r="C471" t="s">
        <v>10</v>
      </c>
      <c r="D471" t="s">
        <v>194</v>
      </c>
      <c r="E471" s="16" t="str">
        <f>"006"</f>
        <v>006</v>
      </c>
      <c r="F471" s="16">
        <v>1997</v>
      </c>
      <c r="G471" s="6">
        <v>18899500</v>
      </c>
      <c r="H471" s="6">
        <v>3716200</v>
      </c>
      <c r="I471" s="6">
        <v>15183300</v>
      </c>
    </row>
    <row r="472" spans="1:9" x14ac:dyDescent="0.25">
      <c r="A472" t="s">
        <v>194</v>
      </c>
      <c r="B472" s="16" t="str">
        <f t="shared" si="17"/>
        <v>30241</v>
      </c>
      <c r="C472" t="s">
        <v>10</v>
      </c>
      <c r="D472" t="s">
        <v>194</v>
      </c>
      <c r="E472" s="16" t="str">
        <f>"007"</f>
        <v>007</v>
      </c>
      <c r="F472" s="16">
        <v>2002</v>
      </c>
      <c r="G472" s="6">
        <v>12669500</v>
      </c>
      <c r="H472" s="6">
        <v>1178600</v>
      </c>
      <c r="I472" s="6">
        <v>11490900</v>
      </c>
    </row>
    <row r="473" spans="1:9" x14ac:dyDescent="0.25">
      <c r="A473" t="s">
        <v>194</v>
      </c>
      <c r="B473" s="16" t="str">
        <f t="shared" si="17"/>
        <v>30241</v>
      </c>
      <c r="C473" t="s">
        <v>10</v>
      </c>
      <c r="D473" t="s">
        <v>194</v>
      </c>
      <c r="E473" s="16" t="str">
        <f>"008"</f>
        <v>008</v>
      </c>
      <c r="F473" s="16">
        <v>2002</v>
      </c>
      <c r="G473" s="6">
        <v>71148100</v>
      </c>
      <c r="H473" s="6">
        <v>245900</v>
      </c>
      <c r="I473" s="6">
        <v>70902200</v>
      </c>
    </row>
    <row r="474" spans="1:9" x14ac:dyDescent="0.25">
      <c r="A474" t="s">
        <v>194</v>
      </c>
      <c r="B474" s="16" t="str">
        <f t="shared" si="17"/>
        <v>30241</v>
      </c>
      <c r="C474" t="s">
        <v>10</v>
      </c>
      <c r="D474" t="s">
        <v>194</v>
      </c>
      <c r="E474" s="16" t="str">
        <f>"009"</f>
        <v>009</v>
      </c>
      <c r="F474" s="16">
        <v>2003</v>
      </c>
      <c r="G474" s="6">
        <v>44950300</v>
      </c>
      <c r="H474" s="6">
        <v>24538700</v>
      </c>
      <c r="I474" s="6">
        <v>20411600</v>
      </c>
    </row>
    <row r="475" spans="1:9" x14ac:dyDescent="0.25">
      <c r="A475" t="s">
        <v>194</v>
      </c>
      <c r="B475" s="16" t="str">
        <f t="shared" si="17"/>
        <v>30241</v>
      </c>
      <c r="C475" t="s">
        <v>10</v>
      </c>
      <c r="D475" t="s">
        <v>194</v>
      </c>
      <c r="E475" s="16" t="str">
        <f>"010"</f>
        <v>010</v>
      </c>
      <c r="F475" s="16">
        <v>2005</v>
      </c>
      <c r="G475" s="6">
        <v>18031000</v>
      </c>
      <c r="H475" s="6">
        <v>12297700</v>
      </c>
      <c r="I475" s="6">
        <v>5733300</v>
      </c>
    </row>
    <row r="476" spans="1:9" x14ac:dyDescent="0.25">
      <c r="A476" t="s">
        <v>194</v>
      </c>
      <c r="B476" s="16" t="str">
        <f t="shared" si="17"/>
        <v>30241</v>
      </c>
      <c r="C476" t="s">
        <v>10</v>
      </c>
      <c r="D476" t="s">
        <v>194</v>
      </c>
      <c r="E476" s="16" t="str">
        <f>"011"</f>
        <v>011</v>
      </c>
      <c r="F476" s="16">
        <v>2006</v>
      </c>
      <c r="G476" s="6">
        <v>122375900</v>
      </c>
      <c r="H476" s="6">
        <v>2873300</v>
      </c>
      <c r="I476" s="6">
        <v>119502600</v>
      </c>
    </row>
    <row r="477" spans="1:9" x14ac:dyDescent="0.25">
      <c r="A477" t="s">
        <v>194</v>
      </c>
      <c r="B477" s="16" t="str">
        <f t="shared" si="17"/>
        <v>30241</v>
      </c>
      <c r="C477" t="s">
        <v>10</v>
      </c>
      <c r="D477" t="s">
        <v>194</v>
      </c>
      <c r="E477" s="16" t="str">
        <f>"013"</f>
        <v>013</v>
      </c>
      <c r="F477" s="16">
        <v>2008</v>
      </c>
      <c r="G477" s="6">
        <v>60658700</v>
      </c>
      <c r="H477" s="6">
        <v>625100</v>
      </c>
      <c r="I477" s="6">
        <v>60033600</v>
      </c>
    </row>
    <row r="478" spans="1:9" x14ac:dyDescent="0.25">
      <c r="A478" t="s">
        <v>194</v>
      </c>
      <c r="B478" s="16" t="str">
        <f t="shared" si="17"/>
        <v>30241</v>
      </c>
      <c r="C478" t="s">
        <v>10</v>
      </c>
      <c r="D478" t="s">
        <v>194</v>
      </c>
      <c r="E478" s="16" t="str">
        <f>"015"</f>
        <v>015</v>
      </c>
      <c r="F478" s="16">
        <v>2013</v>
      </c>
      <c r="G478" s="6">
        <v>1503600</v>
      </c>
      <c r="H478" s="6">
        <v>291500</v>
      </c>
      <c r="I478" s="6">
        <v>1212100</v>
      </c>
    </row>
    <row r="479" spans="1:9" x14ac:dyDescent="0.25">
      <c r="A479" t="s">
        <v>194</v>
      </c>
      <c r="B479" s="16" t="str">
        <f t="shared" si="17"/>
        <v>30241</v>
      </c>
      <c r="C479" t="s">
        <v>10</v>
      </c>
      <c r="D479" t="s">
        <v>194</v>
      </c>
      <c r="E479" s="16" t="str">
        <f>"016"</f>
        <v>016</v>
      </c>
      <c r="F479" s="16">
        <v>2013</v>
      </c>
      <c r="G479" s="6">
        <v>176188000</v>
      </c>
      <c r="H479" s="6">
        <v>1571900</v>
      </c>
      <c r="I479" s="6">
        <v>174616100</v>
      </c>
    </row>
    <row r="480" spans="1:9" x14ac:dyDescent="0.25">
      <c r="A480" t="s">
        <v>194</v>
      </c>
      <c r="B480" s="16" t="str">
        <f t="shared" si="17"/>
        <v>30241</v>
      </c>
      <c r="C480" t="s">
        <v>10</v>
      </c>
      <c r="D480" t="s">
        <v>194</v>
      </c>
      <c r="E480" s="16" t="str">
        <f>"017"</f>
        <v>017</v>
      </c>
      <c r="F480" s="16">
        <v>2014</v>
      </c>
      <c r="G480" s="6">
        <v>9943500</v>
      </c>
      <c r="H480" s="6">
        <v>50900</v>
      </c>
      <c r="I480" s="6">
        <v>9892600</v>
      </c>
    </row>
    <row r="481" spans="1:9" x14ac:dyDescent="0.25">
      <c r="A481" t="s">
        <v>194</v>
      </c>
      <c r="B481" s="16" t="str">
        <f t="shared" si="17"/>
        <v>30241</v>
      </c>
      <c r="C481" t="s">
        <v>10</v>
      </c>
      <c r="D481" t="s">
        <v>194</v>
      </c>
      <c r="E481" s="16" t="str">
        <f>"018"</f>
        <v>018</v>
      </c>
      <c r="F481" s="16">
        <v>2015</v>
      </c>
      <c r="G481" s="6">
        <v>14756200</v>
      </c>
      <c r="H481" s="6">
        <v>182300</v>
      </c>
      <c r="I481" s="6">
        <v>14573900</v>
      </c>
    </row>
    <row r="482" spans="1:9" x14ac:dyDescent="0.25">
      <c r="A482" t="s">
        <v>194</v>
      </c>
      <c r="B482" s="16" t="str">
        <f t="shared" si="17"/>
        <v>30241</v>
      </c>
      <c r="C482" t="s">
        <v>10</v>
      </c>
      <c r="D482" t="s">
        <v>194</v>
      </c>
      <c r="E482" s="16" t="str">
        <f>"019"</f>
        <v>019</v>
      </c>
      <c r="F482" s="16">
        <v>2017</v>
      </c>
      <c r="G482" s="6">
        <v>387200</v>
      </c>
      <c r="H482" s="6">
        <v>400900</v>
      </c>
      <c r="I482" s="6">
        <v>-13700</v>
      </c>
    </row>
    <row r="483" spans="1:9" x14ac:dyDescent="0.25">
      <c r="A483" t="s">
        <v>194</v>
      </c>
      <c r="B483" s="16" t="str">
        <f t="shared" si="17"/>
        <v>30241</v>
      </c>
      <c r="C483" t="s">
        <v>10</v>
      </c>
      <c r="D483" t="s">
        <v>194</v>
      </c>
      <c r="E483" s="16" t="str">
        <f>"020"</f>
        <v>020</v>
      </c>
      <c r="F483" s="16">
        <v>2017</v>
      </c>
      <c r="G483" s="6">
        <v>18915700</v>
      </c>
      <c r="H483" s="6">
        <v>4000</v>
      </c>
      <c r="I483" s="6">
        <v>18911700</v>
      </c>
    </row>
    <row r="484" spans="1:9" x14ac:dyDescent="0.25">
      <c r="A484" t="s">
        <v>194</v>
      </c>
      <c r="B484" s="16" t="str">
        <f t="shared" si="17"/>
        <v>30241</v>
      </c>
      <c r="C484" t="s">
        <v>10</v>
      </c>
      <c r="D484" t="s">
        <v>194</v>
      </c>
      <c r="E484" s="16" t="str">
        <f>"021"</f>
        <v>021</v>
      </c>
      <c r="F484" s="16">
        <v>2017</v>
      </c>
      <c r="G484" s="6">
        <v>53358400</v>
      </c>
      <c r="H484" s="6">
        <v>19400</v>
      </c>
      <c r="I484" s="6">
        <v>53339000</v>
      </c>
    </row>
    <row r="485" spans="1:9" x14ac:dyDescent="0.25">
      <c r="A485" t="s">
        <v>194</v>
      </c>
      <c r="B485" s="16" t="str">
        <f t="shared" si="17"/>
        <v>30241</v>
      </c>
      <c r="C485" t="s">
        <v>10</v>
      </c>
      <c r="D485" t="s">
        <v>194</v>
      </c>
      <c r="E485" s="16" t="str">
        <f>"023"</f>
        <v>023</v>
      </c>
      <c r="F485" s="16">
        <v>2018</v>
      </c>
      <c r="G485" s="6">
        <v>0</v>
      </c>
      <c r="H485" s="6">
        <v>0</v>
      </c>
      <c r="I485" s="6">
        <v>0</v>
      </c>
    </row>
    <row r="486" spans="1:9" x14ac:dyDescent="0.25">
      <c r="A486" t="s">
        <v>194</v>
      </c>
      <c r="B486" s="16" t="str">
        <f t="shared" si="17"/>
        <v>30241</v>
      </c>
      <c r="C486" t="s">
        <v>10</v>
      </c>
      <c r="D486" t="s">
        <v>194</v>
      </c>
      <c r="E486" s="16" t="str">
        <f>"024"</f>
        <v>024</v>
      </c>
      <c r="F486" s="16">
        <v>2018</v>
      </c>
      <c r="G486" s="6">
        <v>0</v>
      </c>
      <c r="H486" s="6">
        <v>0</v>
      </c>
      <c r="I486" s="6">
        <v>0</v>
      </c>
    </row>
    <row r="487" spans="1:9" x14ac:dyDescent="0.25">
      <c r="A487" t="s">
        <v>194</v>
      </c>
      <c r="B487" s="16" t="str">
        <f t="shared" si="17"/>
        <v>30241</v>
      </c>
      <c r="C487" t="s">
        <v>10</v>
      </c>
      <c r="D487" t="s">
        <v>194</v>
      </c>
      <c r="E487" s="16" t="str">
        <f>"025"</f>
        <v>025</v>
      </c>
      <c r="F487" s="16">
        <v>2018</v>
      </c>
      <c r="G487" s="6">
        <v>144700</v>
      </c>
      <c r="H487" s="6">
        <v>121800</v>
      </c>
      <c r="I487" s="6">
        <v>22900</v>
      </c>
    </row>
    <row r="488" spans="1:9" x14ac:dyDescent="0.25">
      <c r="A488" t="s">
        <v>194</v>
      </c>
      <c r="B488" s="16" t="str">
        <f t="shared" si="17"/>
        <v>30241</v>
      </c>
      <c r="C488" t="s">
        <v>10</v>
      </c>
      <c r="D488" t="s">
        <v>194</v>
      </c>
      <c r="E488" s="16" t="str">
        <f>"026"</f>
        <v>026</v>
      </c>
      <c r="F488" s="16">
        <v>2018</v>
      </c>
      <c r="G488" s="6">
        <v>28051000</v>
      </c>
      <c r="H488" s="6">
        <v>4635200</v>
      </c>
      <c r="I488" s="6">
        <v>23415800</v>
      </c>
    </row>
    <row r="489" spans="1:9" x14ac:dyDescent="0.25">
      <c r="A489" t="s">
        <v>194</v>
      </c>
      <c r="B489" s="16" t="str">
        <f t="shared" si="17"/>
        <v>30241</v>
      </c>
      <c r="C489" t="s">
        <v>10</v>
      </c>
      <c r="D489" t="s">
        <v>194</v>
      </c>
      <c r="E489" s="16" t="str">
        <f>"027"</f>
        <v>027</v>
      </c>
      <c r="F489" s="16">
        <v>2019</v>
      </c>
      <c r="G489" s="6">
        <v>2942900</v>
      </c>
      <c r="H489" s="6">
        <v>2792200</v>
      </c>
      <c r="I489" s="6">
        <v>150700</v>
      </c>
    </row>
    <row r="490" spans="1:9" x14ac:dyDescent="0.25">
      <c r="A490" t="s">
        <v>194</v>
      </c>
      <c r="B490" s="16" t="str">
        <f t="shared" si="17"/>
        <v>30241</v>
      </c>
      <c r="C490" t="s">
        <v>10</v>
      </c>
      <c r="D490" t="s">
        <v>194</v>
      </c>
      <c r="E490" s="16" t="str">
        <f>"028"</f>
        <v>028</v>
      </c>
      <c r="F490" s="16">
        <v>2020</v>
      </c>
      <c r="G490" s="6">
        <v>232954000</v>
      </c>
      <c r="H490" s="6">
        <v>125164900</v>
      </c>
      <c r="I490" s="6">
        <v>107789100</v>
      </c>
    </row>
    <row r="491" spans="1:9" x14ac:dyDescent="0.25">
      <c r="A491" t="s">
        <v>194</v>
      </c>
      <c r="B491" s="16" t="str">
        <f t="shared" si="17"/>
        <v>30241</v>
      </c>
      <c r="C491" t="s">
        <v>10</v>
      </c>
      <c r="D491" t="s">
        <v>194</v>
      </c>
      <c r="E491" s="16" t="str">
        <f>"029"</f>
        <v>029</v>
      </c>
      <c r="F491" s="16">
        <v>2020</v>
      </c>
      <c r="G491" s="6">
        <v>19234400</v>
      </c>
      <c r="H491" s="6">
        <v>17774400</v>
      </c>
      <c r="I491" s="6">
        <v>1460000</v>
      </c>
    </row>
    <row r="492" spans="1:9" x14ac:dyDescent="0.25">
      <c r="A492" t="s">
        <v>194</v>
      </c>
      <c r="B492" s="16" t="str">
        <f t="shared" si="17"/>
        <v>30241</v>
      </c>
      <c r="C492" t="s">
        <v>10</v>
      </c>
      <c r="D492" t="s">
        <v>194</v>
      </c>
      <c r="E492" s="16" t="str">
        <f>"030"</f>
        <v>030</v>
      </c>
      <c r="F492" s="16">
        <v>2020</v>
      </c>
      <c r="G492" s="6">
        <v>320200</v>
      </c>
      <c r="H492" s="6">
        <v>300500</v>
      </c>
      <c r="I492" s="6">
        <v>19700</v>
      </c>
    </row>
    <row r="493" spans="1:9" x14ac:dyDescent="0.25">
      <c r="A493" t="s">
        <v>194</v>
      </c>
      <c r="B493" s="16" t="str">
        <f t="shared" si="17"/>
        <v>30241</v>
      </c>
      <c r="C493" t="s">
        <v>10</v>
      </c>
      <c r="D493" t="s">
        <v>194</v>
      </c>
      <c r="E493" s="16" t="str">
        <f>"031"</f>
        <v>031</v>
      </c>
      <c r="F493" s="16">
        <v>2020</v>
      </c>
      <c r="G493" s="6">
        <v>221400</v>
      </c>
      <c r="H493" s="6">
        <v>214900</v>
      </c>
      <c r="I493" s="6">
        <v>6500</v>
      </c>
    </row>
    <row r="494" spans="1:9" x14ac:dyDescent="0.25">
      <c r="A494" t="s">
        <v>194</v>
      </c>
      <c r="B494" s="16" t="str">
        <f>"30171"</f>
        <v>30171</v>
      </c>
      <c r="C494" t="s">
        <v>11</v>
      </c>
      <c r="D494" t="s">
        <v>196</v>
      </c>
      <c r="E494" s="16" t="str">
        <f>"001"</f>
        <v>001</v>
      </c>
      <c r="F494" s="16">
        <v>2012</v>
      </c>
      <c r="G494" s="6">
        <v>16634500</v>
      </c>
      <c r="H494" s="6">
        <v>14133700</v>
      </c>
      <c r="I494" s="6">
        <v>2500800</v>
      </c>
    </row>
    <row r="495" spans="1:9" x14ac:dyDescent="0.25">
      <c r="A495" t="s">
        <v>194</v>
      </c>
      <c r="B495" s="16" t="str">
        <f>"30171"</f>
        <v>30171</v>
      </c>
      <c r="C495" t="s">
        <v>11</v>
      </c>
      <c r="D495" t="s">
        <v>196</v>
      </c>
      <c r="E495" s="16" t="str">
        <f>"002"</f>
        <v>002</v>
      </c>
      <c r="F495" s="16">
        <v>2017</v>
      </c>
      <c r="G495" s="6">
        <v>21864700</v>
      </c>
      <c r="H495" s="6">
        <v>14925300</v>
      </c>
      <c r="I495" s="6">
        <v>6939400</v>
      </c>
    </row>
    <row r="496" spans="1:9" x14ac:dyDescent="0.25">
      <c r="A496" t="s">
        <v>194</v>
      </c>
      <c r="B496" s="16" t="str">
        <f>"30174"</f>
        <v>30174</v>
      </c>
      <c r="C496" t="s">
        <v>11</v>
      </c>
      <c r="D496" t="s">
        <v>197</v>
      </c>
      <c r="E496" s="16" t="str">
        <f>"002"</f>
        <v>002</v>
      </c>
      <c r="F496" s="16">
        <v>1999</v>
      </c>
      <c r="G496" s="6">
        <v>1012834800</v>
      </c>
      <c r="H496" s="6">
        <v>84130100</v>
      </c>
      <c r="I496" s="6">
        <v>928704700</v>
      </c>
    </row>
    <row r="497" spans="1:9" x14ac:dyDescent="0.25">
      <c r="A497" t="s">
        <v>194</v>
      </c>
      <c r="B497" s="16" t="str">
        <f>"30174"</f>
        <v>30174</v>
      </c>
      <c r="C497" t="s">
        <v>11</v>
      </c>
      <c r="D497" t="s">
        <v>197</v>
      </c>
      <c r="E497" s="16" t="str">
        <f>"004"</f>
        <v>004</v>
      </c>
      <c r="F497" s="16">
        <v>2007</v>
      </c>
      <c r="G497" s="6">
        <v>3242900</v>
      </c>
      <c r="H497" s="6">
        <v>166100</v>
      </c>
      <c r="I497" s="6">
        <v>3076800</v>
      </c>
    </row>
    <row r="498" spans="1:9" x14ac:dyDescent="0.25">
      <c r="A498" t="s">
        <v>194</v>
      </c>
      <c r="B498" s="16" t="str">
        <f>"30174"</f>
        <v>30174</v>
      </c>
      <c r="C498" t="s">
        <v>11</v>
      </c>
      <c r="D498" t="s">
        <v>197</v>
      </c>
      <c r="E498" s="16" t="str">
        <f>"005"</f>
        <v>005</v>
      </c>
      <c r="F498" s="16">
        <v>2017</v>
      </c>
      <c r="G498" s="6">
        <v>189593700</v>
      </c>
      <c r="H498" s="6">
        <v>25069900</v>
      </c>
      <c r="I498" s="6">
        <v>164523800</v>
      </c>
    </row>
    <row r="499" spans="1:9" x14ac:dyDescent="0.25">
      <c r="A499" t="s">
        <v>194</v>
      </c>
      <c r="B499" s="16" t="str">
        <f>"30174"</f>
        <v>30174</v>
      </c>
      <c r="C499" t="s">
        <v>11</v>
      </c>
      <c r="D499" t="s">
        <v>197</v>
      </c>
      <c r="E499" s="16" t="str">
        <f>"006"</f>
        <v>006</v>
      </c>
      <c r="F499" s="16">
        <v>2018</v>
      </c>
      <c r="G499" s="6">
        <v>17487800</v>
      </c>
      <c r="H499" s="6">
        <v>88900</v>
      </c>
      <c r="I499" s="6">
        <v>17398900</v>
      </c>
    </row>
    <row r="500" spans="1:9" x14ac:dyDescent="0.25">
      <c r="A500" t="s">
        <v>194</v>
      </c>
      <c r="B500" s="16" t="str">
        <f>"30174"</f>
        <v>30174</v>
      </c>
      <c r="C500" t="s">
        <v>11</v>
      </c>
      <c r="D500" t="s">
        <v>197</v>
      </c>
      <c r="E500" s="16" t="str">
        <f>"007"</f>
        <v>007</v>
      </c>
      <c r="F500" s="16">
        <v>2018</v>
      </c>
      <c r="G500" s="6">
        <v>35350800</v>
      </c>
      <c r="H500" s="6">
        <v>832500</v>
      </c>
      <c r="I500" s="6">
        <v>34518300</v>
      </c>
    </row>
    <row r="501" spans="1:9" x14ac:dyDescent="0.25">
      <c r="A501" t="s">
        <v>194</v>
      </c>
      <c r="B501" s="16" t="str">
        <f>"30179"</f>
        <v>30179</v>
      </c>
      <c r="C501" t="s">
        <v>11</v>
      </c>
      <c r="D501" t="s">
        <v>198</v>
      </c>
      <c r="E501" s="16" t="str">
        <f>"001"</f>
        <v>001</v>
      </c>
      <c r="F501" s="16">
        <v>2015</v>
      </c>
      <c r="G501" s="6">
        <v>17493700</v>
      </c>
      <c r="H501" s="6">
        <v>29500</v>
      </c>
      <c r="I501" s="6">
        <v>17464200</v>
      </c>
    </row>
    <row r="502" spans="1:9" x14ac:dyDescent="0.25">
      <c r="A502" t="s">
        <v>194</v>
      </c>
      <c r="B502" s="16" t="str">
        <f t="shared" ref="B502:B512" si="18">"30182"</f>
        <v>30182</v>
      </c>
      <c r="C502" t="s">
        <v>11</v>
      </c>
      <c r="D502" t="s">
        <v>199</v>
      </c>
      <c r="E502" s="16" t="str">
        <f>"001"</f>
        <v>001</v>
      </c>
      <c r="F502" s="16">
        <v>2015</v>
      </c>
      <c r="G502" s="6">
        <v>52939100</v>
      </c>
      <c r="H502" s="6">
        <v>476300</v>
      </c>
      <c r="I502" s="6">
        <v>52462800</v>
      </c>
    </row>
    <row r="503" spans="1:9" x14ac:dyDescent="0.25">
      <c r="A503" t="s">
        <v>194</v>
      </c>
      <c r="B503" s="16" t="str">
        <f t="shared" si="18"/>
        <v>30182</v>
      </c>
      <c r="C503" t="s">
        <v>11</v>
      </c>
      <c r="D503" t="s">
        <v>199</v>
      </c>
      <c r="E503" s="16" t="str">
        <f>"002"</f>
        <v>002</v>
      </c>
      <c r="F503" s="16">
        <v>2015</v>
      </c>
      <c r="G503" s="6">
        <v>91626800</v>
      </c>
      <c r="H503" s="6">
        <v>5810800</v>
      </c>
      <c r="I503" s="6">
        <v>85816000</v>
      </c>
    </row>
    <row r="504" spans="1:9" x14ac:dyDescent="0.25">
      <c r="A504" t="s">
        <v>194</v>
      </c>
      <c r="B504" s="16" t="str">
        <f t="shared" si="18"/>
        <v>30182</v>
      </c>
      <c r="C504" t="s">
        <v>11</v>
      </c>
      <c r="D504" t="s">
        <v>199</v>
      </c>
      <c r="E504" s="16" t="str">
        <f>"003"</f>
        <v>003</v>
      </c>
      <c r="F504" s="16">
        <v>2018</v>
      </c>
      <c r="G504" s="6">
        <v>3078900</v>
      </c>
      <c r="H504" s="6">
        <v>1779800</v>
      </c>
      <c r="I504" s="6">
        <v>1299100</v>
      </c>
    </row>
    <row r="505" spans="1:9" x14ac:dyDescent="0.25">
      <c r="A505" t="s">
        <v>194</v>
      </c>
      <c r="B505" s="16" t="str">
        <f t="shared" si="18"/>
        <v>30182</v>
      </c>
      <c r="C505" t="s">
        <v>11</v>
      </c>
      <c r="D505" t="s">
        <v>199</v>
      </c>
      <c r="E505" s="16" t="str">
        <f>"004"</f>
        <v>004</v>
      </c>
      <c r="F505" s="16">
        <v>2018</v>
      </c>
      <c r="G505" s="6">
        <v>39960600</v>
      </c>
      <c r="H505" s="6">
        <v>1767500</v>
      </c>
      <c r="I505" s="6">
        <v>38193100</v>
      </c>
    </row>
    <row r="506" spans="1:9" x14ac:dyDescent="0.25">
      <c r="A506" t="s">
        <v>194</v>
      </c>
      <c r="B506" s="16" t="str">
        <f t="shared" si="18"/>
        <v>30182</v>
      </c>
      <c r="C506" t="s">
        <v>11</v>
      </c>
      <c r="D506" t="s">
        <v>199</v>
      </c>
      <c r="E506" s="16" t="str">
        <f>"005"</f>
        <v>005</v>
      </c>
      <c r="F506" s="16">
        <v>2018</v>
      </c>
      <c r="G506" s="6">
        <v>1173200</v>
      </c>
      <c r="H506" s="6">
        <v>1148400</v>
      </c>
      <c r="I506" s="6">
        <v>24800</v>
      </c>
    </row>
    <row r="507" spans="1:9" x14ac:dyDescent="0.25">
      <c r="A507" t="s">
        <v>194</v>
      </c>
      <c r="B507" s="16" t="str">
        <f t="shared" si="18"/>
        <v>30182</v>
      </c>
      <c r="C507" t="s">
        <v>11</v>
      </c>
      <c r="D507" t="s">
        <v>199</v>
      </c>
      <c r="E507" s="16" t="str">
        <f>"006"</f>
        <v>006</v>
      </c>
      <c r="F507" s="16">
        <v>2018</v>
      </c>
      <c r="G507" s="6">
        <v>3247300</v>
      </c>
      <c r="H507" s="6">
        <v>2448400</v>
      </c>
      <c r="I507" s="6">
        <v>798900</v>
      </c>
    </row>
    <row r="508" spans="1:9" x14ac:dyDescent="0.25">
      <c r="A508" t="s">
        <v>194</v>
      </c>
      <c r="B508" s="16" t="str">
        <f t="shared" si="18"/>
        <v>30182</v>
      </c>
      <c r="C508" t="s">
        <v>11</v>
      </c>
      <c r="D508" t="s">
        <v>199</v>
      </c>
      <c r="E508" s="16" t="str">
        <f>"007"</f>
        <v>007</v>
      </c>
      <c r="F508" s="16">
        <v>2018</v>
      </c>
      <c r="G508" s="6">
        <v>9906700</v>
      </c>
      <c r="H508" s="6">
        <v>8364800</v>
      </c>
      <c r="I508" s="6">
        <v>1541900</v>
      </c>
    </row>
    <row r="509" spans="1:9" x14ac:dyDescent="0.25">
      <c r="A509" t="s">
        <v>194</v>
      </c>
      <c r="B509" s="16" t="str">
        <f t="shared" si="18"/>
        <v>30182</v>
      </c>
      <c r="C509" t="s">
        <v>11</v>
      </c>
      <c r="D509" t="s">
        <v>199</v>
      </c>
      <c r="E509" s="16" t="str">
        <f>"008"</f>
        <v>008</v>
      </c>
      <c r="F509" s="16">
        <v>2018</v>
      </c>
      <c r="G509" s="6">
        <v>379000</v>
      </c>
      <c r="H509" s="6">
        <v>362100</v>
      </c>
      <c r="I509" s="6">
        <v>16900</v>
      </c>
    </row>
    <row r="510" spans="1:9" x14ac:dyDescent="0.25">
      <c r="A510" t="s">
        <v>194</v>
      </c>
      <c r="B510" s="16" t="str">
        <f t="shared" si="18"/>
        <v>30182</v>
      </c>
      <c r="C510" t="s">
        <v>11</v>
      </c>
      <c r="D510" t="s">
        <v>199</v>
      </c>
      <c r="E510" s="16" t="str">
        <f>"009"</f>
        <v>009</v>
      </c>
      <c r="F510" s="16">
        <v>2018</v>
      </c>
      <c r="G510" s="6">
        <v>2045400</v>
      </c>
      <c r="H510" s="6">
        <v>2081700</v>
      </c>
      <c r="I510" s="6">
        <v>-36300</v>
      </c>
    </row>
    <row r="511" spans="1:9" x14ac:dyDescent="0.25">
      <c r="A511" t="s">
        <v>194</v>
      </c>
      <c r="B511" s="16" t="str">
        <f t="shared" si="18"/>
        <v>30182</v>
      </c>
      <c r="C511" t="s">
        <v>11</v>
      </c>
      <c r="D511" t="s">
        <v>199</v>
      </c>
      <c r="E511" s="16" t="str">
        <f>"010"</f>
        <v>010</v>
      </c>
      <c r="F511" s="16">
        <v>2018</v>
      </c>
      <c r="G511" s="6">
        <v>3219200</v>
      </c>
      <c r="H511" s="6">
        <v>3219200</v>
      </c>
      <c r="I511" s="6">
        <v>0</v>
      </c>
    </row>
    <row r="512" spans="1:9" x14ac:dyDescent="0.25">
      <c r="A512" t="s">
        <v>194</v>
      </c>
      <c r="B512" s="16" t="str">
        <f t="shared" si="18"/>
        <v>30182</v>
      </c>
      <c r="C512" t="s">
        <v>11</v>
      </c>
      <c r="D512" t="s">
        <v>199</v>
      </c>
      <c r="E512" s="16" t="str">
        <f>"011"</f>
        <v>011</v>
      </c>
      <c r="F512" s="16">
        <v>2018</v>
      </c>
      <c r="G512" s="6">
        <v>250700</v>
      </c>
      <c r="H512" s="6">
        <v>195100</v>
      </c>
      <c r="I512" s="6">
        <v>55600</v>
      </c>
    </row>
    <row r="513" spans="1:9" x14ac:dyDescent="0.25">
      <c r="A513" t="s">
        <v>194</v>
      </c>
      <c r="B513" s="16" t="str">
        <f>"30186"</f>
        <v>30186</v>
      </c>
      <c r="C513" t="s">
        <v>11</v>
      </c>
      <c r="D513" t="s">
        <v>200</v>
      </c>
      <c r="E513" s="16" t="str">
        <f>"001"</f>
        <v>001</v>
      </c>
      <c r="F513" s="16">
        <v>2007</v>
      </c>
      <c r="G513" s="6">
        <v>51311600</v>
      </c>
      <c r="H513" s="6">
        <v>44044400</v>
      </c>
      <c r="I513" s="6">
        <v>7267200</v>
      </c>
    </row>
    <row r="514" spans="1:9" x14ac:dyDescent="0.25">
      <c r="A514" t="s">
        <v>201</v>
      </c>
      <c r="B514" s="16" t="str">
        <f>"31201"</f>
        <v>31201</v>
      </c>
      <c r="C514" t="s">
        <v>10</v>
      </c>
      <c r="D514" t="s">
        <v>202</v>
      </c>
      <c r="E514" s="16" t="str">
        <f>"001"</f>
        <v>001</v>
      </c>
      <c r="F514" s="16">
        <v>2005</v>
      </c>
      <c r="G514" s="6">
        <v>8817600</v>
      </c>
      <c r="H514" s="6">
        <v>7899200</v>
      </c>
      <c r="I514" s="6">
        <v>918400</v>
      </c>
    </row>
    <row r="515" spans="1:9" x14ac:dyDescent="0.25">
      <c r="A515" t="s">
        <v>201</v>
      </c>
      <c r="B515" s="16" t="str">
        <f>"31201"</f>
        <v>31201</v>
      </c>
      <c r="C515" t="s">
        <v>10</v>
      </c>
      <c r="D515" t="s">
        <v>202</v>
      </c>
      <c r="E515" s="16" t="str">
        <f>"002"</f>
        <v>002</v>
      </c>
      <c r="F515" s="16">
        <v>2006</v>
      </c>
      <c r="G515" s="6">
        <v>7326300</v>
      </c>
      <c r="H515" s="6">
        <v>1910700</v>
      </c>
      <c r="I515" s="6">
        <v>5415600</v>
      </c>
    </row>
    <row r="516" spans="1:9" x14ac:dyDescent="0.25">
      <c r="A516" t="s">
        <v>201</v>
      </c>
      <c r="B516" s="16" t="str">
        <f>"31201"</f>
        <v>31201</v>
      </c>
      <c r="C516" t="s">
        <v>10</v>
      </c>
      <c r="D516" t="s">
        <v>202</v>
      </c>
      <c r="E516" s="16" t="str">
        <f>"003"</f>
        <v>003</v>
      </c>
      <c r="F516" s="16">
        <v>2019</v>
      </c>
      <c r="G516" s="6">
        <v>2587200</v>
      </c>
      <c r="H516" s="6">
        <v>517700</v>
      </c>
      <c r="I516" s="6">
        <v>2069500</v>
      </c>
    </row>
    <row r="517" spans="1:9" x14ac:dyDescent="0.25">
      <c r="A517" t="s">
        <v>201</v>
      </c>
      <c r="B517" s="16" t="str">
        <f>"31241"</f>
        <v>31241</v>
      </c>
      <c r="C517" t="s">
        <v>10</v>
      </c>
      <c r="D517" t="s">
        <v>201</v>
      </c>
      <c r="E517" s="16" t="str">
        <f>"002"</f>
        <v>002</v>
      </c>
      <c r="F517" s="16">
        <v>1994</v>
      </c>
      <c r="G517" s="6">
        <v>7514600</v>
      </c>
      <c r="H517" s="6">
        <v>399000</v>
      </c>
      <c r="I517" s="6">
        <v>7115600</v>
      </c>
    </row>
    <row r="518" spans="1:9" x14ac:dyDescent="0.25">
      <c r="A518" t="s">
        <v>201</v>
      </c>
      <c r="B518" s="16" t="str">
        <f>"31241"</f>
        <v>31241</v>
      </c>
      <c r="C518" t="s">
        <v>10</v>
      </c>
      <c r="D518" t="s">
        <v>201</v>
      </c>
      <c r="E518" s="16" t="str">
        <f>"003"</f>
        <v>003</v>
      </c>
      <c r="F518" s="16">
        <v>2020</v>
      </c>
      <c r="G518" s="6">
        <v>5406600</v>
      </c>
      <c r="H518" s="6">
        <v>5692100</v>
      </c>
      <c r="I518" s="6">
        <v>-285500</v>
      </c>
    </row>
    <row r="519" spans="1:9" x14ac:dyDescent="0.25">
      <c r="A519" t="s">
        <v>201</v>
      </c>
      <c r="B519" s="16" t="str">
        <f>"31146"</f>
        <v>31146</v>
      </c>
      <c r="C519" t="s">
        <v>11</v>
      </c>
      <c r="D519" t="s">
        <v>203</v>
      </c>
      <c r="E519" s="16" t="str">
        <f>"001"</f>
        <v>001</v>
      </c>
      <c r="F519" s="16">
        <v>1995</v>
      </c>
      <c r="G519" s="6">
        <v>47149200</v>
      </c>
      <c r="H519" s="6">
        <v>4720200</v>
      </c>
      <c r="I519" s="6">
        <v>42429000</v>
      </c>
    </row>
    <row r="520" spans="1:9" x14ac:dyDescent="0.25">
      <c r="A520" t="s">
        <v>204</v>
      </c>
      <c r="B520" s="16" t="str">
        <f>"32106"</f>
        <v>32106</v>
      </c>
      <c r="C520" t="s">
        <v>11</v>
      </c>
      <c r="D520" t="s">
        <v>205</v>
      </c>
      <c r="E520" s="16" t="str">
        <f>"001"</f>
        <v>001</v>
      </c>
      <c r="F520" s="16">
        <v>2008</v>
      </c>
      <c r="G520" s="6">
        <v>397000</v>
      </c>
      <c r="H520" s="6">
        <v>484800</v>
      </c>
      <c r="I520" s="6">
        <v>-87800</v>
      </c>
    </row>
    <row r="521" spans="1:9" x14ac:dyDescent="0.25">
      <c r="A521" t="s">
        <v>204</v>
      </c>
      <c r="B521" s="16" t="str">
        <f>"32106"</f>
        <v>32106</v>
      </c>
      <c r="C521" t="s">
        <v>11</v>
      </c>
      <c r="D521" t="s">
        <v>205</v>
      </c>
      <c r="E521" s="16" t="str">
        <f>"002"</f>
        <v>002</v>
      </c>
      <c r="F521" s="16">
        <v>2015</v>
      </c>
      <c r="G521" s="6">
        <v>2664400</v>
      </c>
      <c r="H521" s="6">
        <v>620500</v>
      </c>
      <c r="I521" s="6">
        <v>2043900</v>
      </c>
    </row>
    <row r="522" spans="1:9" x14ac:dyDescent="0.25">
      <c r="A522" t="s">
        <v>204</v>
      </c>
      <c r="B522" s="16" t="str">
        <f>"32136"</f>
        <v>32136</v>
      </c>
      <c r="C522" t="s">
        <v>11</v>
      </c>
      <c r="D522" t="s">
        <v>206</v>
      </c>
      <c r="E522" s="16" t="str">
        <f>"002"</f>
        <v>002</v>
      </c>
      <c r="F522" s="16">
        <v>2009</v>
      </c>
      <c r="G522" s="6">
        <v>57695300</v>
      </c>
      <c r="H522" s="6">
        <v>2647000</v>
      </c>
      <c r="I522" s="6">
        <v>55048300</v>
      </c>
    </row>
    <row r="523" spans="1:9" x14ac:dyDescent="0.25">
      <c r="A523" t="s">
        <v>204</v>
      </c>
      <c r="B523" s="16" t="str">
        <f>"32136"</f>
        <v>32136</v>
      </c>
      <c r="C523" t="s">
        <v>11</v>
      </c>
      <c r="D523" t="s">
        <v>206</v>
      </c>
      <c r="E523" s="16" t="str">
        <f>"003"</f>
        <v>003</v>
      </c>
      <c r="F523" s="16">
        <v>2015</v>
      </c>
      <c r="G523" s="6">
        <v>97114400</v>
      </c>
      <c r="H523" s="6">
        <v>37362300</v>
      </c>
      <c r="I523" s="6">
        <v>59752100</v>
      </c>
    </row>
    <row r="524" spans="1:9" x14ac:dyDescent="0.25">
      <c r="A524" t="s">
        <v>204</v>
      </c>
      <c r="B524" s="16" t="str">
        <f t="shared" ref="B524:B534" si="19">"32246"</f>
        <v>32246</v>
      </c>
      <c r="C524" t="s">
        <v>10</v>
      </c>
      <c r="D524" t="s">
        <v>204</v>
      </c>
      <c r="E524" s="16" t="str">
        <f>"010"</f>
        <v>010</v>
      </c>
      <c r="F524" s="16">
        <v>2003</v>
      </c>
      <c r="G524" s="6">
        <v>15429800</v>
      </c>
      <c r="H524" s="6">
        <v>2540100</v>
      </c>
      <c r="I524" s="6">
        <v>12889700</v>
      </c>
    </row>
    <row r="525" spans="1:9" x14ac:dyDescent="0.25">
      <c r="A525" t="s">
        <v>204</v>
      </c>
      <c r="B525" s="16" t="str">
        <f t="shared" si="19"/>
        <v>32246</v>
      </c>
      <c r="C525" t="s">
        <v>10</v>
      </c>
      <c r="D525" t="s">
        <v>204</v>
      </c>
      <c r="E525" s="16" t="str">
        <f>"011"</f>
        <v>011</v>
      </c>
      <c r="F525" s="16">
        <v>2005</v>
      </c>
      <c r="G525" s="6">
        <v>334785000</v>
      </c>
      <c r="H525" s="6">
        <v>132955800</v>
      </c>
      <c r="I525" s="6">
        <v>201829200</v>
      </c>
    </row>
    <row r="526" spans="1:9" x14ac:dyDescent="0.25">
      <c r="A526" t="s">
        <v>204</v>
      </c>
      <c r="B526" s="16" t="str">
        <f t="shared" si="19"/>
        <v>32246</v>
      </c>
      <c r="C526" t="s">
        <v>10</v>
      </c>
      <c r="D526" t="s">
        <v>204</v>
      </c>
      <c r="E526" s="16" t="str">
        <f>"012"</f>
        <v>012</v>
      </c>
      <c r="F526" s="16">
        <v>2005</v>
      </c>
      <c r="G526" s="6">
        <v>45154800</v>
      </c>
      <c r="H526" s="6">
        <v>19363800</v>
      </c>
      <c r="I526" s="6">
        <v>25791000</v>
      </c>
    </row>
    <row r="527" spans="1:9" x14ac:dyDescent="0.25">
      <c r="A527" t="s">
        <v>204</v>
      </c>
      <c r="B527" s="16" t="str">
        <f t="shared" si="19"/>
        <v>32246</v>
      </c>
      <c r="C527" t="s">
        <v>10</v>
      </c>
      <c r="D527" t="s">
        <v>204</v>
      </c>
      <c r="E527" s="16" t="str">
        <f>"013"</f>
        <v>013</v>
      </c>
      <c r="F527" s="16">
        <v>2006</v>
      </c>
      <c r="G527" s="6">
        <v>212712100</v>
      </c>
      <c r="H527" s="6">
        <v>53725800</v>
      </c>
      <c r="I527" s="6">
        <v>158986300</v>
      </c>
    </row>
    <row r="528" spans="1:9" x14ac:dyDescent="0.25">
      <c r="A528" t="s">
        <v>204</v>
      </c>
      <c r="B528" s="16" t="str">
        <f t="shared" si="19"/>
        <v>32246</v>
      </c>
      <c r="C528" t="s">
        <v>10</v>
      </c>
      <c r="D528" t="s">
        <v>204</v>
      </c>
      <c r="E528" s="16" t="str">
        <f>"014"</f>
        <v>014</v>
      </c>
      <c r="F528" s="16">
        <v>2006</v>
      </c>
      <c r="G528" s="6">
        <v>133070500</v>
      </c>
      <c r="H528" s="6">
        <v>60747300</v>
      </c>
      <c r="I528" s="6">
        <v>72323200</v>
      </c>
    </row>
    <row r="529" spans="1:9" x14ac:dyDescent="0.25">
      <c r="A529" t="s">
        <v>204</v>
      </c>
      <c r="B529" s="16" t="str">
        <f t="shared" si="19"/>
        <v>32246</v>
      </c>
      <c r="C529" t="s">
        <v>10</v>
      </c>
      <c r="D529" t="s">
        <v>204</v>
      </c>
      <c r="E529" s="16" t="str">
        <f>"015"</f>
        <v>015</v>
      </c>
      <c r="F529" s="16">
        <v>2013</v>
      </c>
      <c r="G529" s="6">
        <v>102177200</v>
      </c>
      <c r="H529" s="6">
        <v>62802000</v>
      </c>
      <c r="I529" s="6">
        <v>39375200</v>
      </c>
    </row>
    <row r="530" spans="1:9" x14ac:dyDescent="0.25">
      <c r="A530" t="s">
        <v>204</v>
      </c>
      <c r="B530" s="16" t="str">
        <f t="shared" si="19"/>
        <v>32246</v>
      </c>
      <c r="C530" t="s">
        <v>10</v>
      </c>
      <c r="D530" t="s">
        <v>204</v>
      </c>
      <c r="E530" s="16" t="str">
        <f>"016"</f>
        <v>016</v>
      </c>
      <c r="F530" s="16">
        <v>2014</v>
      </c>
      <c r="G530" s="6">
        <v>32644000</v>
      </c>
      <c r="H530" s="6">
        <v>18087300</v>
      </c>
      <c r="I530" s="6">
        <v>14556700</v>
      </c>
    </row>
    <row r="531" spans="1:9" x14ac:dyDescent="0.25">
      <c r="A531" t="s">
        <v>204</v>
      </c>
      <c r="B531" s="16" t="str">
        <f t="shared" si="19"/>
        <v>32246</v>
      </c>
      <c r="C531" t="s">
        <v>10</v>
      </c>
      <c r="D531" t="s">
        <v>204</v>
      </c>
      <c r="E531" s="16" t="str">
        <f>"017"</f>
        <v>017</v>
      </c>
      <c r="F531" s="16">
        <v>2015</v>
      </c>
      <c r="G531" s="6">
        <v>102065200</v>
      </c>
      <c r="H531" s="6">
        <v>11744600</v>
      </c>
      <c r="I531" s="6">
        <v>90320600</v>
      </c>
    </row>
    <row r="532" spans="1:9" x14ac:dyDescent="0.25">
      <c r="A532" t="s">
        <v>204</v>
      </c>
      <c r="B532" s="16" t="str">
        <f t="shared" si="19"/>
        <v>32246</v>
      </c>
      <c r="C532" t="s">
        <v>10</v>
      </c>
      <c r="D532" t="s">
        <v>204</v>
      </c>
      <c r="E532" s="16" t="str">
        <f>"018"</f>
        <v>018</v>
      </c>
      <c r="F532" s="16">
        <v>2020</v>
      </c>
      <c r="G532" s="6">
        <v>7463000</v>
      </c>
      <c r="H532" s="6">
        <v>6846400</v>
      </c>
      <c r="I532" s="6">
        <v>616600</v>
      </c>
    </row>
    <row r="533" spans="1:9" x14ac:dyDescent="0.25">
      <c r="A533" t="s">
        <v>204</v>
      </c>
      <c r="B533" s="16" t="str">
        <f t="shared" si="19"/>
        <v>32246</v>
      </c>
      <c r="C533" t="s">
        <v>10</v>
      </c>
      <c r="D533" t="s">
        <v>204</v>
      </c>
      <c r="E533" s="16" t="str">
        <f>"019"</f>
        <v>019</v>
      </c>
      <c r="F533" s="16">
        <v>2020</v>
      </c>
      <c r="G533" s="6">
        <v>4528700</v>
      </c>
      <c r="H533" s="6">
        <v>5061100</v>
      </c>
      <c r="I533" s="6">
        <v>-532400</v>
      </c>
    </row>
    <row r="534" spans="1:9" x14ac:dyDescent="0.25">
      <c r="A534" t="s">
        <v>204</v>
      </c>
      <c r="B534" s="16" t="str">
        <f t="shared" si="19"/>
        <v>32246</v>
      </c>
      <c r="C534" t="s">
        <v>10</v>
      </c>
      <c r="D534" t="s">
        <v>204</v>
      </c>
      <c r="E534" s="16" t="str">
        <f>"020"</f>
        <v>020</v>
      </c>
      <c r="F534" s="16">
        <v>2020</v>
      </c>
      <c r="G534" s="6">
        <v>16153500</v>
      </c>
      <c r="H534" s="6">
        <v>15187600</v>
      </c>
      <c r="I534" s="6">
        <v>965900</v>
      </c>
    </row>
    <row r="535" spans="1:9" x14ac:dyDescent="0.25">
      <c r="A535" t="s">
        <v>204</v>
      </c>
      <c r="B535" s="16" t="str">
        <f>"32265"</f>
        <v>32265</v>
      </c>
      <c r="C535" t="s">
        <v>10</v>
      </c>
      <c r="D535" t="s">
        <v>207</v>
      </c>
      <c r="E535" s="16" t="str">
        <f>"005"</f>
        <v>005</v>
      </c>
      <c r="F535" s="16">
        <v>2019</v>
      </c>
      <c r="G535" s="6">
        <v>12429800</v>
      </c>
      <c r="H535" s="6">
        <v>0</v>
      </c>
      <c r="I535" s="6">
        <v>12429800</v>
      </c>
    </row>
    <row r="536" spans="1:9" x14ac:dyDescent="0.25">
      <c r="A536" t="s">
        <v>204</v>
      </c>
      <c r="B536" s="16" t="str">
        <f>"32265"</f>
        <v>32265</v>
      </c>
      <c r="C536" t="s">
        <v>10</v>
      </c>
      <c r="D536" t="s">
        <v>207</v>
      </c>
      <c r="E536" s="16" t="str">
        <f>"006"</f>
        <v>006</v>
      </c>
      <c r="F536" s="16">
        <v>2020</v>
      </c>
      <c r="G536" s="6">
        <v>16156200</v>
      </c>
      <c r="H536" s="6">
        <v>15535100</v>
      </c>
      <c r="I536" s="6">
        <v>621100</v>
      </c>
    </row>
    <row r="537" spans="1:9" x14ac:dyDescent="0.25">
      <c r="A537" t="s">
        <v>204</v>
      </c>
      <c r="B537" s="16" t="str">
        <f>"32176"</f>
        <v>32176</v>
      </c>
      <c r="C537" t="s">
        <v>11</v>
      </c>
      <c r="D537" t="s">
        <v>208</v>
      </c>
      <c r="E537" s="16" t="str">
        <f>"001"</f>
        <v>001</v>
      </c>
      <c r="F537" s="16">
        <v>2010</v>
      </c>
      <c r="G537" s="6">
        <v>7414300</v>
      </c>
      <c r="H537" s="6">
        <v>1176300</v>
      </c>
      <c r="I537" s="6">
        <v>6238000</v>
      </c>
    </row>
    <row r="538" spans="1:9" x14ac:dyDescent="0.25">
      <c r="A538" t="s">
        <v>204</v>
      </c>
      <c r="B538" s="16" t="str">
        <f>"32191"</f>
        <v>32191</v>
      </c>
      <c r="C538" t="s">
        <v>11</v>
      </c>
      <c r="D538" t="s">
        <v>209</v>
      </c>
      <c r="E538" s="16" t="str">
        <f>"001"</f>
        <v>001</v>
      </c>
      <c r="F538" s="16">
        <v>2007</v>
      </c>
      <c r="G538" s="6">
        <v>27109400</v>
      </c>
      <c r="H538" s="6">
        <v>4910800</v>
      </c>
      <c r="I538" s="6">
        <v>22198600</v>
      </c>
    </row>
    <row r="539" spans="1:9" x14ac:dyDescent="0.25">
      <c r="A539" t="s">
        <v>210</v>
      </c>
      <c r="B539" s="16" t="str">
        <f>"33101"</f>
        <v>33101</v>
      </c>
      <c r="C539" t="s">
        <v>11</v>
      </c>
      <c r="D539" t="s">
        <v>211</v>
      </c>
      <c r="E539" s="16" t="str">
        <f>"003"</f>
        <v>003</v>
      </c>
      <c r="F539" s="16">
        <v>2012</v>
      </c>
      <c r="G539" s="6">
        <v>1926500</v>
      </c>
      <c r="H539" s="6">
        <v>1751500</v>
      </c>
      <c r="I539" s="6">
        <v>175000</v>
      </c>
    </row>
    <row r="540" spans="1:9" x14ac:dyDescent="0.25">
      <c r="A540" t="s">
        <v>210</v>
      </c>
      <c r="B540" s="16" t="str">
        <f>"33106"</f>
        <v>33106</v>
      </c>
      <c r="C540" t="s">
        <v>11</v>
      </c>
      <c r="D540" t="s">
        <v>212</v>
      </c>
      <c r="E540" s="16" t="str">
        <f>"001"</f>
        <v>001</v>
      </c>
      <c r="F540" s="16">
        <v>2004</v>
      </c>
      <c r="G540" s="6">
        <v>7745000</v>
      </c>
      <c r="H540" s="6">
        <v>56000</v>
      </c>
      <c r="I540" s="6">
        <v>7689000</v>
      </c>
    </row>
    <row r="541" spans="1:9" x14ac:dyDescent="0.25">
      <c r="A541" t="s">
        <v>210</v>
      </c>
      <c r="B541" s="16" t="str">
        <f>"33211"</f>
        <v>33211</v>
      </c>
      <c r="C541" t="s">
        <v>10</v>
      </c>
      <c r="D541" t="s">
        <v>155</v>
      </c>
      <c r="E541" s="16" t="str">
        <f>"002"</f>
        <v>002</v>
      </c>
      <c r="F541" s="16">
        <v>1999</v>
      </c>
      <c r="G541" s="6">
        <v>2233100</v>
      </c>
      <c r="H541" s="6">
        <v>66700</v>
      </c>
      <c r="I541" s="6">
        <v>2166400</v>
      </c>
    </row>
    <row r="542" spans="1:9" x14ac:dyDescent="0.25">
      <c r="A542" t="s">
        <v>210</v>
      </c>
      <c r="B542" s="16" t="str">
        <f>"33211"</f>
        <v>33211</v>
      </c>
      <c r="C542" t="s">
        <v>10</v>
      </c>
      <c r="D542" t="s">
        <v>155</v>
      </c>
      <c r="E542" s="16" t="str">
        <f>"004"</f>
        <v>004</v>
      </c>
      <c r="F542" s="16">
        <v>2019</v>
      </c>
      <c r="G542" s="6">
        <v>2837700</v>
      </c>
      <c r="H542" s="6">
        <v>2233100</v>
      </c>
      <c r="I542" s="6">
        <v>604600</v>
      </c>
    </row>
    <row r="543" spans="1:9" x14ac:dyDescent="0.25">
      <c r="A543" t="s">
        <v>210</v>
      </c>
      <c r="B543" s="16" t="str">
        <f>"33216"</f>
        <v>33216</v>
      </c>
      <c r="C543" t="s">
        <v>10</v>
      </c>
      <c r="D543" t="s">
        <v>213</v>
      </c>
      <c r="E543" s="16" t="str">
        <f>"006"</f>
        <v>006</v>
      </c>
      <c r="F543" s="16">
        <v>2003</v>
      </c>
      <c r="G543" s="6">
        <v>25103300</v>
      </c>
      <c r="H543" s="6">
        <v>4304900</v>
      </c>
      <c r="I543" s="6">
        <v>20798400</v>
      </c>
    </row>
    <row r="544" spans="1:9" x14ac:dyDescent="0.25">
      <c r="A544" t="s">
        <v>210</v>
      </c>
      <c r="B544" s="16" t="str">
        <f>"33216"</f>
        <v>33216</v>
      </c>
      <c r="C544" t="s">
        <v>10</v>
      </c>
      <c r="D544" t="s">
        <v>213</v>
      </c>
      <c r="E544" s="16" t="str">
        <f>"007"</f>
        <v>007</v>
      </c>
      <c r="F544" s="16">
        <v>2006</v>
      </c>
      <c r="G544" s="6">
        <v>5198700</v>
      </c>
      <c r="H544" s="6">
        <v>2186300</v>
      </c>
      <c r="I544" s="6">
        <v>3012400</v>
      </c>
    </row>
    <row r="545" spans="1:9" x14ac:dyDescent="0.25">
      <c r="A545" t="s">
        <v>210</v>
      </c>
      <c r="B545" s="16" t="str">
        <f>"33216"</f>
        <v>33216</v>
      </c>
      <c r="C545" t="s">
        <v>10</v>
      </c>
      <c r="D545" t="s">
        <v>213</v>
      </c>
      <c r="E545" s="16" t="str">
        <f>"008"</f>
        <v>008</v>
      </c>
      <c r="F545" s="16">
        <v>2018</v>
      </c>
      <c r="G545" s="6">
        <v>15300</v>
      </c>
      <c r="H545" s="6">
        <v>22500</v>
      </c>
      <c r="I545" s="6">
        <v>-7200</v>
      </c>
    </row>
    <row r="546" spans="1:9" x14ac:dyDescent="0.25">
      <c r="A546" t="s">
        <v>210</v>
      </c>
      <c r="B546" s="16" t="str">
        <f>"33131"</f>
        <v>33131</v>
      </c>
      <c r="C546" t="s">
        <v>11</v>
      </c>
      <c r="D546" t="s">
        <v>214</v>
      </c>
      <c r="E546" s="16" t="str">
        <f>"001"</f>
        <v>001</v>
      </c>
      <c r="F546" s="16">
        <v>2001</v>
      </c>
      <c r="G546" s="6">
        <v>1776600</v>
      </c>
      <c r="H546" s="6">
        <v>449900</v>
      </c>
      <c r="I546" s="6">
        <v>1326700</v>
      </c>
    </row>
    <row r="547" spans="1:9" x14ac:dyDescent="0.25">
      <c r="A547" t="s">
        <v>210</v>
      </c>
      <c r="B547" s="16" t="str">
        <f>"33281"</f>
        <v>33281</v>
      </c>
      <c r="C547" t="s">
        <v>10</v>
      </c>
      <c r="D547" t="s">
        <v>215</v>
      </c>
      <c r="E547" s="16" t="str">
        <f>"003"</f>
        <v>003</v>
      </c>
      <c r="F547" s="16">
        <v>1997</v>
      </c>
      <c r="G547" s="6">
        <v>5547400</v>
      </c>
      <c r="H547" s="6">
        <v>1480000</v>
      </c>
      <c r="I547" s="6">
        <v>4067400</v>
      </c>
    </row>
    <row r="548" spans="1:9" x14ac:dyDescent="0.25">
      <c r="A548" t="s">
        <v>210</v>
      </c>
      <c r="B548" s="16" t="str">
        <f>"33281"</f>
        <v>33281</v>
      </c>
      <c r="C548" t="s">
        <v>10</v>
      </c>
      <c r="D548" t="s">
        <v>215</v>
      </c>
      <c r="E548" s="16" t="str">
        <f>"004"</f>
        <v>004</v>
      </c>
      <c r="F548" s="16">
        <v>1997</v>
      </c>
      <c r="G548" s="6">
        <v>1132400</v>
      </c>
      <c r="H548" s="6">
        <v>15000</v>
      </c>
      <c r="I548" s="6">
        <v>1117400</v>
      </c>
    </row>
    <row r="549" spans="1:9" x14ac:dyDescent="0.25">
      <c r="A549" t="s">
        <v>210</v>
      </c>
      <c r="B549" s="16" t="str">
        <f>"33281"</f>
        <v>33281</v>
      </c>
      <c r="C549" t="s">
        <v>10</v>
      </c>
      <c r="D549" t="s">
        <v>215</v>
      </c>
      <c r="E549" s="16" t="str">
        <f>"005"</f>
        <v>005</v>
      </c>
      <c r="F549" s="16">
        <v>2005</v>
      </c>
      <c r="G549" s="6">
        <v>544400</v>
      </c>
      <c r="H549" s="6">
        <v>161500</v>
      </c>
      <c r="I549" s="6">
        <v>382900</v>
      </c>
    </row>
    <row r="550" spans="1:9" x14ac:dyDescent="0.25">
      <c r="A550" t="s">
        <v>210</v>
      </c>
      <c r="B550" s="16" t="str">
        <f>"33281"</f>
        <v>33281</v>
      </c>
      <c r="C550" t="s">
        <v>10</v>
      </c>
      <c r="D550" t="s">
        <v>215</v>
      </c>
      <c r="E550" s="16" t="str">
        <f>"006"</f>
        <v>006</v>
      </c>
      <c r="F550" s="16">
        <v>2010</v>
      </c>
      <c r="G550" s="6">
        <v>3134700</v>
      </c>
      <c r="H550" s="6">
        <v>12400</v>
      </c>
      <c r="I550" s="6">
        <v>3122300</v>
      </c>
    </row>
    <row r="551" spans="1:9" x14ac:dyDescent="0.25">
      <c r="A551" t="s">
        <v>210</v>
      </c>
      <c r="B551" s="16" t="str">
        <f>"33281"</f>
        <v>33281</v>
      </c>
      <c r="C551" t="s">
        <v>10</v>
      </c>
      <c r="D551" t="s">
        <v>215</v>
      </c>
      <c r="E551" s="16" t="str">
        <f>"007"</f>
        <v>007</v>
      </c>
      <c r="F551" s="16">
        <v>2010</v>
      </c>
      <c r="G551" s="6">
        <v>3443400</v>
      </c>
      <c r="H551" s="6">
        <v>1070300</v>
      </c>
      <c r="I551" s="6">
        <v>2373100</v>
      </c>
    </row>
    <row r="552" spans="1:9" x14ac:dyDescent="0.25">
      <c r="A552" t="s">
        <v>216</v>
      </c>
      <c r="B552" s="16" t="str">
        <f>"34201"</f>
        <v>34201</v>
      </c>
      <c r="C552" t="s">
        <v>10</v>
      </c>
      <c r="D552" t="s">
        <v>217</v>
      </c>
      <c r="E552" s="16" t="str">
        <f>"003"</f>
        <v>003</v>
      </c>
      <c r="F552" s="16">
        <v>1999</v>
      </c>
      <c r="G552" s="6">
        <v>8690800</v>
      </c>
      <c r="H552" s="6">
        <v>5166000</v>
      </c>
      <c r="I552" s="6">
        <v>3524800</v>
      </c>
    </row>
    <row r="553" spans="1:9" x14ac:dyDescent="0.25">
      <c r="A553" t="s">
        <v>216</v>
      </c>
      <c r="B553" s="16" t="str">
        <f>"34201"</f>
        <v>34201</v>
      </c>
      <c r="C553" t="s">
        <v>10</v>
      </c>
      <c r="D553" t="s">
        <v>217</v>
      </c>
      <c r="E553" s="16" t="str">
        <f>"004"</f>
        <v>004</v>
      </c>
      <c r="F553" s="16">
        <v>1999</v>
      </c>
      <c r="G553" s="6">
        <v>26753200</v>
      </c>
      <c r="H553" s="6">
        <v>18324000</v>
      </c>
      <c r="I553" s="6">
        <v>8429200</v>
      </c>
    </row>
    <row r="554" spans="1:9" x14ac:dyDescent="0.25">
      <c r="A554" t="s">
        <v>216</v>
      </c>
      <c r="B554" s="16" t="str">
        <f>"34201"</f>
        <v>34201</v>
      </c>
      <c r="C554" t="s">
        <v>10</v>
      </c>
      <c r="D554" t="s">
        <v>217</v>
      </c>
      <c r="E554" s="16" t="str">
        <f>"005"</f>
        <v>005</v>
      </c>
      <c r="F554" s="16">
        <v>2001</v>
      </c>
      <c r="G554" s="6">
        <v>12327700</v>
      </c>
      <c r="H554" s="6">
        <v>9304200</v>
      </c>
      <c r="I554" s="6">
        <v>3023500</v>
      </c>
    </row>
    <row r="555" spans="1:9" x14ac:dyDescent="0.25">
      <c r="A555" t="s">
        <v>216</v>
      </c>
      <c r="B555" s="16" t="str">
        <f>"34201"</f>
        <v>34201</v>
      </c>
      <c r="C555" t="s">
        <v>10</v>
      </c>
      <c r="D555" t="s">
        <v>217</v>
      </c>
      <c r="E555" s="16" t="str">
        <f>"006"</f>
        <v>006</v>
      </c>
      <c r="F555" s="16">
        <v>2008</v>
      </c>
      <c r="G555" s="6">
        <v>8067100</v>
      </c>
      <c r="H555" s="6">
        <v>629800</v>
      </c>
      <c r="I555" s="6">
        <v>7437300</v>
      </c>
    </row>
    <row r="556" spans="1:9" x14ac:dyDescent="0.25">
      <c r="A556" t="s">
        <v>216</v>
      </c>
      <c r="B556" s="16" t="str">
        <f>"34201"</f>
        <v>34201</v>
      </c>
      <c r="C556" t="s">
        <v>10</v>
      </c>
      <c r="D556" t="s">
        <v>217</v>
      </c>
      <c r="E556" s="16" t="str">
        <f>"007"</f>
        <v>007</v>
      </c>
      <c r="F556" s="16">
        <v>2010</v>
      </c>
      <c r="G556" s="6">
        <v>13951700</v>
      </c>
      <c r="H556" s="6">
        <v>14344800</v>
      </c>
      <c r="I556" s="6">
        <v>-393100</v>
      </c>
    </row>
    <row r="557" spans="1:9" x14ac:dyDescent="0.25">
      <c r="A557" t="s">
        <v>218</v>
      </c>
      <c r="B557" s="16" t="str">
        <f t="shared" ref="B557:B566" si="20">"35251"</f>
        <v>35251</v>
      </c>
      <c r="C557" t="s">
        <v>10</v>
      </c>
      <c r="D557" t="s">
        <v>219</v>
      </c>
      <c r="E557" s="16" t="str">
        <f>"003"</f>
        <v>003</v>
      </c>
      <c r="F557" s="16">
        <v>2005</v>
      </c>
      <c r="G557" s="6">
        <v>51576600</v>
      </c>
      <c r="H557" s="6">
        <v>15367900</v>
      </c>
      <c r="I557" s="6">
        <v>36208700</v>
      </c>
    </row>
    <row r="558" spans="1:9" x14ac:dyDescent="0.25">
      <c r="A558" t="s">
        <v>218</v>
      </c>
      <c r="B558" s="16" t="str">
        <f t="shared" si="20"/>
        <v>35251</v>
      </c>
      <c r="C558" t="s">
        <v>10</v>
      </c>
      <c r="D558" t="s">
        <v>219</v>
      </c>
      <c r="E558" s="16" t="str">
        <f>"004"</f>
        <v>004</v>
      </c>
      <c r="F558" s="16">
        <v>2007</v>
      </c>
      <c r="G558" s="6">
        <v>15721400</v>
      </c>
      <c r="H558" s="6">
        <v>8884500</v>
      </c>
      <c r="I558" s="6">
        <v>6836900</v>
      </c>
    </row>
    <row r="559" spans="1:9" x14ac:dyDescent="0.25">
      <c r="A559" t="s">
        <v>218</v>
      </c>
      <c r="B559" s="16" t="str">
        <f t="shared" si="20"/>
        <v>35251</v>
      </c>
      <c r="C559" t="s">
        <v>10</v>
      </c>
      <c r="D559" t="s">
        <v>219</v>
      </c>
      <c r="E559" s="16" t="str">
        <f>"005"</f>
        <v>005</v>
      </c>
      <c r="F559" s="16">
        <v>2007</v>
      </c>
      <c r="G559" s="6">
        <v>663500</v>
      </c>
      <c r="H559" s="6">
        <v>74000</v>
      </c>
      <c r="I559" s="6">
        <v>589500</v>
      </c>
    </row>
    <row r="560" spans="1:9" x14ac:dyDescent="0.25">
      <c r="A560" t="s">
        <v>218</v>
      </c>
      <c r="B560" s="16" t="str">
        <f t="shared" si="20"/>
        <v>35251</v>
      </c>
      <c r="C560" t="s">
        <v>10</v>
      </c>
      <c r="D560" t="s">
        <v>219</v>
      </c>
      <c r="E560" s="16" t="str">
        <f>"006"</f>
        <v>006</v>
      </c>
      <c r="F560" s="16">
        <v>2009</v>
      </c>
      <c r="G560" s="6">
        <v>14595200</v>
      </c>
      <c r="H560" s="6">
        <v>11982400</v>
      </c>
      <c r="I560" s="6">
        <v>2612800</v>
      </c>
    </row>
    <row r="561" spans="1:9" x14ac:dyDescent="0.25">
      <c r="A561" t="s">
        <v>218</v>
      </c>
      <c r="B561" s="16" t="str">
        <f t="shared" si="20"/>
        <v>35251</v>
      </c>
      <c r="C561" t="s">
        <v>10</v>
      </c>
      <c r="D561" t="s">
        <v>219</v>
      </c>
      <c r="E561" s="16" t="str">
        <f>"007"</f>
        <v>007</v>
      </c>
      <c r="F561" s="16">
        <v>2009</v>
      </c>
      <c r="G561" s="6">
        <v>12457200</v>
      </c>
      <c r="H561" s="6">
        <v>7787000</v>
      </c>
      <c r="I561" s="6">
        <v>4670200</v>
      </c>
    </row>
    <row r="562" spans="1:9" x14ac:dyDescent="0.25">
      <c r="A562" t="s">
        <v>218</v>
      </c>
      <c r="B562" s="16" t="str">
        <f t="shared" si="20"/>
        <v>35251</v>
      </c>
      <c r="C562" t="s">
        <v>10</v>
      </c>
      <c r="D562" t="s">
        <v>219</v>
      </c>
      <c r="E562" s="16" t="str">
        <f>"008"</f>
        <v>008</v>
      </c>
      <c r="F562" s="16">
        <v>2011</v>
      </c>
      <c r="G562" s="6">
        <v>20002700</v>
      </c>
      <c r="H562" s="6">
        <v>17316700</v>
      </c>
      <c r="I562" s="6">
        <v>2686000</v>
      </c>
    </row>
    <row r="563" spans="1:9" x14ac:dyDescent="0.25">
      <c r="A563" t="s">
        <v>218</v>
      </c>
      <c r="B563" s="16" t="str">
        <f t="shared" si="20"/>
        <v>35251</v>
      </c>
      <c r="C563" t="s">
        <v>10</v>
      </c>
      <c r="D563" t="s">
        <v>219</v>
      </c>
      <c r="E563" s="16" t="str">
        <f>"009"</f>
        <v>009</v>
      </c>
      <c r="F563" s="16">
        <v>2013</v>
      </c>
      <c r="G563" s="6">
        <v>4803200</v>
      </c>
      <c r="H563" s="6">
        <v>5936000</v>
      </c>
      <c r="I563" s="6">
        <v>-1132800</v>
      </c>
    </row>
    <row r="564" spans="1:9" x14ac:dyDescent="0.25">
      <c r="A564" t="s">
        <v>218</v>
      </c>
      <c r="B564" s="16" t="str">
        <f t="shared" si="20"/>
        <v>35251</v>
      </c>
      <c r="C564" t="s">
        <v>10</v>
      </c>
      <c r="D564" t="s">
        <v>219</v>
      </c>
      <c r="E564" s="16" t="str">
        <f>"010"</f>
        <v>010</v>
      </c>
      <c r="F564" s="16">
        <v>2015</v>
      </c>
      <c r="G564" s="6">
        <v>0</v>
      </c>
      <c r="H564" s="6">
        <v>296800</v>
      </c>
      <c r="I564" s="6">
        <v>-296800</v>
      </c>
    </row>
    <row r="565" spans="1:9" x14ac:dyDescent="0.25">
      <c r="A565" t="s">
        <v>218</v>
      </c>
      <c r="B565" s="16" t="str">
        <f t="shared" si="20"/>
        <v>35251</v>
      </c>
      <c r="C565" t="s">
        <v>10</v>
      </c>
      <c r="D565" t="s">
        <v>219</v>
      </c>
      <c r="E565" s="16" t="str">
        <f>"011"</f>
        <v>011</v>
      </c>
      <c r="F565" s="16">
        <v>2016</v>
      </c>
      <c r="G565" s="6">
        <v>21238500</v>
      </c>
      <c r="H565" s="6">
        <v>14980600</v>
      </c>
      <c r="I565" s="6">
        <v>6257900</v>
      </c>
    </row>
    <row r="566" spans="1:9" x14ac:dyDescent="0.25">
      <c r="A566" t="s">
        <v>218</v>
      </c>
      <c r="B566" s="16" t="str">
        <f t="shared" si="20"/>
        <v>35251</v>
      </c>
      <c r="C566" t="s">
        <v>10</v>
      </c>
      <c r="D566" t="s">
        <v>219</v>
      </c>
      <c r="E566" s="16" t="str">
        <f>"012"</f>
        <v>012</v>
      </c>
      <c r="F566" s="16">
        <v>2017</v>
      </c>
      <c r="G566" s="6">
        <v>2433400</v>
      </c>
      <c r="H566" s="6">
        <v>1594700</v>
      </c>
      <c r="I566" s="6">
        <v>838700</v>
      </c>
    </row>
    <row r="567" spans="1:9" x14ac:dyDescent="0.25">
      <c r="A567" t="s">
        <v>218</v>
      </c>
      <c r="B567" s="16" t="str">
        <f t="shared" ref="B567:B572" si="21">"35286"</f>
        <v>35286</v>
      </c>
      <c r="C567" t="s">
        <v>10</v>
      </c>
      <c r="D567" t="s">
        <v>220</v>
      </c>
      <c r="E567" s="16" t="str">
        <f>"001"</f>
        <v>001</v>
      </c>
      <c r="F567" s="16">
        <v>1995</v>
      </c>
      <c r="G567" s="6">
        <v>6264800</v>
      </c>
      <c r="H567" s="6">
        <v>772400</v>
      </c>
      <c r="I567" s="6">
        <v>5492400</v>
      </c>
    </row>
    <row r="568" spans="1:9" x14ac:dyDescent="0.25">
      <c r="A568" t="s">
        <v>218</v>
      </c>
      <c r="B568" s="16" t="str">
        <f t="shared" si="21"/>
        <v>35286</v>
      </c>
      <c r="C568" t="s">
        <v>10</v>
      </c>
      <c r="D568" t="s">
        <v>220</v>
      </c>
      <c r="E568" s="16" t="str">
        <f>"001E"</f>
        <v>001E</v>
      </c>
      <c r="F568" s="16">
        <v>2005</v>
      </c>
      <c r="G568" s="6">
        <v>2090700</v>
      </c>
      <c r="H568" s="6">
        <v>154400</v>
      </c>
      <c r="I568" s="6">
        <v>1936300</v>
      </c>
    </row>
    <row r="569" spans="1:9" x14ac:dyDescent="0.25">
      <c r="A569" t="s">
        <v>218</v>
      </c>
      <c r="B569" s="16" t="str">
        <f t="shared" si="21"/>
        <v>35286</v>
      </c>
      <c r="C569" t="s">
        <v>10</v>
      </c>
      <c r="D569" t="s">
        <v>220</v>
      </c>
      <c r="E569" s="16" t="str">
        <f>"002"</f>
        <v>002</v>
      </c>
      <c r="F569" s="16">
        <v>1997</v>
      </c>
      <c r="G569" s="6">
        <v>19579900</v>
      </c>
      <c r="H569" s="6">
        <v>8285900</v>
      </c>
      <c r="I569" s="6">
        <v>11294000</v>
      </c>
    </row>
    <row r="570" spans="1:9" x14ac:dyDescent="0.25">
      <c r="A570" t="s">
        <v>218</v>
      </c>
      <c r="B570" s="16" t="str">
        <f t="shared" si="21"/>
        <v>35286</v>
      </c>
      <c r="C570" t="s">
        <v>10</v>
      </c>
      <c r="D570" t="s">
        <v>220</v>
      </c>
      <c r="E570" s="16" t="str">
        <f>"003"</f>
        <v>003</v>
      </c>
      <c r="F570" s="16">
        <v>2008</v>
      </c>
      <c r="G570" s="6">
        <v>2542800</v>
      </c>
      <c r="H570" s="6">
        <v>178200</v>
      </c>
      <c r="I570" s="6">
        <v>2364600</v>
      </c>
    </row>
    <row r="571" spans="1:9" x14ac:dyDescent="0.25">
      <c r="A571" t="s">
        <v>218</v>
      </c>
      <c r="B571" s="16" t="str">
        <f t="shared" si="21"/>
        <v>35286</v>
      </c>
      <c r="C571" t="s">
        <v>10</v>
      </c>
      <c r="D571" t="s">
        <v>220</v>
      </c>
      <c r="E571" s="16" t="str">
        <f>"004"</f>
        <v>004</v>
      </c>
      <c r="F571" s="16">
        <v>2013</v>
      </c>
      <c r="G571" s="6">
        <v>5564000</v>
      </c>
      <c r="H571" s="6">
        <v>2052200</v>
      </c>
      <c r="I571" s="6">
        <v>3511800</v>
      </c>
    </row>
    <row r="572" spans="1:9" x14ac:dyDescent="0.25">
      <c r="A572" t="s">
        <v>218</v>
      </c>
      <c r="B572" s="16" t="str">
        <f t="shared" si="21"/>
        <v>35286</v>
      </c>
      <c r="C572" t="s">
        <v>10</v>
      </c>
      <c r="D572" t="s">
        <v>220</v>
      </c>
      <c r="E572" s="16" t="str">
        <f>"005"</f>
        <v>005</v>
      </c>
      <c r="F572" s="16">
        <v>2015</v>
      </c>
      <c r="G572" s="6">
        <v>632700</v>
      </c>
      <c r="H572" s="6">
        <v>610200</v>
      </c>
      <c r="I572" s="6">
        <v>22500</v>
      </c>
    </row>
    <row r="573" spans="1:9" x14ac:dyDescent="0.25">
      <c r="A573" t="s">
        <v>221</v>
      </c>
      <c r="B573" s="16" t="str">
        <f>"36126"</f>
        <v>36126</v>
      </c>
      <c r="C573" t="s">
        <v>11</v>
      </c>
      <c r="D573" t="s">
        <v>222</v>
      </c>
      <c r="E573" s="16" t="str">
        <f>"002"</f>
        <v>002</v>
      </c>
      <c r="F573" s="16">
        <v>2004</v>
      </c>
      <c r="G573" s="6">
        <v>2017400</v>
      </c>
      <c r="H573" s="6">
        <v>219600</v>
      </c>
      <c r="I573" s="6">
        <v>1797800</v>
      </c>
    </row>
    <row r="574" spans="1:9" x14ac:dyDescent="0.25">
      <c r="A574" t="s">
        <v>221</v>
      </c>
      <c r="B574" s="16" t="str">
        <f>"36132"</f>
        <v>36132</v>
      </c>
      <c r="C574" t="s">
        <v>11</v>
      </c>
      <c r="D574" t="s">
        <v>223</v>
      </c>
      <c r="E574" s="16" t="str">
        <f>"001"</f>
        <v>001</v>
      </c>
      <c r="F574" s="16">
        <v>2003</v>
      </c>
      <c r="G574" s="6">
        <v>1329700</v>
      </c>
      <c r="H574" s="6">
        <v>783600</v>
      </c>
      <c r="I574" s="6">
        <v>546100</v>
      </c>
    </row>
    <row r="575" spans="1:9" x14ac:dyDescent="0.25">
      <c r="A575" t="s">
        <v>221</v>
      </c>
      <c r="B575" s="16" t="str">
        <f>"36241"</f>
        <v>36241</v>
      </c>
      <c r="C575" t="s">
        <v>10</v>
      </c>
      <c r="D575" t="s">
        <v>55</v>
      </c>
      <c r="E575" s="16" t="str">
        <f>"001E"</f>
        <v>001E</v>
      </c>
      <c r="F575" s="16">
        <v>2005</v>
      </c>
      <c r="G575" s="6">
        <v>516300</v>
      </c>
      <c r="H575" s="6">
        <v>249900</v>
      </c>
      <c r="I575" s="6">
        <v>266400</v>
      </c>
    </row>
    <row r="576" spans="1:9" x14ac:dyDescent="0.25">
      <c r="A576" t="s">
        <v>221</v>
      </c>
      <c r="B576" s="16" t="str">
        <f>"36241"</f>
        <v>36241</v>
      </c>
      <c r="C576" t="s">
        <v>10</v>
      </c>
      <c r="D576" t="s">
        <v>55</v>
      </c>
      <c r="E576" s="16" t="str">
        <f>"004"</f>
        <v>004</v>
      </c>
      <c r="F576" s="16">
        <v>2011</v>
      </c>
      <c r="G576" s="6">
        <v>30071700</v>
      </c>
      <c r="H576" s="6">
        <v>3697100</v>
      </c>
      <c r="I576" s="6">
        <v>26374600</v>
      </c>
    </row>
    <row r="577" spans="1:9" x14ac:dyDescent="0.25">
      <c r="A577" t="s">
        <v>221</v>
      </c>
      <c r="B577" s="16" t="str">
        <f t="shared" ref="B577:B583" si="22">"36251"</f>
        <v>36251</v>
      </c>
      <c r="C577" t="s">
        <v>10</v>
      </c>
      <c r="D577" t="s">
        <v>221</v>
      </c>
      <c r="E577" s="16" t="str">
        <f>"016"</f>
        <v>016</v>
      </c>
      <c r="F577" s="16">
        <v>2003</v>
      </c>
      <c r="G577" s="6">
        <v>41642800</v>
      </c>
      <c r="H577" s="6">
        <v>23530300</v>
      </c>
      <c r="I577" s="6">
        <v>18112500</v>
      </c>
    </row>
    <row r="578" spans="1:9" x14ac:dyDescent="0.25">
      <c r="A578" t="s">
        <v>221</v>
      </c>
      <c r="B578" s="16" t="str">
        <f t="shared" si="22"/>
        <v>36251</v>
      </c>
      <c r="C578" t="s">
        <v>10</v>
      </c>
      <c r="D578" t="s">
        <v>221</v>
      </c>
      <c r="E578" s="16" t="str">
        <f>"017"</f>
        <v>017</v>
      </c>
      <c r="F578" s="16">
        <v>2007</v>
      </c>
      <c r="G578" s="6">
        <v>10996000</v>
      </c>
      <c r="H578" s="6">
        <v>192200</v>
      </c>
      <c r="I578" s="6">
        <v>10803800</v>
      </c>
    </row>
    <row r="579" spans="1:9" x14ac:dyDescent="0.25">
      <c r="A579" t="s">
        <v>221</v>
      </c>
      <c r="B579" s="16" t="str">
        <f t="shared" si="22"/>
        <v>36251</v>
      </c>
      <c r="C579" t="s">
        <v>10</v>
      </c>
      <c r="D579" t="s">
        <v>221</v>
      </c>
      <c r="E579" s="16" t="str">
        <f>"018"</f>
        <v>018</v>
      </c>
      <c r="F579" s="16">
        <v>2015</v>
      </c>
      <c r="G579" s="6">
        <v>22688700</v>
      </c>
      <c r="H579" s="6">
        <v>13492300</v>
      </c>
      <c r="I579" s="6">
        <v>9196400</v>
      </c>
    </row>
    <row r="580" spans="1:9" x14ac:dyDescent="0.25">
      <c r="A580" t="s">
        <v>221</v>
      </c>
      <c r="B580" s="16" t="str">
        <f t="shared" si="22"/>
        <v>36251</v>
      </c>
      <c r="C580" t="s">
        <v>10</v>
      </c>
      <c r="D580" t="s">
        <v>221</v>
      </c>
      <c r="E580" s="16" t="str">
        <f>"019"</f>
        <v>019</v>
      </c>
      <c r="F580" s="16">
        <v>2017</v>
      </c>
      <c r="G580" s="6">
        <v>72545000</v>
      </c>
      <c r="H580" s="6">
        <v>58414600</v>
      </c>
      <c r="I580" s="6">
        <v>14130400</v>
      </c>
    </row>
    <row r="581" spans="1:9" x14ac:dyDescent="0.25">
      <c r="A581" t="s">
        <v>221</v>
      </c>
      <c r="B581" s="16" t="str">
        <f t="shared" si="22"/>
        <v>36251</v>
      </c>
      <c r="C581" t="s">
        <v>10</v>
      </c>
      <c r="D581" t="s">
        <v>221</v>
      </c>
      <c r="E581" s="16" t="str">
        <f>"020"</f>
        <v>020</v>
      </c>
      <c r="F581" s="16">
        <v>2018</v>
      </c>
      <c r="G581" s="6">
        <v>48413000</v>
      </c>
      <c r="H581" s="6">
        <v>21640000</v>
      </c>
      <c r="I581" s="6">
        <v>26773000</v>
      </c>
    </row>
    <row r="582" spans="1:9" x14ac:dyDescent="0.25">
      <c r="A582" t="s">
        <v>221</v>
      </c>
      <c r="B582" s="16" t="str">
        <f t="shared" si="22"/>
        <v>36251</v>
      </c>
      <c r="C582" t="s">
        <v>10</v>
      </c>
      <c r="D582" t="s">
        <v>221</v>
      </c>
      <c r="E582" s="16" t="str">
        <f>"021"</f>
        <v>021</v>
      </c>
      <c r="F582" s="16">
        <v>2018</v>
      </c>
      <c r="G582" s="6">
        <v>32105000</v>
      </c>
      <c r="H582" s="6">
        <v>22730400</v>
      </c>
      <c r="I582" s="6">
        <v>9374600</v>
      </c>
    </row>
    <row r="583" spans="1:9" x14ac:dyDescent="0.25">
      <c r="A583" t="s">
        <v>221</v>
      </c>
      <c r="B583" s="16" t="str">
        <f t="shared" si="22"/>
        <v>36251</v>
      </c>
      <c r="C583" t="s">
        <v>10</v>
      </c>
      <c r="D583" t="s">
        <v>221</v>
      </c>
      <c r="E583" s="16" t="str">
        <f>"022"</f>
        <v>022</v>
      </c>
      <c r="F583" s="16">
        <v>2020</v>
      </c>
      <c r="G583" s="6">
        <v>2695500</v>
      </c>
      <c r="H583" s="6">
        <v>3151400</v>
      </c>
      <c r="I583" s="6">
        <v>-455900</v>
      </c>
    </row>
    <row r="584" spans="1:9" x14ac:dyDescent="0.25">
      <c r="A584" t="s">
        <v>221</v>
      </c>
      <c r="B584" s="16" t="str">
        <f>"36147"</f>
        <v>36147</v>
      </c>
      <c r="C584" t="s">
        <v>11</v>
      </c>
      <c r="D584" t="s">
        <v>224</v>
      </c>
      <c r="E584" s="16" t="str">
        <f>"001"</f>
        <v>001</v>
      </c>
      <c r="F584" s="16">
        <v>2017</v>
      </c>
      <c r="G584" s="6">
        <v>4367600</v>
      </c>
      <c r="H584" s="6">
        <v>1247400</v>
      </c>
      <c r="I584" s="6">
        <v>3120200</v>
      </c>
    </row>
    <row r="585" spans="1:9" x14ac:dyDescent="0.25">
      <c r="A585" t="s">
        <v>221</v>
      </c>
      <c r="B585" s="16" t="str">
        <f t="shared" ref="B585:B593" si="23">"36286"</f>
        <v>36286</v>
      </c>
      <c r="C585" t="s">
        <v>10</v>
      </c>
      <c r="D585" t="s">
        <v>225</v>
      </c>
      <c r="E585" s="16" t="str">
        <f>"004"</f>
        <v>004</v>
      </c>
      <c r="F585" s="16">
        <v>1994</v>
      </c>
      <c r="G585" s="6">
        <v>3273300</v>
      </c>
      <c r="H585" s="6">
        <v>1146900</v>
      </c>
      <c r="I585" s="6">
        <v>2126400</v>
      </c>
    </row>
    <row r="586" spans="1:9" x14ac:dyDescent="0.25">
      <c r="A586" t="s">
        <v>221</v>
      </c>
      <c r="B586" s="16" t="str">
        <f t="shared" si="23"/>
        <v>36286</v>
      </c>
      <c r="C586" t="s">
        <v>10</v>
      </c>
      <c r="D586" t="s">
        <v>225</v>
      </c>
      <c r="E586" s="16" t="str">
        <f>"006"</f>
        <v>006</v>
      </c>
      <c r="F586" s="16">
        <v>2000</v>
      </c>
      <c r="G586" s="6">
        <v>980800</v>
      </c>
      <c r="H586" s="6">
        <v>0</v>
      </c>
      <c r="I586" s="6">
        <v>980800</v>
      </c>
    </row>
    <row r="587" spans="1:9" x14ac:dyDescent="0.25">
      <c r="A587" t="s">
        <v>221</v>
      </c>
      <c r="B587" s="16" t="str">
        <f t="shared" si="23"/>
        <v>36286</v>
      </c>
      <c r="C587" t="s">
        <v>10</v>
      </c>
      <c r="D587" t="s">
        <v>225</v>
      </c>
      <c r="E587" s="16" t="str">
        <f>"007"</f>
        <v>007</v>
      </c>
      <c r="F587" s="16">
        <v>2001</v>
      </c>
      <c r="G587" s="6">
        <v>4415600</v>
      </c>
      <c r="H587" s="6">
        <v>0</v>
      </c>
      <c r="I587" s="6">
        <v>4415600</v>
      </c>
    </row>
    <row r="588" spans="1:9" x14ac:dyDescent="0.25">
      <c r="A588" t="s">
        <v>221</v>
      </c>
      <c r="B588" s="16" t="str">
        <f t="shared" si="23"/>
        <v>36286</v>
      </c>
      <c r="C588" t="s">
        <v>10</v>
      </c>
      <c r="D588" t="s">
        <v>225</v>
      </c>
      <c r="E588" s="16" t="str">
        <f>"008"</f>
        <v>008</v>
      </c>
      <c r="F588" s="16">
        <v>2002</v>
      </c>
      <c r="G588" s="6">
        <v>8132000</v>
      </c>
      <c r="H588" s="6">
        <v>0</v>
      </c>
      <c r="I588" s="6">
        <v>8132000</v>
      </c>
    </row>
    <row r="589" spans="1:9" x14ac:dyDescent="0.25">
      <c r="A589" t="s">
        <v>221</v>
      </c>
      <c r="B589" s="16" t="str">
        <f t="shared" si="23"/>
        <v>36286</v>
      </c>
      <c r="C589" t="s">
        <v>10</v>
      </c>
      <c r="D589" t="s">
        <v>225</v>
      </c>
      <c r="E589" s="16" t="str">
        <f>"009"</f>
        <v>009</v>
      </c>
      <c r="F589" s="16">
        <v>2003</v>
      </c>
      <c r="G589" s="6">
        <v>9455200</v>
      </c>
      <c r="H589" s="6">
        <v>10800</v>
      </c>
      <c r="I589" s="6">
        <v>9444400</v>
      </c>
    </row>
    <row r="590" spans="1:9" x14ac:dyDescent="0.25">
      <c r="A590" t="s">
        <v>221</v>
      </c>
      <c r="B590" s="16" t="str">
        <f t="shared" si="23"/>
        <v>36286</v>
      </c>
      <c r="C590" t="s">
        <v>10</v>
      </c>
      <c r="D590" t="s">
        <v>225</v>
      </c>
      <c r="E590" s="16" t="str">
        <f>"010"</f>
        <v>010</v>
      </c>
      <c r="F590" s="16">
        <v>2014</v>
      </c>
      <c r="G590" s="6">
        <v>2297800</v>
      </c>
      <c r="H590" s="6">
        <v>2070700</v>
      </c>
      <c r="I590" s="6">
        <v>227100</v>
      </c>
    </row>
    <row r="591" spans="1:9" x14ac:dyDescent="0.25">
      <c r="A591" t="s">
        <v>221</v>
      </c>
      <c r="B591" s="16" t="str">
        <f t="shared" si="23"/>
        <v>36286</v>
      </c>
      <c r="C591" t="s">
        <v>10</v>
      </c>
      <c r="D591" t="s">
        <v>225</v>
      </c>
      <c r="E591" s="16" t="str">
        <f>"011"</f>
        <v>011</v>
      </c>
      <c r="F591" s="16">
        <v>2016</v>
      </c>
      <c r="G591" s="6">
        <v>2010100</v>
      </c>
      <c r="H591" s="6">
        <v>860400</v>
      </c>
      <c r="I591" s="6">
        <v>1149700</v>
      </c>
    </row>
    <row r="592" spans="1:9" x14ac:dyDescent="0.25">
      <c r="A592" t="s">
        <v>221</v>
      </c>
      <c r="B592" s="16" t="str">
        <f t="shared" si="23"/>
        <v>36286</v>
      </c>
      <c r="C592" t="s">
        <v>10</v>
      </c>
      <c r="D592" t="s">
        <v>225</v>
      </c>
      <c r="E592" s="16" t="str">
        <f>"012"</f>
        <v>012</v>
      </c>
      <c r="F592" s="16">
        <v>2018</v>
      </c>
      <c r="G592" s="6">
        <v>4696100</v>
      </c>
      <c r="H592" s="6">
        <v>380900</v>
      </c>
      <c r="I592" s="6">
        <v>4315200</v>
      </c>
    </row>
    <row r="593" spans="1:9" x14ac:dyDescent="0.25">
      <c r="A593" t="s">
        <v>221</v>
      </c>
      <c r="B593" s="16" t="str">
        <f t="shared" si="23"/>
        <v>36286</v>
      </c>
      <c r="C593" t="s">
        <v>10</v>
      </c>
      <c r="D593" t="s">
        <v>225</v>
      </c>
      <c r="E593" s="16" t="str">
        <f>"013"</f>
        <v>013</v>
      </c>
      <c r="F593" s="16">
        <v>2020</v>
      </c>
      <c r="G593" s="6">
        <v>6035100</v>
      </c>
      <c r="H593" s="6">
        <v>5660100</v>
      </c>
      <c r="I593" s="6">
        <v>375000</v>
      </c>
    </row>
    <row r="594" spans="1:9" x14ac:dyDescent="0.25">
      <c r="A594" t="s">
        <v>221</v>
      </c>
      <c r="B594" s="16" t="str">
        <f>"36186"</f>
        <v>36186</v>
      </c>
      <c r="C594" t="s">
        <v>11</v>
      </c>
      <c r="D594" t="s">
        <v>226</v>
      </c>
      <c r="E594" s="16" t="str">
        <f>"002"</f>
        <v>002</v>
      </c>
      <c r="F594" s="16">
        <v>2017</v>
      </c>
      <c r="G594" s="6">
        <v>4852400</v>
      </c>
      <c r="H594" s="6">
        <v>3330200</v>
      </c>
      <c r="I594" s="6">
        <v>1522200</v>
      </c>
    </row>
    <row r="595" spans="1:9" x14ac:dyDescent="0.25">
      <c r="A595" t="s">
        <v>221</v>
      </c>
      <c r="B595" s="16" t="str">
        <f>"36191"</f>
        <v>36191</v>
      </c>
      <c r="C595" t="s">
        <v>11</v>
      </c>
      <c r="D595" t="s">
        <v>227</v>
      </c>
      <c r="E595" s="16" t="str">
        <f>"002"</f>
        <v>002</v>
      </c>
      <c r="F595" s="16">
        <v>2010</v>
      </c>
      <c r="G595" s="6">
        <v>3983100</v>
      </c>
      <c r="H595" s="6">
        <v>2290100</v>
      </c>
      <c r="I595" s="6">
        <v>1693000</v>
      </c>
    </row>
    <row r="596" spans="1:9" x14ac:dyDescent="0.25">
      <c r="A596" s="12" t="s">
        <v>228</v>
      </c>
      <c r="B596" s="17" t="str">
        <f>"37201"</f>
        <v>37201</v>
      </c>
      <c r="C596" s="12" t="s">
        <v>10</v>
      </c>
      <c r="D596" s="12" t="s">
        <v>68</v>
      </c>
      <c r="E596" s="17" t="str">
        <f>"005"</f>
        <v>005</v>
      </c>
      <c r="F596" s="17">
        <v>2008</v>
      </c>
      <c r="G596" s="13">
        <v>12013000</v>
      </c>
      <c r="H596" s="13">
        <v>11954100</v>
      </c>
      <c r="I596" s="13">
        <v>58900</v>
      </c>
    </row>
    <row r="597" spans="1:9" x14ac:dyDescent="0.25">
      <c r="A597" s="12" t="s">
        <v>228</v>
      </c>
      <c r="B597" s="17" t="str">
        <f>"37201"</f>
        <v>37201</v>
      </c>
      <c r="C597" s="12" t="s">
        <v>10</v>
      </c>
      <c r="D597" s="12" t="s">
        <v>68</v>
      </c>
      <c r="E597" s="17" t="str">
        <f>"006"</f>
        <v>006</v>
      </c>
      <c r="F597" s="17">
        <v>2016</v>
      </c>
      <c r="G597" s="13">
        <v>22124300</v>
      </c>
      <c r="H597" s="13">
        <v>5923100</v>
      </c>
      <c r="I597" s="14">
        <v>16201200</v>
      </c>
    </row>
    <row r="598" spans="1:9" x14ac:dyDescent="0.25">
      <c r="A598" t="s">
        <v>228</v>
      </c>
      <c r="B598" s="16" t="str">
        <f>"37102"</f>
        <v>37102</v>
      </c>
      <c r="C598" t="s">
        <v>11</v>
      </c>
      <c r="D598" t="s">
        <v>229</v>
      </c>
      <c r="E598" s="16" t="str">
        <f>"001"</f>
        <v>001</v>
      </c>
      <c r="F598" s="16">
        <v>1995</v>
      </c>
      <c r="G598" s="6">
        <v>4879400</v>
      </c>
      <c r="H598" s="6">
        <v>44500</v>
      </c>
      <c r="I598" s="6">
        <v>4834900</v>
      </c>
    </row>
    <row r="599" spans="1:9" x14ac:dyDescent="0.25">
      <c r="A599" t="s">
        <v>228</v>
      </c>
      <c r="B599" s="16" t="str">
        <f>"37102"</f>
        <v>37102</v>
      </c>
      <c r="C599" t="s">
        <v>11</v>
      </c>
      <c r="D599" t="s">
        <v>229</v>
      </c>
      <c r="E599" s="16" t="str">
        <f>"002"</f>
        <v>002</v>
      </c>
      <c r="F599" s="16">
        <v>2007</v>
      </c>
      <c r="G599" s="6">
        <v>10524800</v>
      </c>
      <c r="H599" s="6">
        <v>1889500</v>
      </c>
      <c r="I599" s="6">
        <v>8635300</v>
      </c>
    </row>
    <row r="600" spans="1:9" x14ac:dyDescent="0.25">
      <c r="A600" t="s">
        <v>228</v>
      </c>
      <c r="B600" s="16" t="str">
        <f>"37121"</f>
        <v>37121</v>
      </c>
      <c r="C600" t="s">
        <v>11</v>
      </c>
      <c r="D600" t="s">
        <v>230</v>
      </c>
      <c r="E600" s="16" t="str">
        <f>"001"</f>
        <v>001</v>
      </c>
      <c r="F600" s="16">
        <v>2002</v>
      </c>
      <c r="G600" s="6">
        <v>1814500</v>
      </c>
      <c r="H600" s="6">
        <v>789300</v>
      </c>
      <c r="I600" s="6">
        <v>1025200</v>
      </c>
    </row>
    <row r="601" spans="1:9" x14ac:dyDescent="0.25">
      <c r="A601" t="s">
        <v>228</v>
      </c>
      <c r="B601" s="16" t="str">
        <f>"37121"</f>
        <v>37121</v>
      </c>
      <c r="C601" t="s">
        <v>11</v>
      </c>
      <c r="D601" t="s">
        <v>230</v>
      </c>
      <c r="E601" s="16" t="str">
        <f>"003"</f>
        <v>003</v>
      </c>
      <c r="F601" s="16">
        <v>2005</v>
      </c>
      <c r="G601" s="6">
        <v>5620800</v>
      </c>
      <c r="H601" s="6">
        <v>55700</v>
      </c>
      <c r="I601" s="6">
        <v>5565100</v>
      </c>
    </row>
    <row r="602" spans="1:9" x14ac:dyDescent="0.25">
      <c r="A602" t="s">
        <v>228</v>
      </c>
      <c r="B602" s="16" t="str">
        <f>"37121"</f>
        <v>37121</v>
      </c>
      <c r="C602" t="s">
        <v>11</v>
      </c>
      <c r="D602" t="s">
        <v>230</v>
      </c>
      <c r="E602" s="16" t="str">
        <f>"004"</f>
        <v>004</v>
      </c>
      <c r="F602" s="16">
        <v>2016</v>
      </c>
      <c r="G602" s="6">
        <v>4601300</v>
      </c>
      <c r="H602" s="6">
        <v>1655200</v>
      </c>
      <c r="I602" s="6">
        <v>2946100</v>
      </c>
    </row>
    <row r="603" spans="1:9" x14ac:dyDescent="0.25">
      <c r="A603" t="s">
        <v>228</v>
      </c>
      <c r="B603" s="16" t="str">
        <f>"37136"</f>
        <v>37136</v>
      </c>
      <c r="C603" t="s">
        <v>11</v>
      </c>
      <c r="D603" t="s">
        <v>231</v>
      </c>
      <c r="E603" s="16" t="str">
        <f>"001"</f>
        <v>001</v>
      </c>
      <c r="F603" s="16">
        <v>2007</v>
      </c>
      <c r="G603" s="6">
        <v>13875400</v>
      </c>
      <c r="H603" s="6">
        <v>3240500</v>
      </c>
      <c r="I603" s="6">
        <v>10634900</v>
      </c>
    </row>
    <row r="604" spans="1:9" x14ac:dyDescent="0.25">
      <c r="A604" t="s">
        <v>228</v>
      </c>
      <c r="B604" s="16" t="str">
        <f>"37145"</f>
        <v>37145</v>
      </c>
      <c r="C604" t="s">
        <v>11</v>
      </c>
      <c r="D604" t="s">
        <v>232</v>
      </c>
      <c r="E604" s="16" t="str">
        <f>"001"</f>
        <v>001</v>
      </c>
      <c r="F604" s="16">
        <v>2005</v>
      </c>
      <c r="G604" s="6">
        <v>17978800</v>
      </c>
      <c r="H604" s="6">
        <v>2262300</v>
      </c>
      <c r="I604" s="6">
        <v>15716500</v>
      </c>
    </row>
    <row r="605" spans="1:9" x14ac:dyDescent="0.25">
      <c r="A605" t="s">
        <v>228</v>
      </c>
      <c r="B605" s="16" t="str">
        <f>"37145"</f>
        <v>37145</v>
      </c>
      <c r="C605" t="s">
        <v>11</v>
      </c>
      <c r="D605" t="s">
        <v>232</v>
      </c>
      <c r="E605" s="16" t="str">
        <f>"002"</f>
        <v>002</v>
      </c>
      <c r="F605" s="16">
        <v>2005</v>
      </c>
      <c r="G605" s="6">
        <v>47482400</v>
      </c>
      <c r="H605" s="6">
        <v>5398600</v>
      </c>
      <c r="I605" s="6">
        <v>42083800</v>
      </c>
    </row>
    <row r="606" spans="1:9" x14ac:dyDescent="0.25">
      <c r="A606" t="s">
        <v>228</v>
      </c>
      <c r="B606" s="16" t="str">
        <f>"37145"</f>
        <v>37145</v>
      </c>
      <c r="C606" t="s">
        <v>11</v>
      </c>
      <c r="D606" t="s">
        <v>232</v>
      </c>
      <c r="E606" s="16" t="str">
        <f>"003"</f>
        <v>003</v>
      </c>
      <c r="F606" s="16">
        <v>2005</v>
      </c>
      <c r="G606" s="6">
        <v>1056600</v>
      </c>
      <c r="H606" s="6">
        <v>405100</v>
      </c>
      <c r="I606" s="6">
        <v>651500</v>
      </c>
    </row>
    <row r="607" spans="1:9" x14ac:dyDescent="0.25">
      <c r="A607" t="s">
        <v>228</v>
      </c>
      <c r="B607" s="16" t="str">
        <f>"37145"</f>
        <v>37145</v>
      </c>
      <c r="C607" t="s">
        <v>11</v>
      </c>
      <c r="D607" t="s">
        <v>232</v>
      </c>
      <c r="E607" s="16" t="str">
        <f>"004"</f>
        <v>004</v>
      </c>
      <c r="F607" s="16">
        <v>2005</v>
      </c>
      <c r="G607" s="6">
        <v>5921500</v>
      </c>
      <c r="H607" s="6">
        <v>106600</v>
      </c>
      <c r="I607" s="6">
        <v>5814900</v>
      </c>
    </row>
    <row r="608" spans="1:9" x14ac:dyDescent="0.25">
      <c r="A608" t="s">
        <v>228</v>
      </c>
      <c r="B608" s="16" t="str">
        <f>"37146"</f>
        <v>37146</v>
      </c>
      <c r="C608" t="s">
        <v>11</v>
      </c>
      <c r="D608" t="s">
        <v>233</v>
      </c>
      <c r="E608" s="16" t="str">
        <f>"001"</f>
        <v>001</v>
      </c>
      <c r="F608" s="16">
        <v>1997</v>
      </c>
      <c r="G608" s="6">
        <v>11081600</v>
      </c>
      <c r="H608" s="6">
        <v>447100</v>
      </c>
      <c r="I608" s="6">
        <v>10634500</v>
      </c>
    </row>
    <row r="609" spans="1:9" x14ac:dyDescent="0.25">
      <c r="A609" t="s">
        <v>228</v>
      </c>
      <c r="B609" s="16" t="str">
        <f>"37151"</f>
        <v>37151</v>
      </c>
      <c r="C609" t="s">
        <v>11</v>
      </c>
      <c r="D609" t="s">
        <v>228</v>
      </c>
      <c r="E609" s="16" t="str">
        <f>"001"</f>
        <v>001</v>
      </c>
      <c r="F609" s="16">
        <v>2002</v>
      </c>
      <c r="G609" s="6">
        <v>39930200</v>
      </c>
      <c r="H609" s="6">
        <v>7361400</v>
      </c>
      <c r="I609" s="6">
        <v>32568800</v>
      </c>
    </row>
    <row r="610" spans="1:9" x14ac:dyDescent="0.25">
      <c r="A610" t="s">
        <v>228</v>
      </c>
      <c r="B610" s="16" t="str">
        <f>"37151"</f>
        <v>37151</v>
      </c>
      <c r="C610" t="s">
        <v>11</v>
      </c>
      <c r="D610" t="s">
        <v>228</v>
      </c>
      <c r="E610" s="16" t="str">
        <f>"002"</f>
        <v>002</v>
      </c>
      <c r="F610" s="16">
        <v>2016</v>
      </c>
      <c r="G610" s="6">
        <v>7693800</v>
      </c>
      <c r="H610" s="6">
        <v>1146800</v>
      </c>
      <c r="I610" s="6">
        <v>6547000</v>
      </c>
    </row>
    <row r="611" spans="1:9" x14ac:dyDescent="0.25">
      <c r="A611" t="s">
        <v>228</v>
      </c>
      <c r="B611" s="16" t="str">
        <f>"37251"</f>
        <v>37251</v>
      </c>
      <c r="C611" t="s">
        <v>10</v>
      </c>
      <c r="D611" t="s">
        <v>234</v>
      </c>
      <c r="E611" s="16" t="str">
        <f>"002"</f>
        <v>002</v>
      </c>
      <c r="F611" s="16">
        <v>2006</v>
      </c>
      <c r="G611" s="6">
        <v>33511800</v>
      </c>
      <c r="H611" s="6">
        <v>12930700</v>
      </c>
      <c r="I611" s="6">
        <v>20581100</v>
      </c>
    </row>
    <row r="612" spans="1:9" x14ac:dyDescent="0.25">
      <c r="A612" t="s">
        <v>228</v>
      </c>
      <c r="B612" s="16" t="str">
        <f>"37251"</f>
        <v>37251</v>
      </c>
      <c r="C612" t="s">
        <v>10</v>
      </c>
      <c r="D612" t="s">
        <v>234</v>
      </c>
      <c r="E612" s="16" t="str">
        <f>"003"</f>
        <v>003</v>
      </c>
      <c r="F612" s="16">
        <v>2013</v>
      </c>
      <c r="G612" s="6">
        <v>13157400</v>
      </c>
      <c r="H612" s="6">
        <v>7531100</v>
      </c>
      <c r="I612" s="6">
        <v>5626300</v>
      </c>
    </row>
    <row r="613" spans="1:9" x14ac:dyDescent="0.25">
      <c r="A613" t="s">
        <v>228</v>
      </c>
      <c r="B613" s="16" t="str">
        <f>"37068"</f>
        <v>37068</v>
      </c>
      <c r="C613" t="s">
        <v>13</v>
      </c>
      <c r="D613" t="s">
        <v>235</v>
      </c>
      <c r="E613" s="16" t="str">
        <f>"001A"</f>
        <v>001A</v>
      </c>
      <c r="F613" s="16">
        <v>2020</v>
      </c>
      <c r="G613" s="6">
        <v>24768500</v>
      </c>
      <c r="H613" s="6">
        <v>20078900</v>
      </c>
      <c r="I613" s="6">
        <v>4689600</v>
      </c>
    </row>
    <row r="614" spans="1:9" x14ac:dyDescent="0.25">
      <c r="A614" t="s">
        <v>228</v>
      </c>
      <c r="B614" s="16" t="str">
        <f>"37176"</f>
        <v>37176</v>
      </c>
      <c r="C614" t="s">
        <v>11</v>
      </c>
      <c r="D614" t="s">
        <v>236</v>
      </c>
      <c r="E614" s="16" t="str">
        <f>"002"</f>
        <v>002</v>
      </c>
      <c r="F614" s="16">
        <v>2013</v>
      </c>
      <c r="G614" s="6">
        <v>54792500</v>
      </c>
      <c r="H614" s="6">
        <v>44864400</v>
      </c>
      <c r="I614" s="6">
        <v>9928100</v>
      </c>
    </row>
    <row r="615" spans="1:9" x14ac:dyDescent="0.25">
      <c r="A615" t="s">
        <v>228</v>
      </c>
      <c r="B615" s="16" t="str">
        <f>"37281"</f>
        <v>37281</v>
      </c>
      <c r="C615" t="s">
        <v>10</v>
      </c>
      <c r="D615" t="s">
        <v>237</v>
      </c>
      <c r="E615" s="16" t="str">
        <f>"002"</f>
        <v>002</v>
      </c>
      <c r="F615" s="16">
        <v>1994</v>
      </c>
      <c r="G615" s="6">
        <v>21758600</v>
      </c>
      <c r="H615" s="6">
        <v>3273500</v>
      </c>
      <c r="I615" s="6">
        <v>18485100</v>
      </c>
    </row>
    <row r="616" spans="1:9" x14ac:dyDescent="0.25">
      <c r="A616" t="s">
        <v>228</v>
      </c>
      <c r="B616" s="16" t="str">
        <f>"37281"</f>
        <v>37281</v>
      </c>
      <c r="C616" t="s">
        <v>10</v>
      </c>
      <c r="D616" t="s">
        <v>237</v>
      </c>
      <c r="E616" s="16" t="str">
        <f>"003"</f>
        <v>003</v>
      </c>
      <c r="F616" s="16">
        <v>1997</v>
      </c>
      <c r="G616" s="6">
        <v>14282600</v>
      </c>
      <c r="H616" s="6">
        <v>4839000</v>
      </c>
      <c r="I616" s="6">
        <v>9443600</v>
      </c>
    </row>
    <row r="617" spans="1:9" x14ac:dyDescent="0.25">
      <c r="A617" t="s">
        <v>228</v>
      </c>
      <c r="B617" s="16" t="str">
        <f>"37281"</f>
        <v>37281</v>
      </c>
      <c r="C617" t="s">
        <v>10</v>
      </c>
      <c r="D617" t="s">
        <v>237</v>
      </c>
      <c r="E617" s="16" t="str">
        <f>"004"</f>
        <v>004</v>
      </c>
      <c r="F617" s="16">
        <v>2017</v>
      </c>
      <c r="G617" s="6">
        <v>12416100</v>
      </c>
      <c r="H617" s="6">
        <v>4534200</v>
      </c>
      <c r="I617" s="6">
        <v>7881900</v>
      </c>
    </row>
    <row r="618" spans="1:9" x14ac:dyDescent="0.25">
      <c r="A618" t="s">
        <v>228</v>
      </c>
      <c r="B618" s="16" t="str">
        <f>"37181"</f>
        <v>37181</v>
      </c>
      <c r="C618" t="s">
        <v>11</v>
      </c>
      <c r="D618" t="s">
        <v>238</v>
      </c>
      <c r="E618" s="16" t="str">
        <f>"002"</f>
        <v>002</v>
      </c>
      <c r="F618" s="16">
        <v>1999</v>
      </c>
      <c r="G618" s="6">
        <v>7636700</v>
      </c>
      <c r="H618" s="6">
        <v>2954600</v>
      </c>
      <c r="I618" s="6">
        <v>4682100</v>
      </c>
    </row>
    <row r="619" spans="1:9" x14ac:dyDescent="0.25">
      <c r="A619" t="s">
        <v>228</v>
      </c>
      <c r="B619" s="16" t="str">
        <f>"37181"</f>
        <v>37181</v>
      </c>
      <c r="C619" t="s">
        <v>11</v>
      </c>
      <c r="D619" t="s">
        <v>238</v>
      </c>
      <c r="E619" s="16" t="str">
        <f>"003"</f>
        <v>003</v>
      </c>
      <c r="F619" s="16">
        <v>2013</v>
      </c>
      <c r="G619" s="6">
        <v>2541700</v>
      </c>
      <c r="H619" s="6">
        <v>519500</v>
      </c>
      <c r="I619" s="6">
        <v>2022200</v>
      </c>
    </row>
    <row r="620" spans="1:9" x14ac:dyDescent="0.25">
      <c r="A620" t="s">
        <v>228</v>
      </c>
      <c r="B620" s="16" t="str">
        <f>"37181"</f>
        <v>37181</v>
      </c>
      <c r="C620" t="s">
        <v>11</v>
      </c>
      <c r="D620" t="s">
        <v>238</v>
      </c>
      <c r="E620" s="16" t="str">
        <f>"004"</f>
        <v>004</v>
      </c>
      <c r="F620" s="16">
        <v>2016</v>
      </c>
      <c r="G620" s="6">
        <v>6032000</v>
      </c>
      <c r="H620" s="6">
        <v>6831100</v>
      </c>
      <c r="I620" s="6">
        <v>-799100</v>
      </c>
    </row>
    <row r="621" spans="1:9" x14ac:dyDescent="0.25">
      <c r="A621" t="s">
        <v>228</v>
      </c>
      <c r="B621" s="16" t="str">
        <f>"37182"</f>
        <v>37182</v>
      </c>
      <c r="C621" t="s">
        <v>11</v>
      </c>
      <c r="D621" t="s">
        <v>239</v>
      </c>
      <c r="E621" s="16" t="str">
        <f>"003"</f>
        <v>003</v>
      </c>
      <c r="F621" s="16">
        <v>2006</v>
      </c>
      <c r="G621" s="6">
        <v>9453700</v>
      </c>
      <c r="H621" s="6">
        <v>2413400</v>
      </c>
      <c r="I621" s="6">
        <v>7040300</v>
      </c>
    </row>
    <row r="622" spans="1:9" x14ac:dyDescent="0.25">
      <c r="A622" t="s">
        <v>228</v>
      </c>
      <c r="B622" s="16" t="str">
        <f>"37182"</f>
        <v>37182</v>
      </c>
      <c r="C622" t="s">
        <v>11</v>
      </c>
      <c r="D622" t="s">
        <v>239</v>
      </c>
      <c r="E622" s="16" t="str">
        <f>"004"</f>
        <v>004</v>
      </c>
      <c r="F622" s="16">
        <v>2015</v>
      </c>
      <c r="G622" s="6">
        <v>23225600</v>
      </c>
      <c r="H622" s="6">
        <v>9055500</v>
      </c>
      <c r="I622" s="6">
        <v>14170100</v>
      </c>
    </row>
    <row r="623" spans="1:9" x14ac:dyDescent="0.25">
      <c r="A623" t="s">
        <v>228</v>
      </c>
      <c r="B623" s="16" t="str">
        <f>"37186"</f>
        <v>37186</v>
      </c>
      <c r="C623" t="s">
        <v>11</v>
      </c>
      <c r="D623" t="s">
        <v>76</v>
      </c>
      <c r="E623" s="16" t="str">
        <f>"001"</f>
        <v>001</v>
      </c>
      <c r="F623" s="16">
        <v>1998</v>
      </c>
      <c r="G623" s="6">
        <v>294500</v>
      </c>
      <c r="H623" s="6">
        <v>196000</v>
      </c>
      <c r="I623" s="6">
        <v>98500</v>
      </c>
    </row>
    <row r="624" spans="1:9" x14ac:dyDescent="0.25">
      <c r="A624" t="s">
        <v>228</v>
      </c>
      <c r="B624" s="16" t="str">
        <f t="shared" ref="B624:B631" si="24">"37291"</f>
        <v>37291</v>
      </c>
      <c r="C624" t="s">
        <v>10</v>
      </c>
      <c r="D624" t="s">
        <v>240</v>
      </c>
      <c r="E624" s="16" t="str">
        <f>"003"</f>
        <v>003</v>
      </c>
      <c r="F624" s="16">
        <v>1994</v>
      </c>
      <c r="G624" s="6">
        <v>154854600</v>
      </c>
      <c r="H624" s="6">
        <v>42818700</v>
      </c>
      <c r="I624" s="6">
        <v>112035900</v>
      </c>
    </row>
    <row r="625" spans="1:9" x14ac:dyDescent="0.25">
      <c r="A625" t="s">
        <v>228</v>
      </c>
      <c r="B625" s="16" t="str">
        <f t="shared" si="24"/>
        <v>37291</v>
      </c>
      <c r="C625" t="s">
        <v>10</v>
      </c>
      <c r="D625" t="s">
        <v>240</v>
      </c>
      <c r="E625" s="16" t="str">
        <f>"006"</f>
        <v>006</v>
      </c>
      <c r="F625" s="16">
        <v>2005</v>
      </c>
      <c r="G625" s="6">
        <v>222689800</v>
      </c>
      <c r="H625" s="6">
        <v>80579300</v>
      </c>
      <c r="I625" s="6">
        <v>142110500</v>
      </c>
    </row>
    <row r="626" spans="1:9" x14ac:dyDescent="0.25">
      <c r="A626" t="s">
        <v>228</v>
      </c>
      <c r="B626" s="16" t="str">
        <f t="shared" si="24"/>
        <v>37291</v>
      </c>
      <c r="C626" t="s">
        <v>10</v>
      </c>
      <c r="D626" t="s">
        <v>240</v>
      </c>
      <c r="E626" s="16" t="str">
        <f>"007"</f>
        <v>007</v>
      </c>
      <c r="F626" s="16">
        <v>2006</v>
      </c>
      <c r="G626" s="6">
        <v>86717600</v>
      </c>
      <c r="H626" s="6">
        <v>29441600</v>
      </c>
      <c r="I626" s="6">
        <v>57276000</v>
      </c>
    </row>
    <row r="627" spans="1:9" x14ac:dyDescent="0.25">
      <c r="A627" t="s">
        <v>228</v>
      </c>
      <c r="B627" s="16" t="str">
        <f t="shared" si="24"/>
        <v>37291</v>
      </c>
      <c r="C627" t="s">
        <v>10</v>
      </c>
      <c r="D627" t="s">
        <v>240</v>
      </c>
      <c r="E627" s="16" t="str">
        <f>"008"</f>
        <v>008</v>
      </c>
      <c r="F627" s="16">
        <v>2012</v>
      </c>
      <c r="G627" s="6">
        <v>66093100</v>
      </c>
      <c r="H627" s="6">
        <v>41343200</v>
      </c>
      <c r="I627" s="6">
        <v>24749900</v>
      </c>
    </row>
    <row r="628" spans="1:9" x14ac:dyDescent="0.25">
      <c r="A628" t="s">
        <v>228</v>
      </c>
      <c r="B628" s="16" t="str">
        <f t="shared" si="24"/>
        <v>37291</v>
      </c>
      <c r="C628" t="s">
        <v>10</v>
      </c>
      <c r="D628" t="s">
        <v>240</v>
      </c>
      <c r="E628" s="16" t="str">
        <f>"009"</f>
        <v>009</v>
      </c>
      <c r="F628" s="16">
        <v>2012</v>
      </c>
      <c r="G628" s="6">
        <v>1860600</v>
      </c>
      <c r="H628" s="6">
        <v>1232400</v>
      </c>
      <c r="I628" s="6">
        <v>628200</v>
      </c>
    </row>
    <row r="629" spans="1:9" x14ac:dyDescent="0.25">
      <c r="A629" t="s">
        <v>228</v>
      </c>
      <c r="B629" s="16" t="str">
        <f t="shared" si="24"/>
        <v>37291</v>
      </c>
      <c r="C629" t="s">
        <v>10</v>
      </c>
      <c r="D629" t="s">
        <v>240</v>
      </c>
      <c r="E629" s="16" t="str">
        <f>"010"</f>
        <v>010</v>
      </c>
      <c r="F629" s="16">
        <v>2013</v>
      </c>
      <c r="G629" s="6">
        <v>60322800</v>
      </c>
      <c r="H629" s="6">
        <v>45713000</v>
      </c>
      <c r="I629" s="6">
        <v>14609800</v>
      </c>
    </row>
    <row r="630" spans="1:9" x14ac:dyDescent="0.25">
      <c r="A630" t="s">
        <v>228</v>
      </c>
      <c r="B630" s="16" t="str">
        <f t="shared" si="24"/>
        <v>37291</v>
      </c>
      <c r="C630" t="s">
        <v>10</v>
      </c>
      <c r="D630" t="s">
        <v>240</v>
      </c>
      <c r="E630" s="16" t="str">
        <f>"011"</f>
        <v>011</v>
      </c>
      <c r="F630" s="16">
        <v>2017</v>
      </c>
      <c r="G630" s="6">
        <v>67444200</v>
      </c>
      <c r="H630" s="6">
        <v>1386400</v>
      </c>
      <c r="I630" s="6">
        <v>66057800</v>
      </c>
    </row>
    <row r="631" spans="1:9" x14ac:dyDescent="0.25">
      <c r="A631" t="s">
        <v>228</v>
      </c>
      <c r="B631" s="16" t="str">
        <f t="shared" si="24"/>
        <v>37291</v>
      </c>
      <c r="C631" t="s">
        <v>10</v>
      </c>
      <c r="D631" t="s">
        <v>240</v>
      </c>
      <c r="E631" s="16" t="str">
        <f>"012"</f>
        <v>012</v>
      </c>
      <c r="F631" s="16">
        <v>2017</v>
      </c>
      <c r="G631" s="6">
        <v>24807900</v>
      </c>
      <c r="H631" s="6">
        <v>12441300</v>
      </c>
      <c r="I631" s="6">
        <v>12366600</v>
      </c>
    </row>
    <row r="632" spans="1:9" x14ac:dyDescent="0.25">
      <c r="A632" t="s">
        <v>228</v>
      </c>
      <c r="B632" s="16" t="str">
        <f>"37192"</f>
        <v>37192</v>
      </c>
      <c r="C632" t="s">
        <v>11</v>
      </c>
      <c r="D632" t="s">
        <v>241</v>
      </c>
      <c r="E632" s="16" t="str">
        <f>"001"</f>
        <v>001</v>
      </c>
      <c r="F632" s="16">
        <v>1998</v>
      </c>
      <c r="G632" s="6">
        <v>333914100</v>
      </c>
      <c r="H632" s="6">
        <v>38651600</v>
      </c>
      <c r="I632" s="6">
        <v>295262500</v>
      </c>
    </row>
    <row r="633" spans="1:9" x14ac:dyDescent="0.25">
      <c r="A633" t="s">
        <v>228</v>
      </c>
      <c r="B633" s="16" t="str">
        <f>"37192"</f>
        <v>37192</v>
      </c>
      <c r="C633" t="s">
        <v>11</v>
      </c>
      <c r="D633" t="s">
        <v>241</v>
      </c>
      <c r="E633" s="16" t="str">
        <f>"002"</f>
        <v>002</v>
      </c>
      <c r="F633" s="16">
        <v>2004</v>
      </c>
      <c r="G633" s="6">
        <v>63928400</v>
      </c>
      <c r="H633" s="6">
        <v>34853000</v>
      </c>
      <c r="I633" s="6">
        <v>29075400</v>
      </c>
    </row>
    <row r="634" spans="1:9" x14ac:dyDescent="0.25">
      <c r="A634" t="s">
        <v>242</v>
      </c>
      <c r="B634" s="16" t="str">
        <f>"38111"</f>
        <v>38111</v>
      </c>
      <c r="C634" t="s">
        <v>11</v>
      </c>
      <c r="D634" t="s">
        <v>243</v>
      </c>
      <c r="E634" s="16" t="str">
        <f>"001"</f>
        <v>001</v>
      </c>
      <c r="F634" s="16">
        <v>2005</v>
      </c>
      <c r="G634" s="6">
        <v>7383700</v>
      </c>
      <c r="H634" s="6">
        <v>2604100</v>
      </c>
      <c r="I634" s="6">
        <v>4779600</v>
      </c>
    </row>
    <row r="635" spans="1:9" x14ac:dyDescent="0.25">
      <c r="A635" t="s">
        <v>242</v>
      </c>
      <c r="B635" s="16" t="str">
        <f>"38111"</f>
        <v>38111</v>
      </c>
      <c r="C635" t="s">
        <v>11</v>
      </c>
      <c r="D635" t="s">
        <v>243</v>
      </c>
      <c r="E635" s="16" t="str">
        <f>"002"</f>
        <v>002</v>
      </c>
      <c r="F635" s="16">
        <v>2017</v>
      </c>
      <c r="G635" s="6">
        <v>2593100</v>
      </c>
      <c r="H635" s="6">
        <v>431900</v>
      </c>
      <c r="I635" s="6">
        <v>2161200</v>
      </c>
    </row>
    <row r="636" spans="1:9" x14ac:dyDescent="0.25">
      <c r="A636" t="s">
        <v>242</v>
      </c>
      <c r="B636" s="16" t="str">
        <f>"38111"</f>
        <v>38111</v>
      </c>
      <c r="C636" t="s">
        <v>11</v>
      </c>
      <c r="D636" t="s">
        <v>243</v>
      </c>
      <c r="E636" s="16" t="str">
        <f>"003"</f>
        <v>003</v>
      </c>
      <c r="F636" s="16">
        <v>2018</v>
      </c>
      <c r="G636" s="6">
        <v>224300</v>
      </c>
      <c r="H636" s="6">
        <v>115800</v>
      </c>
      <c r="I636" s="6">
        <v>108500</v>
      </c>
    </row>
    <row r="637" spans="1:9" x14ac:dyDescent="0.25">
      <c r="A637" t="s">
        <v>242</v>
      </c>
      <c r="B637" s="16" t="str">
        <f>"38121"</f>
        <v>38121</v>
      </c>
      <c r="C637" t="s">
        <v>11</v>
      </c>
      <c r="D637" t="s">
        <v>244</v>
      </c>
      <c r="E637" s="16" t="str">
        <f>"001"</f>
        <v>001</v>
      </c>
      <c r="F637" s="16">
        <v>2001</v>
      </c>
      <c r="G637" s="6">
        <v>25968300</v>
      </c>
      <c r="H637" s="6">
        <v>4285600</v>
      </c>
      <c r="I637" s="6">
        <v>21682700</v>
      </c>
    </row>
    <row r="638" spans="1:9" x14ac:dyDescent="0.25">
      <c r="A638" t="s">
        <v>242</v>
      </c>
      <c r="B638" s="16" t="str">
        <f t="shared" ref="B638:B645" si="25">"38251"</f>
        <v>38251</v>
      </c>
      <c r="C638" t="s">
        <v>10</v>
      </c>
      <c r="D638" t="s">
        <v>242</v>
      </c>
      <c r="E638" s="16" t="str">
        <f>"006"</f>
        <v>006</v>
      </c>
      <c r="F638" s="16">
        <v>2002</v>
      </c>
      <c r="G638" s="6">
        <v>12162300</v>
      </c>
      <c r="H638" s="6">
        <v>323100</v>
      </c>
      <c r="I638" s="6">
        <v>11839200</v>
      </c>
    </row>
    <row r="639" spans="1:9" x14ac:dyDescent="0.25">
      <c r="A639" t="s">
        <v>242</v>
      </c>
      <c r="B639" s="16" t="str">
        <f t="shared" si="25"/>
        <v>38251</v>
      </c>
      <c r="C639" t="s">
        <v>10</v>
      </c>
      <c r="D639" t="s">
        <v>242</v>
      </c>
      <c r="E639" s="16" t="str">
        <f>"007"</f>
        <v>007</v>
      </c>
      <c r="F639" s="16">
        <v>2005</v>
      </c>
      <c r="G639" s="6">
        <v>6033800</v>
      </c>
      <c r="H639" s="6">
        <v>2893700</v>
      </c>
      <c r="I639" s="6">
        <v>3140100</v>
      </c>
    </row>
    <row r="640" spans="1:9" x14ac:dyDescent="0.25">
      <c r="A640" t="s">
        <v>242</v>
      </c>
      <c r="B640" s="16" t="str">
        <f t="shared" si="25"/>
        <v>38251</v>
      </c>
      <c r="C640" t="s">
        <v>10</v>
      </c>
      <c r="D640" t="s">
        <v>242</v>
      </c>
      <c r="E640" s="16" t="str">
        <f>"008"</f>
        <v>008</v>
      </c>
      <c r="F640" s="16">
        <v>2007</v>
      </c>
      <c r="G640" s="6">
        <v>8791400</v>
      </c>
      <c r="H640" s="6">
        <v>1434700</v>
      </c>
      <c r="I640" s="6">
        <v>7356700</v>
      </c>
    </row>
    <row r="641" spans="1:9" x14ac:dyDescent="0.25">
      <c r="A641" t="s">
        <v>242</v>
      </c>
      <c r="B641" s="16" t="str">
        <f t="shared" si="25"/>
        <v>38251</v>
      </c>
      <c r="C641" t="s">
        <v>10</v>
      </c>
      <c r="D641" t="s">
        <v>242</v>
      </c>
      <c r="E641" s="16" t="str">
        <f>"009"</f>
        <v>009</v>
      </c>
      <c r="F641" s="16">
        <v>2009</v>
      </c>
      <c r="G641" s="6">
        <v>2010900</v>
      </c>
      <c r="H641" s="6">
        <v>312900</v>
      </c>
      <c r="I641" s="6">
        <v>1698000</v>
      </c>
    </row>
    <row r="642" spans="1:9" x14ac:dyDescent="0.25">
      <c r="A642" t="s">
        <v>242</v>
      </c>
      <c r="B642" s="16" t="str">
        <f t="shared" si="25"/>
        <v>38251</v>
      </c>
      <c r="C642" t="s">
        <v>10</v>
      </c>
      <c r="D642" t="s">
        <v>242</v>
      </c>
      <c r="E642" s="16" t="str">
        <f>"010"</f>
        <v>010</v>
      </c>
      <c r="F642" s="16">
        <v>2010</v>
      </c>
      <c r="G642" s="6">
        <v>13954400</v>
      </c>
      <c r="H642" s="6">
        <v>3500500</v>
      </c>
      <c r="I642" s="6">
        <v>10453900</v>
      </c>
    </row>
    <row r="643" spans="1:9" x14ac:dyDescent="0.25">
      <c r="A643" t="s">
        <v>242</v>
      </c>
      <c r="B643" s="16" t="str">
        <f t="shared" si="25"/>
        <v>38251</v>
      </c>
      <c r="C643" t="s">
        <v>10</v>
      </c>
      <c r="D643" t="s">
        <v>242</v>
      </c>
      <c r="E643" s="16" t="str">
        <f>"011"</f>
        <v>011</v>
      </c>
      <c r="F643" s="16">
        <v>2011</v>
      </c>
      <c r="G643" s="6">
        <v>34625100</v>
      </c>
      <c r="H643" s="6">
        <v>15378700</v>
      </c>
      <c r="I643" s="6">
        <v>19246400</v>
      </c>
    </row>
    <row r="644" spans="1:9" x14ac:dyDescent="0.25">
      <c r="A644" t="s">
        <v>242</v>
      </c>
      <c r="B644" s="16" t="str">
        <f t="shared" si="25"/>
        <v>38251</v>
      </c>
      <c r="C644" t="s">
        <v>10</v>
      </c>
      <c r="D644" t="s">
        <v>242</v>
      </c>
      <c r="E644" s="16" t="str">
        <f>"012"</f>
        <v>012</v>
      </c>
      <c r="F644" s="16">
        <v>2012</v>
      </c>
      <c r="G644" s="6">
        <v>3436600</v>
      </c>
      <c r="H644" s="6">
        <v>1633900</v>
      </c>
      <c r="I644" s="6">
        <v>1802700</v>
      </c>
    </row>
    <row r="645" spans="1:9" x14ac:dyDescent="0.25">
      <c r="A645" t="s">
        <v>242</v>
      </c>
      <c r="B645" s="16" t="str">
        <f t="shared" si="25"/>
        <v>38251</v>
      </c>
      <c r="C645" t="s">
        <v>10</v>
      </c>
      <c r="D645" t="s">
        <v>242</v>
      </c>
      <c r="E645" s="16" t="str">
        <f>"013"</f>
        <v>013</v>
      </c>
      <c r="F645" s="16">
        <v>2016</v>
      </c>
      <c r="G645" s="6">
        <v>19233800</v>
      </c>
      <c r="H645" s="6">
        <v>4650700</v>
      </c>
      <c r="I645" s="6">
        <v>14583100</v>
      </c>
    </row>
    <row r="646" spans="1:9" x14ac:dyDescent="0.25">
      <c r="A646" t="s">
        <v>242</v>
      </c>
      <c r="B646" s="16" t="str">
        <f>"38261"</f>
        <v>38261</v>
      </c>
      <c r="C646" t="s">
        <v>10</v>
      </c>
      <c r="D646" t="s">
        <v>245</v>
      </c>
      <c r="E646" s="16" t="str">
        <f>"001"</f>
        <v>001</v>
      </c>
      <c r="F646" s="16">
        <v>1995</v>
      </c>
      <c r="G646" s="6">
        <v>676600</v>
      </c>
      <c r="H646" s="6">
        <v>0</v>
      </c>
      <c r="I646" s="6">
        <v>676600</v>
      </c>
    </row>
    <row r="647" spans="1:9" x14ac:dyDescent="0.25">
      <c r="A647" t="s">
        <v>242</v>
      </c>
      <c r="B647" s="16" t="str">
        <f>"38261"</f>
        <v>38261</v>
      </c>
      <c r="C647" t="s">
        <v>10</v>
      </c>
      <c r="D647" t="s">
        <v>245</v>
      </c>
      <c r="E647" s="16" t="str">
        <f>"002"</f>
        <v>002</v>
      </c>
      <c r="F647" s="16">
        <v>1998</v>
      </c>
      <c r="G647" s="6">
        <v>999700</v>
      </c>
      <c r="H647" s="6">
        <v>28500</v>
      </c>
      <c r="I647" s="6">
        <v>971200</v>
      </c>
    </row>
    <row r="648" spans="1:9" x14ac:dyDescent="0.25">
      <c r="A648" t="s">
        <v>242</v>
      </c>
      <c r="B648" s="16" t="str">
        <f>"38171"</f>
        <v>38171</v>
      </c>
      <c r="C648" t="s">
        <v>11</v>
      </c>
      <c r="D648" t="s">
        <v>246</v>
      </c>
      <c r="E648" s="16" t="str">
        <f>"001"</f>
        <v>001</v>
      </c>
      <c r="F648" s="16">
        <v>2015</v>
      </c>
      <c r="G648" s="6">
        <v>571300</v>
      </c>
      <c r="H648" s="6">
        <v>4100</v>
      </c>
      <c r="I648" s="6">
        <v>567200</v>
      </c>
    </row>
    <row r="649" spans="1:9" x14ac:dyDescent="0.25">
      <c r="A649" t="s">
        <v>242</v>
      </c>
      <c r="B649" s="16" t="str">
        <f>"38191"</f>
        <v>38191</v>
      </c>
      <c r="C649" t="s">
        <v>11</v>
      </c>
      <c r="D649" t="s">
        <v>247</v>
      </c>
      <c r="E649" s="16" t="str">
        <f>"001"</f>
        <v>001</v>
      </c>
      <c r="F649" s="16">
        <v>2020</v>
      </c>
      <c r="G649" s="6">
        <v>3267800</v>
      </c>
      <c r="H649" s="6">
        <v>3095800</v>
      </c>
      <c r="I649" s="6">
        <v>172000</v>
      </c>
    </row>
    <row r="650" spans="1:9" x14ac:dyDescent="0.25">
      <c r="A650" t="s">
        <v>248</v>
      </c>
      <c r="B650" s="16" t="str">
        <f>"39121"</f>
        <v>39121</v>
      </c>
      <c r="C650" t="s">
        <v>11</v>
      </c>
      <c r="D650" t="s">
        <v>249</v>
      </c>
      <c r="E650" s="16" t="str">
        <f>"001"</f>
        <v>001</v>
      </c>
      <c r="F650" s="16">
        <v>1993</v>
      </c>
      <c r="G650" s="6">
        <v>7497300</v>
      </c>
      <c r="H650" s="6">
        <v>1159900</v>
      </c>
      <c r="I650" s="6">
        <v>6337400</v>
      </c>
    </row>
    <row r="651" spans="1:9" x14ac:dyDescent="0.25">
      <c r="A651" t="s">
        <v>248</v>
      </c>
      <c r="B651" s="16" t="str">
        <f>"39191"</f>
        <v>39191</v>
      </c>
      <c r="C651" t="s">
        <v>11</v>
      </c>
      <c r="D651" t="s">
        <v>250</v>
      </c>
      <c r="E651" s="16" t="str">
        <f>"001"</f>
        <v>001</v>
      </c>
      <c r="F651" s="16">
        <v>1993</v>
      </c>
      <c r="G651" s="6">
        <v>14550000</v>
      </c>
      <c r="H651" s="6">
        <v>2748500</v>
      </c>
      <c r="I651" s="6">
        <v>11801500</v>
      </c>
    </row>
    <row r="652" spans="1:9" x14ac:dyDescent="0.25">
      <c r="A652" t="s">
        <v>251</v>
      </c>
      <c r="B652" s="16" t="str">
        <f>"40107"</f>
        <v>40107</v>
      </c>
      <c r="C652" t="s">
        <v>11</v>
      </c>
      <c r="D652" t="s">
        <v>252</v>
      </c>
      <c r="E652" s="16" t="str">
        <f>"002"</f>
        <v>002</v>
      </c>
      <c r="F652" s="16">
        <v>1995</v>
      </c>
      <c r="G652" s="6">
        <v>37052100</v>
      </c>
      <c r="H652" s="6">
        <v>11979900</v>
      </c>
      <c r="I652" s="6">
        <v>25072200</v>
      </c>
    </row>
    <row r="653" spans="1:9" x14ac:dyDescent="0.25">
      <c r="A653" t="s">
        <v>251</v>
      </c>
      <c r="B653" s="16" t="str">
        <f>"40107"</f>
        <v>40107</v>
      </c>
      <c r="C653" t="s">
        <v>11</v>
      </c>
      <c r="D653" t="s">
        <v>252</v>
      </c>
      <c r="E653" s="16" t="str">
        <f>"003"</f>
        <v>003</v>
      </c>
      <c r="F653" s="16">
        <v>2005</v>
      </c>
      <c r="G653" s="6">
        <v>47861300</v>
      </c>
      <c r="H653" s="6">
        <v>22968900</v>
      </c>
      <c r="I653" s="6">
        <v>24892400</v>
      </c>
    </row>
    <row r="654" spans="1:9" x14ac:dyDescent="0.25">
      <c r="A654" t="s">
        <v>251</v>
      </c>
      <c r="B654" s="16" t="str">
        <f>"40107"</f>
        <v>40107</v>
      </c>
      <c r="C654" t="s">
        <v>11</v>
      </c>
      <c r="D654" t="s">
        <v>252</v>
      </c>
      <c r="E654" s="16" t="str">
        <f>"004"</f>
        <v>004</v>
      </c>
      <c r="F654" s="16">
        <v>2005</v>
      </c>
      <c r="G654" s="6">
        <v>49476100</v>
      </c>
      <c r="H654" s="6">
        <v>19798600</v>
      </c>
      <c r="I654" s="6">
        <v>29677500</v>
      </c>
    </row>
    <row r="655" spans="1:9" x14ac:dyDescent="0.25">
      <c r="A655" t="s">
        <v>251</v>
      </c>
      <c r="B655" s="16" t="str">
        <f>"40211"</f>
        <v>40211</v>
      </c>
      <c r="C655" t="s">
        <v>10</v>
      </c>
      <c r="D655" t="s">
        <v>253</v>
      </c>
      <c r="E655" s="16" t="str">
        <f>"001E"</f>
        <v>001E</v>
      </c>
      <c r="F655" s="16">
        <v>2003</v>
      </c>
      <c r="G655" s="6">
        <v>10644900</v>
      </c>
      <c r="H655" s="6">
        <v>972600</v>
      </c>
      <c r="I655" s="6">
        <v>9672300</v>
      </c>
    </row>
    <row r="656" spans="1:9" x14ac:dyDescent="0.25">
      <c r="A656" t="s">
        <v>251</v>
      </c>
      <c r="B656" s="16" t="str">
        <f>"40211"</f>
        <v>40211</v>
      </c>
      <c r="C656" t="s">
        <v>10</v>
      </c>
      <c r="D656" t="s">
        <v>253</v>
      </c>
      <c r="E656" s="16" t="str">
        <f>"002E"</f>
        <v>002E</v>
      </c>
      <c r="F656" s="16">
        <v>2010</v>
      </c>
      <c r="G656" s="6">
        <v>603400</v>
      </c>
      <c r="H656" s="6">
        <v>527600</v>
      </c>
      <c r="I656" s="6">
        <v>75800</v>
      </c>
    </row>
    <row r="657" spans="1:9" x14ac:dyDescent="0.25">
      <c r="A657" t="s">
        <v>251</v>
      </c>
      <c r="B657" s="16" t="str">
        <f t="shared" ref="B657:B662" si="26">"40226"</f>
        <v>40226</v>
      </c>
      <c r="C657" t="s">
        <v>10</v>
      </c>
      <c r="D657" t="s">
        <v>254</v>
      </c>
      <c r="E657" s="16" t="str">
        <f>"003"</f>
        <v>003</v>
      </c>
      <c r="F657" s="16">
        <v>2005</v>
      </c>
      <c r="G657" s="6">
        <v>259212600</v>
      </c>
      <c r="H657" s="6">
        <v>173488200</v>
      </c>
      <c r="I657" s="6">
        <v>85724400</v>
      </c>
    </row>
    <row r="658" spans="1:9" x14ac:dyDescent="0.25">
      <c r="A658" t="s">
        <v>251</v>
      </c>
      <c r="B658" s="16" t="str">
        <f t="shared" si="26"/>
        <v>40226</v>
      </c>
      <c r="C658" t="s">
        <v>10</v>
      </c>
      <c r="D658" t="s">
        <v>254</v>
      </c>
      <c r="E658" s="16" t="str">
        <f>"004"</f>
        <v>004</v>
      </c>
      <c r="F658" s="16">
        <v>2005</v>
      </c>
      <c r="G658" s="6">
        <v>81112000</v>
      </c>
      <c r="H658" s="6">
        <v>19817900</v>
      </c>
      <c r="I658" s="6">
        <v>61294100</v>
      </c>
    </row>
    <row r="659" spans="1:9" x14ac:dyDescent="0.25">
      <c r="A659" t="s">
        <v>251</v>
      </c>
      <c r="B659" s="16" t="str">
        <f t="shared" si="26"/>
        <v>40226</v>
      </c>
      <c r="C659" t="s">
        <v>10</v>
      </c>
      <c r="D659" t="s">
        <v>254</v>
      </c>
      <c r="E659" s="16" t="str">
        <f>"005"</f>
        <v>005</v>
      </c>
      <c r="F659" s="16">
        <v>2016</v>
      </c>
      <c r="G659" s="6">
        <v>56299500</v>
      </c>
      <c r="H659" s="6">
        <v>3043900</v>
      </c>
      <c r="I659" s="6">
        <v>53255600</v>
      </c>
    </row>
    <row r="660" spans="1:9" x14ac:dyDescent="0.25">
      <c r="A660" t="s">
        <v>251</v>
      </c>
      <c r="B660" s="16" t="str">
        <f t="shared" si="26"/>
        <v>40226</v>
      </c>
      <c r="C660" t="s">
        <v>10</v>
      </c>
      <c r="D660" t="s">
        <v>254</v>
      </c>
      <c r="E660" s="16" t="str">
        <f>"006"</f>
        <v>006</v>
      </c>
      <c r="F660" s="16">
        <v>2019</v>
      </c>
      <c r="G660" s="6">
        <v>3689000</v>
      </c>
      <c r="H660" s="6">
        <v>2020400</v>
      </c>
      <c r="I660" s="6">
        <v>1668600</v>
      </c>
    </row>
    <row r="661" spans="1:9" x14ac:dyDescent="0.25">
      <c r="A661" t="s">
        <v>251</v>
      </c>
      <c r="B661" s="16" t="str">
        <f t="shared" si="26"/>
        <v>40226</v>
      </c>
      <c r="C661" t="s">
        <v>10</v>
      </c>
      <c r="D661" t="s">
        <v>254</v>
      </c>
      <c r="E661" s="16" t="str">
        <f>"007"</f>
        <v>007</v>
      </c>
      <c r="F661" s="16">
        <v>2019</v>
      </c>
      <c r="G661" s="6">
        <v>28291700</v>
      </c>
      <c r="H661" s="6">
        <v>7495500</v>
      </c>
      <c r="I661" s="6">
        <v>20796200</v>
      </c>
    </row>
    <row r="662" spans="1:9" x14ac:dyDescent="0.25">
      <c r="A662" t="s">
        <v>251</v>
      </c>
      <c r="B662" s="16" t="str">
        <f t="shared" si="26"/>
        <v>40226</v>
      </c>
      <c r="C662" t="s">
        <v>10</v>
      </c>
      <c r="D662" t="s">
        <v>254</v>
      </c>
      <c r="E662" s="16" t="str">
        <f>"008"</f>
        <v>008</v>
      </c>
      <c r="F662" s="16">
        <v>2020</v>
      </c>
      <c r="G662" s="6">
        <v>53588200</v>
      </c>
      <c r="H662" s="6">
        <v>49430400</v>
      </c>
      <c r="I662" s="6">
        <v>4157800</v>
      </c>
    </row>
    <row r="663" spans="1:9" x14ac:dyDescent="0.25">
      <c r="A663" t="s">
        <v>251</v>
      </c>
      <c r="B663" s="16" t="str">
        <f>"40231"</f>
        <v>40231</v>
      </c>
      <c r="C663" t="s">
        <v>10</v>
      </c>
      <c r="D663" t="s">
        <v>255</v>
      </c>
      <c r="E663" s="16" t="str">
        <f>"007"</f>
        <v>007</v>
      </c>
      <c r="F663" s="16">
        <v>1996</v>
      </c>
      <c r="G663" s="6">
        <v>110445300</v>
      </c>
      <c r="H663" s="6">
        <v>14036000</v>
      </c>
      <c r="I663" s="6">
        <v>96409300</v>
      </c>
    </row>
    <row r="664" spans="1:9" x14ac:dyDescent="0.25">
      <c r="A664" t="s">
        <v>251</v>
      </c>
      <c r="B664" s="16" t="str">
        <f>"40231"</f>
        <v>40231</v>
      </c>
      <c r="C664" t="s">
        <v>10</v>
      </c>
      <c r="D664" t="s">
        <v>255</v>
      </c>
      <c r="E664" s="16" t="str">
        <f>"008"</f>
        <v>008</v>
      </c>
      <c r="F664" s="16">
        <v>2002</v>
      </c>
      <c r="G664" s="6">
        <v>108335100</v>
      </c>
      <c r="H664" s="6">
        <v>77700800</v>
      </c>
      <c r="I664" s="6">
        <v>30634300</v>
      </c>
    </row>
    <row r="665" spans="1:9" x14ac:dyDescent="0.25">
      <c r="A665" t="s">
        <v>251</v>
      </c>
      <c r="B665" s="16" t="str">
        <f>"40131"</f>
        <v>40131</v>
      </c>
      <c r="C665" t="s">
        <v>11</v>
      </c>
      <c r="D665" t="s">
        <v>256</v>
      </c>
      <c r="E665" s="16" t="str">
        <f>"001"</f>
        <v>001</v>
      </c>
      <c r="F665" s="16">
        <v>2010</v>
      </c>
      <c r="G665" s="6">
        <v>12234400</v>
      </c>
      <c r="H665" s="6">
        <v>623100</v>
      </c>
      <c r="I665" s="6">
        <v>11611300</v>
      </c>
    </row>
    <row r="666" spans="1:9" x14ac:dyDescent="0.25">
      <c r="A666" t="s">
        <v>251</v>
      </c>
      <c r="B666" s="16" t="str">
        <f>"40131"</f>
        <v>40131</v>
      </c>
      <c r="C666" t="s">
        <v>11</v>
      </c>
      <c r="D666" t="s">
        <v>256</v>
      </c>
      <c r="E666" s="16" t="str">
        <f>"002"</f>
        <v>002</v>
      </c>
      <c r="F666" s="16">
        <v>2011</v>
      </c>
      <c r="G666" s="6">
        <v>192155700</v>
      </c>
      <c r="H666" s="6">
        <v>105493100</v>
      </c>
      <c r="I666" s="6">
        <v>86662600</v>
      </c>
    </row>
    <row r="667" spans="1:9" x14ac:dyDescent="0.25">
      <c r="A667" t="s">
        <v>251</v>
      </c>
      <c r="B667" s="16" t="str">
        <f>"40131"</f>
        <v>40131</v>
      </c>
      <c r="C667" t="s">
        <v>11</v>
      </c>
      <c r="D667" t="s">
        <v>256</v>
      </c>
      <c r="E667" s="16" t="str">
        <f>"003"</f>
        <v>003</v>
      </c>
      <c r="F667" s="16">
        <v>2011</v>
      </c>
      <c r="G667" s="6">
        <v>17626200</v>
      </c>
      <c r="H667" s="6">
        <v>6500900</v>
      </c>
      <c r="I667" s="6">
        <v>11125300</v>
      </c>
    </row>
    <row r="668" spans="1:9" x14ac:dyDescent="0.25">
      <c r="A668" t="s">
        <v>251</v>
      </c>
      <c r="B668" s="16" t="str">
        <f>"40131"</f>
        <v>40131</v>
      </c>
      <c r="C668" t="s">
        <v>11</v>
      </c>
      <c r="D668" t="s">
        <v>256</v>
      </c>
      <c r="E668" s="16" t="str">
        <f>"004"</f>
        <v>004</v>
      </c>
      <c r="F668" s="16">
        <v>2016</v>
      </c>
      <c r="G668" s="6">
        <v>35479700</v>
      </c>
      <c r="H668" s="6">
        <v>7476800</v>
      </c>
      <c r="I668" s="6">
        <v>28002900</v>
      </c>
    </row>
    <row r="669" spans="1:9" x14ac:dyDescent="0.25">
      <c r="A669" t="s">
        <v>251</v>
      </c>
      <c r="B669" s="16" t="str">
        <f>"40131"</f>
        <v>40131</v>
      </c>
      <c r="C669" t="s">
        <v>11</v>
      </c>
      <c r="D669" t="s">
        <v>256</v>
      </c>
      <c r="E669" s="16" t="str">
        <f>"005"</f>
        <v>005</v>
      </c>
      <c r="F669" s="16">
        <v>2018</v>
      </c>
      <c r="G669" s="6">
        <v>18763200</v>
      </c>
      <c r="H669" s="6">
        <v>5149200</v>
      </c>
      <c r="I669" s="6">
        <v>13614000</v>
      </c>
    </row>
    <row r="670" spans="1:9" x14ac:dyDescent="0.25">
      <c r="A670" t="s">
        <v>251</v>
      </c>
      <c r="B670" s="16" t="str">
        <f t="shared" ref="B670:B675" si="27">"40236"</f>
        <v>40236</v>
      </c>
      <c r="C670" t="s">
        <v>10</v>
      </c>
      <c r="D670" t="s">
        <v>257</v>
      </c>
      <c r="E670" s="16" t="str">
        <f>"002"</f>
        <v>002</v>
      </c>
      <c r="F670" s="16">
        <v>2007</v>
      </c>
      <c r="G670" s="6">
        <v>72689000</v>
      </c>
      <c r="H670" s="6">
        <v>14974600</v>
      </c>
      <c r="I670" s="6">
        <v>57714400</v>
      </c>
    </row>
    <row r="671" spans="1:9" x14ac:dyDescent="0.25">
      <c r="A671" t="s">
        <v>251</v>
      </c>
      <c r="B671" s="16" t="str">
        <f t="shared" si="27"/>
        <v>40236</v>
      </c>
      <c r="C671" t="s">
        <v>10</v>
      </c>
      <c r="D671" t="s">
        <v>257</v>
      </c>
      <c r="E671" s="16" t="str">
        <f>"003"</f>
        <v>003</v>
      </c>
      <c r="F671" s="16">
        <v>2009</v>
      </c>
      <c r="G671" s="6">
        <v>82380400</v>
      </c>
      <c r="H671" s="6">
        <v>75731000</v>
      </c>
      <c r="I671" s="6">
        <v>6649400</v>
      </c>
    </row>
    <row r="672" spans="1:9" x14ac:dyDescent="0.25">
      <c r="A672" t="s">
        <v>251</v>
      </c>
      <c r="B672" s="16" t="str">
        <f t="shared" si="27"/>
        <v>40236</v>
      </c>
      <c r="C672" t="s">
        <v>10</v>
      </c>
      <c r="D672" t="s">
        <v>257</v>
      </c>
      <c r="E672" s="16" t="str">
        <f>"004"</f>
        <v>004</v>
      </c>
      <c r="F672" s="16">
        <v>2015</v>
      </c>
      <c r="G672" s="6">
        <v>62185600</v>
      </c>
      <c r="H672" s="6">
        <v>25438700</v>
      </c>
      <c r="I672" s="6">
        <v>36746900</v>
      </c>
    </row>
    <row r="673" spans="1:9" x14ac:dyDescent="0.25">
      <c r="A673" t="s">
        <v>251</v>
      </c>
      <c r="B673" s="16" t="str">
        <f t="shared" si="27"/>
        <v>40236</v>
      </c>
      <c r="C673" t="s">
        <v>10</v>
      </c>
      <c r="D673" t="s">
        <v>257</v>
      </c>
      <c r="E673" s="16" t="str">
        <f>"005"</f>
        <v>005</v>
      </c>
      <c r="F673" s="16">
        <v>2015</v>
      </c>
      <c r="G673" s="6">
        <v>7873100</v>
      </c>
      <c r="H673" s="6">
        <v>6921000</v>
      </c>
      <c r="I673" s="6">
        <v>952100</v>
      </c>
    </row>
    <row r="674" spans="1:9" x14ac:dyDescent="0.25">
      <c r="A674" t="s">
        <v>251</v>
      </c>
      <c r="B674" s="16" t="str">
        <f t="shared" si="27"/>
        <v>40236</v>
      </c>
      <c r="C674" t="s">
        <v>10</v>
      </c>
      <c r="D674" t="s">
        <v>257</v>
      </c>
      <c r="E674" s="16" t="str">
        <f>"006"</f>
        <v>006</v>
      </c>
      <c r="F674" s="16">
        <v>2015</v>
      </c>
      <c r="G674" s="6">
        <v>196347100</v>
      </c>
      <c r="H674" s="6">
        <v>7959100</v>
      </c>
      <c r="I674" s="6">
        <v>188388000</v>
      </c>
    </row>
    <row r="675" spans="1:9" x14ac:dyDescent="0.25">
      <c r="A675" t="s">
        <v>251</v>
      </c>
      <c r="B675" s="16" t="str">
        <f t="shared" si="27"/>
        <v>40236</v>
      </c>
      <c r="C675" t="s">
        <v>10</v>
      </c>
      <c r="D675" t="s">
        <v>257</v>
      </c>
      <c r="E675" s="16" t="str">
        <f>"007"</f>
        <v>007</v>
      </c>
      <c r="F675" s="16">
        <v>2020</v>
      </c>
      <c r="G675" s="6">
        <v>2214100</v>
      </c>
      <c r="H675" s="6">
        <v>2155500</v>
      </c>
      <c r="I675" s="6">
        <v>58600</v>
      </c>
    </row>
    <row r="676" spans="1:9" x14ac:dyDescent="0.25">
      <c r="A676" t="s">
        <v>251</v>
      </c>
      <c r="B676" s="16" t="str">
        <f>"40136"</f>
        <v>40136</v>
      </c>
      <c r="C676" t="s">
        <v>11</v>
      </c>
      <c r="D676" t="s">
        <v>258</v>
      </c>
      <c r="E676" s="16" t="str">
        <f>"004"</f>
        <v>004</v>
      </c>
      <c r="F676" s="16">
        <v>2016</v>
      </c>
      <c r="G676" s="6">
        <v>22953700</v>
      </c>
      <c r="H676" s="6">
        <v>11977200</v>
      </c>
      <c r="I676" s="6">
        <v>10976500</v>
      </c>
    </row>
    <row r="677" spans="1:9" x14ac:dyDescent="0.25">
      <c r="A677" t="s">
        <v>251</v>
      </c>
      <c r="B677" s="16" t="str">
        <f t="shared" ref="B677:B708" si="28">"40251"</f>
        <v>40251</v>
      </c>
      <c r="C677" t="s">
        <v>10</v>
      </c>
      <c r="D677" t="s">
        <v>251</v>
      </c>
      <c r="E677" s="16" t="str">
        <f>"037"</f>
        <v>037</v>
      </c>
      <c r="F677" s="16">
        <v>1998</v>
      </c>
      <c r="G677" s="6">
        <v>164961000</v>
      </c>
      <c r="H677" s="6">
        <v>60317400</v>
      </c>
      <c r="I677" s="6">
        <v>104643600</v>
      </c>
    </row>
    <row r="678" spans="1:9" x14ac:dyDescent="0.25">
      <c r="A678" t="s">
        <v>251</v>
      </c>
      <c r="B678" s="16" t="str">
        <f t="shared" si="28"/>
        <v>40251</v>
      </c>
      <c r="C678" t="s">
        <v>10</v>
      </c>
      <c r="D678" t="s">
        <v>251</v>
      </c>
      <c r="E678" s="16" t="str">
        <f>"039"</f>
        <v>039</v>
      </c>
      <c r="F678" s="16">
        <v>2000</v>
      </c>
      <c r="G678" s="6">
        <v>48779100</v>
      </c>
      <c r="H678" s="6">
        <v>23863400</v>
      </c>
      <c r="I678" s="6">
        <v>24915700</v>
      </c>
    </row>
    <row r="679" spans="1:9" x14ac:dyDescent="0.25">
      <c r="A679" t="s">
        <v>251</v>
      </c>
      <c r="B679" s="16" t="str">
        <f t="shared" si="28"/>
        <v>40251</v>
      </c>
      <c r="C679" t="s">
        <v>10</v>
      </c>
      <c r="D679" t="s">
        <v>251</v>
      </c>
      <c r="E679" s="16" t="str">
        <f>"041"</f>
        <v>041</v>
      </c>
      <c r="F679" s="16">
        <v>2000</v>
      </c>
      <c r="G679" s="6">
        <v>141911700</v>
      </c>
      <c r="H679" s="6">
        <v>10021400</v>
      </c>
      <c r="I679" s="6">
        <v>131890300</v>
      </c>
    </row>
    <row r="680" spans="1:9" x14ac:dyDescent="0.25">
      <c r="A680" t="s">
        <v>251</v>
      </c>
      <c r="B680" s="16" t="str">
        <f t="shared" si="28"/>
        <v>40251</v>
      </c>
      <c r="C680" t="s">
        <v>10</v>
      </c>
      <c r="D680" t="s">
        <v>251</v>
      </c>
      <c r="E680" s="16" t="str">
        <f>"042"</f>
        <v>042</v>
      </c>
      <c r="F680" s="16">
        <v>2001</v>
      </c>
      <c r="G680" s="6">
        <v>41213500</v>
      </c>
      <c r="H680" s="6">
        <v>7118300</v>
      </c>
      <c r="I680" s="6">
        <v>34095200</v>
      </c>
    </row>
    <row r="681" spans="1:9" x14ac:dyDescent="0.25">
      <c r="A681" t="s">
        <v>251</v>
      </c>
      <c r="B681" s="16" t="str">
        <f t="shared" si="28"/>
        <v>40251</v>
      </c>
      <c r="C681" t="s">
        <v>10</v>
      </c>
      <c r="D681" t="s">
        <v>251</v>
      </c>
      <c r="E681" s="16" t="str">
        <f>"046"</f>
        <v>046</v>
      </c>
      <c r="F681" s="16">
        <v>2001</v>
      </c>
      <c r="G681" s="6">
        <v>30244000</v>
      </c>
      <c r="H681" s="6">
        <v>14759500</v>
      </c>
      <c r="I681" s="6">
        <v>15484500</v>
      </c>
    </row>
    <row r="682" spans="1:9" x14ac:dyDescent="0.25">
      <c r="A682" t="s">
        <v>251</v>
      </c>
      <c r="B682" s="16" t="str">
        <f t="shared" si="28"/>
        <v>40251</v>
      </c>
      <c r="C682" t="s">
        <v>10</v>
      </c>
      <c r="D682" t="s">
        <v>251</v>
      </c>
      <c r="E682" s="16" t="str">
        <f>"048"</f>
        <v>048</v>
      </c>
      <c r="F682" s="16">
        <v>2002</v>
      </c>
      <c r="G682" s="6">
        <v>383837200</v>
      </c>
      <c r="H682" s="6">
        <v>45325600</v>
      </c>
      <c r="I682" s="6">
        <v>338511600</v>
      </c>
    </row>
    <row r="683" spans="1:9" x14ac:dyDescent="0.25">
      <c r="A683" t="s">
        <v>251</v>
      </c>
      <c r="B683" s="16" t="str">
        <f t="shared" si="28"/>
        <v>40251</v>
      </c>
      <c r="C683" t="s">
        <v>10</v>
      </c>
      <c r="D683" t="s">
        <v>251</v>
      </c>
      <c r="E683" s="16" t="str">
        <f>"049"</f>
        <v>049</v>
      </c>
      <c r="F683" s="16">
        <v>2002</v>
      </c>
      <c r="G683" s="6">
        <v>62484800</v>
      </c>
      <c r="H683" s="6">
        <v>2052700</v>
      </c>
      <c r="I683" s="6">
        <v>60432100</v>
      </c>
    </row>
    <row r="684" spans="1:9" x14ac:dyDescent="0.25">
      <c r="A684" t="s">
        <v>251</v>
      </c>
      <c r="B684" s="16" t="str">
        <f t="shared" si="28"/>
        <v>40251</v>
      </c>
      <c r="C684" t="s">
        <v>10</v>
      </c>
      <c r="D684" t="s">
        <v>251</v>
      </c>
      <c r="E684" s="16" t="str">
        <f>"051"</f>
        <v>051</v>
      </c>
      <c r="F684" s="16">
        <v>2003</v>
      </c>
      <c r="G684" s="6">
        <v>16817500</v>
      </c>
      <c r="H684" s="6">
        <v>10048700</v>
      </c>
      <c r="I684" s="6">
        <v>6768800</v>
      </c>
    </row>
    <row r="685" spans="1:9" x14ac:dyDescent="0.25">
      <c r="A685" t="s">
        <v>251</v>
      </c>
      <c r="B685" s="16" t="str">
        <f t="shared" si="28"/>
        <v>40251</v>
      </c>
      <c r="C685" t="s">
        <v>10</v>
      </c>
      <c r="D685" t="s">
        <v>251</v>
      </c>
      <c r="E685" s="16" t="str">
        <f>"052"</f>
        <v>052</v>
      </c>
      <c r="F685" s="16">
        <v>2003</v>
      </c>
      <c r="G685" s="6">
        <v>28355000</v>
      </c>
      <c r="H685" s="6">
        <v>10225900</v>
      </c>
      <c r="I685" s="6">
        <v>18129100</v>
      </c>
    </row>
    <row r="686" spans="1:9" x14ac:dyDescent="0.25">
      <c r="A686" t="s">
        <v>251</v>
      </c>
      <c r="B686" s="16" t="str">
        <f t="shared" si="28"/>
        <v>40251</v>
      </c>
      <c r="C686" t="s">
        <v>10</v>
      </c>
      <c r="D686" t="s">
        <v>251</v>
      </c>
      <c r="E686" s="16" t="str">
        <f>"053"</f>
        <v>053</v>
      </c>
      <c r="F686" s="16">
        <v>2004</v>
      </c>
      <c r="G686" s="6">
        <v>82535700</v>
      </c>
      <c r="H686" s="6">
        <v>4752300</v>
      </c>
      <c r="I686" s="6">
        <v>77783400</v>
      </c>
    </row>
    <row r="687" spans="1:9" x14ac:dyDescent="0.25">
      <c r="A687" t="s">
        <v>251</v>
      </c>
      <c r="B687" s="16" t="str">
        <f t="shared" si="28"/>
        <v>40251</v>
      </c>
      <c r="C687" t="s">
        <v>10</v>
      </c>
      <c r="D687" t="s">
        <v>251</v>
      </c>
      <c r="E687" s="16" t="str">
        <f>"054"</f>
        <v>054</v>
      </c>
      <c r="F687" s="16">
        <v>2004</v>
      </c>
      <c r="G687" s="6">
        <v>21575800</v>
      </c>
      <c r="H687" s="6">
        <v>1148000</v>
      </c>
      <c r="I687" s="6">
        <v>20427800</v>
      </c>
    </row>
    <row r="688" spans="1:9" x14ac:dyDescent="0.25">
      <c r="A688" t="s">
        <v>251</v>
      </c>
      <c r="B688" s="16" t="str">
        <f t="shared" si="28"/>
        <v>40251</v>
      </c>
      <c r="C688" t="s">
        <v>10</v>
      </c>
      <c r="D688" t="s">
        <v>251</v>
      </c>
      <c r="E688" s="16" t="str">
        <f>"056"</f>
        <v>056</v>
      </c>
      <c r="F688" s="16">
        <v>2004</v>
      </c>
      <c r="G688" s="6">
        <v>200429300</v>
      </c>
      <c r="H688" s="6">
        <v>8958600</v>
      </c>
      <c r="I688" s="6">
        <v>191470700</v>
      </c>
    </row>
    <row r="689" spans="1:9" x14ac:dyDescent="0.25">
      <c r="A689" t="s">
        <v>251</v>
      </c>
      <c r="B689" s="16" t="str">
        <f t="shared" si="28"/>
        <v>40251</v>
      </c>
      <c r="C689" t="s">
        <v>10</v>
      </c>
      <c r="D689" t="s">
        <v>251</v>
      </c>
      <c r="E689" s="16" t="str">
        <f>"057"</f>
        <v>057</v>
      </c>
      <c r="F689" s="16">
        <v>2005</v>
      </c>
      <c r="G689" s="6">
        <v>17565500</v>
      </c>
      <c r="H689" s="6">
        <v>0</v>
      </c>
      <c r="I689" s="6">
        <v>17565500</v>
      </c>
    </row>
    <row r="690" spans="1:9" x14ac:dyDescent="0.25">
      <c r="A690" t="s">
        <v>251</v>
      </c>
      <c r="B690" s="16" t="str">
        <f t="shared" si="28"/>
        <v>40251</v>
      </c>
      <c r="C690" t="s">
        <v>10</v>
      </c>
      <c r="D690" t="s">
        <v>251</v>
      </c>
      <c r="E690" s="16" t="str">
        <f>"058"</f>
        <v>058</v>
      </c>
      <c r="F690" s="16">
        <v>2005</v>
      </c>
      <c r="G690" s="6">
        <v>5170000</v>
      </c>
      <c r="H690" s="6">
        <v>4753200</v>
      </c>
      <c r="I690" s="6">
        <v>416800</v>
      </c>
    </row>
    <row r="691" spans="1:9" x14ac:dyDescent="0.25">
      <c r="A691" t="s">
        <v>251</v>
      </c>
      <c r="B691" s="16" t="str">
        <f t="shared" si="28"/>
        <v>40251</v>
      </c>
      <c r="C691" t="s">
        <v>10</v>
      </c>
      <c r="D691" t="s">
        <v>251</v>
      </c>
      <c r="E691" s="16" t="str">
        <f>"059"</f>
        <v>059</v>
      </c>
      <c r="F691" s="16">
        <v>2005</v>
      </c>
      <c r="G691" s="6">
        <v>56550900</v>
      </c>
      <c r="H691" s="6">
        <v>46021500</v>
      </c>
      <c r="I691" s="6">
        <v>10529400</v>
      </c>
    </row>
    <row r="692" spans="1:9" x14ac:dyDescent="0.25">
      <c r="A692" t="s">
        <v>251</v>
      </c>
      <c r="B692" s="16" t="str">
        <f t="shared" si="28"/>
        <v>40251</v>
      </c>
      <c r="C692" t="s">
        <v>10</v>
      </c>
      <c r="D692" t="s">
        <v>251</v>
      </c>
      <c r="E692" s="16" t="str">
        <f>"060"</f>
        <v>060</v>
      </c>
      <c r="F692" s="16">
        <v>2005</v>
      </c>
      <c r="G692" s="6">
        <v>12177900</v>
      </c>
      <c r="H692" s="6">
        <v>2212900</v>
      </c>
      <c r="I692" s="6">
        <v>9965000</v>
      </c>
    </row>
    <row r="693" spans="1:9" x14ac:dyDescent="0.25">
      <c r="A693" t="s">
        <v>251</v>
      </c>
      <c r="B693" s="16" t="str">
        <f t="shared" si="28"/>
        <v>40251</v>
      </c>
      <c r="C693" t="s">
        <v>10</v>
      </c>
      <c r="D693" t="s">
        <v>251</v>
      </c>
      <c r="E693" s="16" t="str">
        <f>"062"</f>
        <v>062</v>
      </c>
      <c r="F693" s="16">
        <v>2006</v>
      </c>
      <c r="G693" s="6">
        <v>9991500</v>
      </c>
      <c r="H693" s="6">
        <v>5329800</v>
      </c>
      <c r="I693" s="6">
        <v>4661700</v>
      </c>
    </row>
    <row r="694" spans="1:9" x14ac:dyDescent="0.25">
      <c r="A694" t="s">
        <v>251</v>
      </c>
      <c r="B694" s="16" t="str">
        <f t="shared" si="28"/>
        <v>40251</v>
      </c>
      <c r="C694" t="s">
        <v>10</v>
      </c>
      <c r="D694" t="s">
        <v>251</v>
      </c>
      <c r="E694" s="16" t="str">
        <f>"063"</f>
        <v>063</v>
      </c>
      <c r="F694" s="16">
        <v>2006</v>
      </c>
      <c r="G694" s="6">
        <v>11447800</v>
      </c>
      <c r="H694" s="6">
        <v>8871100</v>
      </c>
      <c r="I694" s="6">
        <v>2576700</v>
      </c>
    </row>
    <row r="695" spans="1:9" x14ac:dyDescent="0.25">
      <c r="A695" t="s">
        <v>251</v>
      </c>
      <c r="B695" s="16" t="str">
        <f t="shared" si="28"/>
        <v>40251</v>
      </c>
      <c r="C695" t="s">
        <v>10</v>
      </c>
      <c r="D695" t="s">
        <v>251</v>
      </c>
      <c r="E695" s="16" t="str">
        <f>"064"</f>
        <v>064</v>
      </c>
      <c r="F695" s="16">
        <v>2006</v>
      </c>
      <c r="G695" s="6">
        <v>30033000</v>
      </c>
      <c r="H695" s="6">
        <v>14358000</v>
      </c>
      <c r="I695" s="6">
        <v>15675000</v>
      </c>
    </row>
    <row r="696" spans="1:9" x14ac:dyDescent="0.25">
      <c r="A696" t="s">
        <v>251</v>
      </c>
      <c r="B696" s="16" t="str">
        <f t="shared" si="28"/>
        <v>40251</v>
      </c>
      <c r="C696" t="s">
        <v>10</v>
      </c>
      <c r="D696" t="s">
        <v>251</v>
      </c>
      <c r="E696" s="16" t="str">
        <f>"065"</f>
        <v>065</v>
      </c>
      <c r="F696" s="16">
        <v>2006</v>
      </c>
      <c r="G696" s="6">
        <v>4085600</v>
      </c>
      <c r="H696" s="6">
        <v>3220700</v>
      </c>
      <c r="I696" s="6">
        <v>864900</v>
      </c>
    </row>
    <row r="697" spans="1:9" x14ac:dyDescent="0.25">
      <c r="A697" t="s">
        <v>251</v>
      </c>
      <c r="B697" s="16" t="str">
        <f t="shared" si="28"/>
        <v>40251</v>
      </c>
      <c r="C697" t="s">
        <v>10</v>
      </c>
      <c r="D697" t="s">
        <v>251</v>
      </c>
      <c r="E697" s="16" t="str">
        <f>"067"</f>
        <v>067</v>
      </c>
      <c r="F697" s="16">
        <v>2007</v>
      </c>
      <c r="G697" s="6">
        <v>172604000</v>
      </c>
      <c r="H697" s="6">
        <v>9266900</v>
      </c>
      <c r="I697" s="6">
        <v>163337100</v>
      </c>
    </row>
    <row r="698" spans="1:9" x14ac:dyDescent="0.25">
      <c r="A698" t="s">
        <v>251</v>
      </c>
      <c r="B698" s="16" t="str">
        <f t="shared" si="28"/>
        <v>40251</v>
      </c>
      <c r="C698" t="s">
        <v>10</v>
      </c>
      <c r="D698" t="s">
        <v>251</v>
      </c>
      <c r="E698" s="16" t="str">
        <f>"068"</f>
        <v>068</v>
      </c>
      <c r="F698" s="16">
        <v>2007</v>
      </c>
      <c r="G698" s="6">
        <v>90674800</v>
      </c>
      <c r="H698" s="6">
        <v>32806800</v>
      </c>
      <c r="I698" s="6">
        <v>57868000</v>
      </c>
    </row>
    <row r="699" spans="1:9" x14ac:dyDescent="0.25">
      <c r="A699" t="s">
        <v>251</v>
      </c>
      <c r="B699" s="16" t="str">
        <f t="shared" si="28"/>
        <v>40251</v>
      </c>
      <c r="C699" t="s">
        <v>10</v>
      </c>
      <c r="D699" t="s">
        <v>251</v>
      </c>
      <c r="E699" s="16" t="str">
        <f>"070"</f>
        <v>070</v>
      </c>
      <c r="F699" s="16">
        <v>2007</v>
      </c>
      <c r="G699" s="6">
        <v>38126900</v>
      </c>
      <c r="H699" s="6">
        <v>14904700</v>
      </c>
      <c r="I699" s="6">
        <v>23222200</v>
      </c>
    </row>
    <row r="700" spans="1:9" x14ac:dyDescent="0.25">
      <c r="A700" t="s">
        <v>251</v>
      </c>
      <c r="B700" s="16" t="str">
        <f t="shared" si="28"/>
        <v>40251</v>
      </c>
      <c r="C700" t="s">
        <v>10</v>
      </c>
      <c r="D700" t="s">
        <v>251</v>
      </c>
      <c r="E700" s="16" t="str">
        <f>"071"</f>
        <v>071</v>
      </c>
      <c r="F700" s="16">
        <v>2008</v>
      </c>
      <c r="G700" s="6">
        <v>75202100</v>
      </c>
      <c r="H700" s="6">
        <v>66751300</v>
      </c>
      <c r="I700" s="6">
        <v>8450800</v>
      </c>
    </row>
    <row r="701" spans="1:9" x14ac:dyDescent="0.25">
      <c r="A701" t="s">
        <v>251</v>
      </c>
      <c r="B701" s="16" t="str">
        <f t="shared" si="28"/>
        <v>40251</v>
      </c>
      <c r="C701" t="s">
        <v>10</v>
      </c>
      <c r="D701" t="s">
        <v>251</v>
      </c>
      <c r="E701" s="16" t="str">
        <f>"072"</f>
        <v>072</v>
      </c>
      <c r="F701" s="16">
        <v>2009</v>
      </c>
      <c r="G701" s="6">
        <v>25135900</v>
      </c>
      <c r="H701" s="6">
        <v>24474700</v>
      </c>
      <c r="I701" s="6">
        <v>661200</v>
      </c>
    </row>
    <row r="702" spans="1:9" x14ac:dyDescent="0.25">
      <c r="A702" t="s">
        <v>251</v>
      </c>
      <c r="B702" s="16" t="str">
        <f t="shared" si="28"/>
        <v>40251</v>
      </c>
      <c r="C702" t="s">
        <v>10</v>
      </c>
      <c r="D702" t="s">
        <v>251</v>
      </c>
      <c r="E702" s="16" t="str">
        <f>"073"</f>
        <v>073</v>
      </c>
      <c r="F702" s="16">
        <v>2009</v>
      </c>
      <c r="G702" s="6">
        <v>9369200</v>
      </c>
      <c r="H702" s="6">
        <v>4602800</v>
      </c>
      <c r="I702" s="6">
        <v>4766400</v>
      </c>
    </row>
    <row r="703" spans="1:9" x14ac:dyDescent="0.25">
      <c r="A703" t="s">
        <v>251</v>
      </c>
      <c r="B703" s="16" t="str">
        <f t="shared" si="28"/>
        <v>40251</v>
      </c>
      <c r="C703" t="s">
        <v>10</v>
      </c>
      <c r="D703" t="s">
        <v>251</v>
      </c>
      <c r="E703" s="16" t="str">
        <f>"074"</f>
        <v>074</v>
      </c>
      <c r="F703" s="16">
        <v>2009</v>
      </c>
      <c r="G703" s="6">
        <v>63204700</v>
      </c>
      <c r="H703" s="6">
        <v>63334700</v>
      </c>
      <c r="I703" s="6">
        <v>-130000</v>
      </c>
    </row>
    <row r="704" spans="1:9" x14ac:dyDescent="0.25">
      <c r="A704" t="s">
        <v>251</v>
      </c>
      <c r="B704" s="16" t="str">
        <f t="shared" si="28"/>
        <v>40251</v>
      </c>
      <c r="C704" t="s">
        <v>10</v>
      </c>
      <c r="D704" t="s">
        <v>251</v>
      </c>
      <c r="E704" s="16" t="str">
        <f>"075"</f>
        <v>075</v>
      </c>
      <c r="F704" s="16">
        <v>2009</v>
      </c>
      <c r="G704" s="6">
        <v>155089600</v>
      </c>
      <c r="H704" s="6">
        <v>26470500</v>
      </c>
      <c r="I704" s="6">
        <v>128619100</v>
      </c>
    </row>
    <row r="705" spans="1:9" x14ac:dyDescent="0.25">
      <c r="A705" t="s">
        <v>251</v>
      </c>
      <c r="B705" s="16" t="str">
        <f t="shared" si="28"/>
        <v>40251</v>
      </c>
      <c r="C705" t="s">
        <v>10</v>
      </c>
      <c r="D705" t="s">
        <v>251</v>
      </c>
      <c r="E705" s="16" t="str">
        <f>"076"</f>
        <v>076</v>
      </c>
      <c r="F705" s="16">
        <v>2010</v>
      </c>
      <c r="G705" s="6">
        <v>23306200</v>
      </c>
      <c r="H705" s="6">
        <v>16113000</v>
      </c>
      <c r="I705" s="6">
        <v>7193200</v>
      </c>
    </row>
    <row r="706" spans="1:9" x14ac:dyDescent="0.25">
      <c r="A706" t="s">
        <v>251</v>
      </c>
      <c r="B706" s="16" t="str">
        <f t="shared" si="28"/>
        <v>40251</v>
      </c>
      <c r="C706" t="s">
        <v>10</v>
      </c>
      <c r="D706" t="s">
        <v>251</v>
      </c>
      <c r="E706" s="16" t="str">
        <f>"077"</f>
        <v>077</v>
      </c>
      <c r="F706" s="16">
        <v>2012</v>
      </c>
      <c r="G706" s="6">
        <v>9265200</v>
      </c>
      <c r="H706" s="6">
        <v>3368100</v>
      </c>
      <c r="I706" s="6">
        <v>5897100</v>
      </c>
    </row>
    <row r="707" spans="1:9" x14ac:dyDescent="0.25">
      <c r="A707" t="s">
        <v>251</v>
      </c>
      <c r="B707" s="16" t="str">
        <f t="shared" si="28"/>
        <v>40251</v>
      </c>
      <c r="C707" t="s">
        <v>10</v>
      </c>
      <c r="D707" t="s">
        <v>251</v>
      </c>
      <c r="E707" s="16" t="str">
        <f>"078"</f>
        <v>078</v>
      </c>
      <c r="F707" s="16">
        <v>2013</v>
      </c>
      <c r="G707" s="6">
        <v>334295100</v>
      </c>
      <c r="H707" s="6">
        <v>49588500</v>
      </c>
      <c r="I707" s="6">
        <v>284706600</v>
      </c>
    </row>
    <row r="708" spans="1:9" x14ac:dyDescent="0.25">
      <c r="A708" t="s">
        <v>251</v>
      </c>
      <c r="B708" s="16" t="str">
        <f t="shared" si="28"/>
        <v>40251</v>
      </c>
      <c r="C708" t="s">
        <v>10</v>
      </c>
      <c r="D708" t="s">
        <v>251</v>
      </c>
      <c r="E708" s="16" t="str">
        <f>"079"</f>
        <v>079</v>
      </c>
      <c r="F708" s="16">
        <v>2013</v>
      </c>
      <c r="G708" s="6">
        <v>70645500</v>
      </c>
      <c r="H708" s="6">
        <v>13718700</v>
      </c>
      <c r="I708" s="6">
        <v>56926800</v>
      </c>
    </row>
    <row r="709" spans="1:9" x14ac:dyDescent="0.25">
      <c r="A709" t="s">
        <v>251</v>
      </c>
      <c r="B709" s="16" t="str">
        <f t="shared" ref="B709:B734" si="29">"40251"</f>
        <v>40251</v>
      </c>
      <c r="C709" t="s">
        <v>10</v>
      </c>
      <c r="D709" t="s">
        <v>251</v>
      </c>
      <c r="E709" s="16" t="str">
        <f>"080"</f>
        <v>080</v>
      </c>
      <c r="F709" s="16">
        <v>2014</v>
      </c>
      <c r="G709" s="6">
        <v>14970300</v>
      </c>
      <c r="H709" s="6">
        <v>3500300</v>
      </c>
      <c r="I709" s="6">
        <v>11470000</v>
      </c>
    </row>
    <row r="710" spans="1:9" x14ac:dyDescent="0.25">
      <c r="A710" t="s">
        <v>251</v>
      </c>
      <c r="B710" s="16" t="str">
        <f t="shared" si="29"/>
        <v>40251</v>
      </c>
      <c r="C710" t="s">
        <v>10</v>
      </c>
      <c r="D710" t="s">
        <v>251</v>
      </c>
      <c r="E710" s="16" t="str">
        <f>"081"</f>
        <v>081</v>
      </c>
      <c r="F710" s="16">
        <v>2015</v>
      </c>
      <c r="G710" s="6">
        <v>22022200</v>
      </c>
      <c r="H710" s="6">
        <v>2689200</v>
      </c>
      <c r="I710" s="6">
        <v>19333000</v>
      </c>
    </row>
    <row r="711" spans="1:9" x14ac:dyDescent="0.25">
      <c r="A711" t="s">
        <v>251</v>
      </c>
      <c r="B711" s="16" t="str">
        <f t="shared" si="29"/>
        <v>40251</v>
      </c>
      <c r="C711" t="s">
        <v>10</v>
      </c>
      <c r="D711" t="s">
        <v>251</v>
      </c>
      <c r="E711" s="16" t="str">
        <f>"082"</f>
        <v>082</v>
      </c>
      <c r="F711" s="16">
        <v>2015</v>
      </c>
      <c r="G711" s="6">
        <v>99527200</v>
      </c>
      <c r="H711" s="6">
        <v>5474100</v>
      </c>
      <c r="I711" s="6">
        <v>94053100</v>
      </c>
    </row>
    <row r="712" spans="1:9" x14ac:dyDescent="0.25">
      <c r="A712" t="s">
        <v>251</v>
      </c>
      <c r="B712" s="16" t="str">
        <f t="shared" si="29"/>
        <v>40251</v>
      </c>
      <c r="C712" t="s">
        <v>10</v>
      </c>
      <c r="D712" t="s">
        <v>251</v>
      </c>
      <c r="E712" s="16" t="str">
        <f>"083"</f>
        <v>083</v>
      </c>
      <c r="F712" s="16">
        <v>2015</v>
      </c>
      <c r="G712" s="6">
        <v>74102400</v>
      </c>
      <c r="H712" s="6">
        <v>5774200</v>
      </c>
      <c r="I712" s="6">
        <v>68328200</v>
      </c>
    </row>
    <row r="713" spans="1:9" x14ac:dyDescent="0.25">
      <c r="A713" t="s">
        <v>251</v>
      </c>
      <c r="B713" s="16" t="str">
        <f t="shared" si="29"/>
        <v>40251</v>
      </c>
      <c r="C713" t="s">
        <v>10</v>
      </c>
      <c r="D713" t="s">
        <v>251</v>
      </c>
      <c r="E713" s="16" t="str">
        <f>"084"</f>
        <v>084</v>
      </c>
      <c r="F713" s="16">
        <v>2015</v>
      </c>
      <c r="G713" s="6">
        <v>141439300</v>
      </c>
      <c r="H713" s="6">
        <v>60111100</v>
      </c>
      <c r="I713" s="6">
        <v>81328200</v>
      </c>
    </row>
    <row r="714" spans="1:9" x14ac:dyDescent="0.25">
      <c r="A714" t="s">
        <v>251</v>
      </c>
      <c r="B714" s="16" t="str">
        <f t="shared" si="29"/>
        <v>40251</v>
      </c>
      <c r="C714" t="s">
        <v>10</v>
      </c>
      <c r="D714" t="s">
        <v>251</v>
      </c>
      <c r="E714" s="16" t="str">
        <f>"085"</f>
        <v>085</v>
      </c>
      <c r="F714" s="16">
        <v>2015</v>
      </c>
      <c r="G714" s="6">
        <v>53347400</v>
      </c>
      <c r="H714" s="6">
        <v>32096600</v>
      </c>
      <c r="I714" s="6">
        <v>21250800</v>
      </c>
    </row>
    <row r="715" spans="1:9" x14ac:dyDescent="0.25">
      <c r="A715" t="s">
        <v>251</v>
      </c>
      <c r="B715" s="16" t="str">
        <f t="shared" si="29"/>
        <v>40251</v>
      </c>
      <c r="C715" t="s">
        <v>10</v>
      </c>
      <c r="D715" t="s">
        <v>251</v>
      </c>
      <c r="E715" s="16" t="str">
        <f>"086"</f>
        <v>086</v>
      </c>
      <c r="F715" s="16">
        <v>2016</v>
      </c>
      <c r="G715" s="6">
        <v>4912600</v>
      </c>
      <c r="H715" s="6">
        <v>3311300</v>
      </c>
      <c r="I715" s="6">
        <v>1601300</v>
      </c>
    </row>
    <row r="716" spans="1:9" x14ac:dyDescent="0.25">
      <c r="A716" t="s">
        <v>251</v>
      </c>
      <c r="B716" s="16" t="str">
        <f t="shared" si="29"/>
        <v>40251</v>
      </c>
      <c r="C716" t="s">
        <v>10</v>
      </c>
      <c r="D716" t="s">
        <v>251</v>
      </c>
      <c r="E716" s="16" t="str">
        <f>"087"</f>
        <v>087</v>
      </c>
      <c r="F716" s="16">
        <v>2016</v>
      </c>
      <c r="G716" s="6">
        <v>3820700</v>
      </c>
      <c r="H716" s="6">
        <v>380600</v>
      </c>
      <c r="I716" s="6">
        <v>3440100</v>
      </c>
    </row>
    <row r="717" spans="1:9" x14ac:dyDescent="0.25">
      <c r="A717" t="s">
        <v>251</v>
      </c>
      <c r="B717" s="16" t="str">
        <f t="shared" si="29"/>
        <v>40251</v>
      </c>
      <c r="C717" t="s">
        <v>10</v>
      </c>
      <c r="D717" t="s">
        <v>251</v>
      </c>
      <c r="E717" s="16" t="str">
        <f>"088"</f>
        <v>088</v>
      </c>
      <c r="F717" s="16">
        <v>2016</v>
      </c>
      <c r="G717" s="6">
        <v>4689400</v>
      </c>
      <c r="H717" s="6">
        <v>4207500</v>
      </c>
      <c r="I717" s="6">
        <v>481900</v>
      </c>
    </row>
    <row r="718" spans="1:9" x14ac:dyDescent="0.25">
      <c r="A718" t="s">
        <v>251</v>
      </c>
      <c r="B718" s="16" t="str">
        <f t="shared" si="29"/>
        <v>40251</v>
      </c>
      <c r="C718" t="s">
        <v>10</v>
      </c>
      <c r="D718" t="s">
        <v>251</v>
      </c>
      <c r="E718" s="16" t="str">
        <f>"089"</f>
        <v>089</v>
      </c>
      <c r="F718" s="16">
        <v>2017</v>
      </c>
      <c r="G718" s="6">
        <v>3215700</v>
      </c>
      <c r="H718" s="6">
        <v>0</v>
      </c>
      <c r="I718" s="6">
        <v>3215700</v>
      </c>
    </row>
    <row r="719" spans="1:9" x14ac:dyDescent="0.25">
      <c r="A719" t="s">
        <v>251</v>
      </c>
      <c r="B719" s="16" t="str">
        <f t="shared" si="29"/>
        <v>40251</v>
      </c>
      <c r="C719" t="s">
        <v>10</v>
      </c>
      <c r="D719" t="s">
        <v>251</v>
      </c>
      <c r="E719" s="16" t="str">
        <f>"090"</f>
        <v>090</v>
      </c>
      <c r="F719" s="16">
        <v>2017</v>
      </c>
      <c r="G719" s="6">
        <v>2400500</v>
      </c>
      <c r="H719" s="6">
        <v>276600</v>
      </c>
      <c r="I719" s="6">
        <v>2123900</v>
      </c>
    </row>
    <row r="720" spans="1:9" x14ac:dyDescent="0.25">
      <c r="A720" t="s">
        <v>251</v>
      </c>
      <c r="B720" s="16" t="str">
        <f t="shared" si="29"/>
        <v>40251</v>
      </c>
      <c r="C720" t="s">
        <v>10</v>
      </c>
      <c r="D720" t="s">
        <v>251</v>
      </c>
      <c r="E720" s="16" t="str">
        <f>"091"</f>
        <v>091</v>
      </c>
      <c r="F720" s="16">
        <v>2017</v>
      </c>
      <c r="G720" s="6">
        <v>41617300</v>
      </c>
      <c r="H720" s="6">
        <v>62670400</v>
      </c>
      <c r="I720" s="6">
        <v>-21053100</v>
      </c>
    </row>
    <row r="721" spans="1:9" x14ac:dyDescent="0.25">
      <c r="A721" t="s">
        <v>251</v>
      </c>
      <c r="B721" s="16" t="str">
        <f t="shared" si="29"/>
        <v>40251</v>
      </c>
      <c r="C721" t="s">
        <v>10</v>
      </c>
      <c r="D721" t="s">
        <v>251</v>
      </c>
      <c r="E721" s="16" t="str">
        <f>"092"</f>
        <v>092</v>
      </c>
      <c r="F721" s="16">
        <v>2017</v>
      </c>
      <c r="G721" s="6">
        <v>4277700</v>
      </c>
      <c r="H721" s="6">
        <v>1122000</v>
      </c>
      <c r="I721" s="6">
        <v>3155700</v>
      </c>
    </row>
    <row r="722" spans="1:9" x14ac:dyDescent="0.25">
      <c r="A722" t="s">
        <v>251</v>
      </c>
      <c r="B722" s="16" t="str">
        <f t="shared" si="29"/>
        <v>40251</v>
      </c>
      <c r="C722" t="s">
        <v>10</v>
      </c>
      <c r="D722" t="s">
        <v>251</v>
      </c>
      <c r="E722" s="16" t="str">
        <f>"093"</f>
        <v>093</v>
      </c>
      <c r="F722" s="16">
        <v>2018</v>
      </c>
      <c r="G722" s="6">
        <v>2144700</v>
      </c>
      <c r="H722" s="6">
        <v>756900</v>
      </c>
      <c r="I722" s="6">
        <v>1387800</v>
      </c>
    </row>
    <row r="723" spans="1:9" x14ac:dyDescent="0.25">
      <c r="A723" t="s">
        <v>251</v>
      </c>
      <c r="B723" s="16" t="str">
        <f t="shared" si="29"/>
        <v>40251</v>
      </c>
      <c r="C723" t="s">
        <v>10</v>
      </c>
      <c r="D723" t="s">
        <v>251</v>
      </c>
      <c r="E723" s="16" t="str">
        <f>"094"</f>
        <v>094</v>
      </c>
      <c r="F723" s="16">
        <v>2019</v>
      </c>
      <c r="G723" s="6">
        <v>18337700</v>
      </c>
      <c r="H723" s="6">
        <v>5468400</v>
      </c>
      <c r="I723" s="6">
        <v>12869300</v>
      </c>
    </row>
    <row r="724" spans="1:9" x14ac:dyDescent="0.25">
      <c r="A724" t="s">
        <v>251</v>
      </c>
      <c r="B724" s="16" t="str">
        <f t="shared" si="29"/>
        <v>40251</v>
      </c>
      <c r="C724" t="s">
        <v>10</v>
      </c>
      <c r="D724" t="s">
        <v>251</v>
      </c>
      <c r="E724" s="16" t="str">
        <f>"095"</f>
        <v>095</v>
      </c>
      <c r="F724" s="16">
        <v>2019</v>
      </c>
      <c r="G724" s="6">
        <v>1872000</v>
      </c>
      <c r="H724" s="6">
        <v>88600</v>
      </c>
      <c r="I724" s="6">
        <v>1783400</v>
      </c>
    </row>
    <row r="725" spans="1:9" x14ac:dyDescent="0.25">
      <c r="A725" t="s">
        <v>251</v>
      </c>
      <c r="B725" s="16" t="str">
        <f t="shared" si="29"/>
        <v>40251</v>
      </c>
      <c r="C725" t="s">
        <v>10</v>
      </c>
      <c r="D725" t="s">
        <v>251</v>
      </c>
      <c r="E725" s="16" t="str">
        <f>"096"</f>
        <v>096</v>
      </c>
      <c r="F725" s="16">
        <v>2019</v>
      </c>
      <c r="G725" s="6">
        <v>20494800</v>
      </c>
      <c r="H725" s="6">
        <v>3814600</v>
      </c>
      <c r="I725" s="6">
        <v>16680200</v>
      </c>
    </row>
    <row r="726" spans="1:9" x14ac:dyDescent="0.25">
      <c r="A726" t="s">
        <v>251</v>
      </c>
      <c r="B726" s="16" t="str">
        <f t="shared" si="29"/>
        <v>40251</v>
      </c>
      <c r="C726" t="s">
        <v>10</v>
      </c>
      <c r="D726" t="s">
        <v>251</v>
      </c>
      <c r="E726" s="16" t="str">
        <f>"097"</f>
        <v>097</v>
      </c>
      <c r="F726" s="16">
        <v>2019</v>
      </c>
      <c r="G726" s="6">
        <v>65475400</v>
      </c>
      <c r="H726" s="6">
        <v>37542700</v>
      </c>
      <c r="I726" s="6">
        <v>27932700</v>
      </c>
    </row>
    <row r="727" spans="1:9" x14ac:dyDescent="0.25">
      <c r="A727" t="s">
        <v>251</v>
      </c>
      <c r="B727" s="16" t="str">
        <f t="shared" si="29"/>
        <v>40251</v>
      </c>
      <c r="C727" t="s">
        <v>10</v>
      </c>
      <c r="D727" t="s">
        <v>251</v>
      </c>
      <c r="E727" s="16" t="str">
        <f>"098"</f>
        <v>098</v>
      </c>
      <c r="F727" s="16">
        <v>2019</v>
      </c>
      <c r="G727" s="6">
        <v>1657900</v>
      </c>
      <c r="H727" s="6">
        <v>1483700</v>
      </c>
      <c r="I727" s="6">
        <v>174200</v>
      </c>
    </row>
    <row r="728" spans="1:9" x14ac:dyDescent="0.25">
      <c r="A728" t="s">
        <v>251</v>
      </c>
      <c r="B728" s="16" t="str">
        <f t="shared" si="29"/>
        <v>40251</v>
      </c>
      <c r="C728" t="s">
        <v>10</v>
      </c>
      <c r="D728" t="s">
        <v>251</v>
      </c>
      <c r="E728" s="16" t="str">
        <f>"099"</f>
        <v>099</v>
      </c>
      <c r="F728" s="16">
        <v>2019</v>
      </c>
      <c r="G728" s="6">
        <v>16107700</v>
      </c>
      <c r="H728" s="6">
        <v>393400</v>
      </c>
      <c r="I728" s="6">
        <v>15714300</v>
      </c>
    </row>
    <row r="729" spans="1:9" x14ac:dyDescent="0.25">
      <c r="A729" t="s">
        <v>251</v>
      </c>
      <c r="B729" s="16" t="str">
        <f t="shared" si="29"/>
        <v>40251</v>
      </c>
      <c r="C729" t="s">
        <v>10</v>
      </c>
      <c r="D729" t="s">
        <v>251</v>
      </c>
      <c r="E729" s="16" t="str">
        <f>"100"</f>
        <v>100</v>
      </c>
      <c r="F729" s="16">
        <v>2019</v>
      </c>
      <c r="G729" s="6">
        <v>24570600</v>
      </c>
      <c r="H729" s="6">
        <v>2068000</v>
      </c>
      <c r="I729" s="6">
        <v>22502600</v>
      </c>
    </row>
    <row r="730" spans="1:9" x14ac:dyDescent="0.25">
      <c r="A730" t="s">
        <v>251</v>
      </c>
      <c r="B730" s="16" t="str">
        <f t="shared" si="29"/>
        <v>40251</v>
      </c>
      <c r="C730" t="s">
        <v>10</v>
      </c>
      <c r="D730" t="s">
        <v>251</v>
      </c>
      <c r="E730" s="16" t="str">
        <f>"102"</f>
        <v>102</v>
      </c>
      <c r="F730" s="16">
        <v>2020</v>
      </c>
      <c r="G730" s="6">
        <v>4181600</v>
      </c>
      <c r="H730" s="6">
        <v>3723400</v>
      </c>
      <c r="I730" s="6">
        <v>458200</v>
      </c>
    </row>
    <row r="731" spans="1:9" x14ac:dyDescent="0.25">
      <c r="A731" t="s">
        <v>251</v>
      </c>
      <c r="B731" s="16" t="str">
        <f t="shared" si="29"/>
        <v>40251</v>
      </c>
      <c r="C731" t="s">
        <v>10</v>
      </c>
      <c r="D731" t="s">
        <v>251</v>
      </c>
      <c r="E731" s="16" t="str">
        <f>"103"</f>
        <v>103</v>
      </c>
      <c r="F731" s="16">
        <v>2020</v>
      </c>
      <c r="G731" s="6">
        <v>0</v>
      </c>
      <c r="H731" s="6">
        <v>0</v>
      </c>
      <c r="I731" s="6">
        <v>0</v>
      </c>
    </row>
    <row r="732" spans="1:9" x14ac:dyDescent="0.25">
      <c r="A732" t="s">
        <v>251</v>
      </c>
      <c r="B732" s="16" t="str">
        <f t="shared" si="29"/>
        <v>40251</v>
      </c>
      <c r="C732" t="s">
        <v>10</v>
      </c>
      <c r="D732" t="s">
        <v>251</v>
      </c>
      <c r="E732" s="16" t="str">
        <f>"104"</f>
        <v>104</v>
      </c>
      <c r="F732" s="16">
        <v>2020</v>
      </c>
      <c r="G732" s="6">
        <v>234100</v>
      </c>
      <c r="H732" s="6">
        <v>0</v>
      </c>
      <c r="I732" s="6">
        <v>234100</v>
      </c>
    </row>
    <row r="733" spans="1:9" x14ac:dyDescent="0.25">
      <c r="A733" t="s">
        <v>251</v>
      </c>
      <c r="B733" s="16" t="str">
        <f t="shared" si="29"/>
        <v>40251</v>
      </c>
      <c r="C733" t="s">
        <v>10</v>
      </c>
      <c r="D733" t="s">
        <v>251</v>
      </c>
      <c r="E733" s="16" t="str">
        <f>"105"</f>
        <v>105</v>
      </c>
      <c r="F733" s="16">
        <v>2020</v>
      </c>
      <c r="G733" s="6">
        <v>1443800</v>
      </c>
      <c r="H733" s="6">
        <v>1286500</v>
      </c>
      <c r="I733" s="6">
        <v>157300</v>
      </c>
    </row>
    <row r="734" spans="1:9" x14ac:dyDescent="0.25">
      <c r="A734" t="s">
        <v>251</v>
      </c>
      <c r="B734" s="16" t="str">
        <f t="shared" si="29"/>
        <v>40251</v>
      </c>
      <c r="C734" t="s">
        <v>10</v>
      </c>
      <c r="D734" t="s">
        <v>251</v>
      </c>
      <c r="E734" s="16" t="str">
        <f>"106"</f>
        <v>106</v>
      </c>
      <c r="F734" s="16">
        <v>2020</v>
      </c>
      <c r="G734" s="6">
        <v>0</v>
      </c>
      <c r="H734" s="6">
        <v>0</v>
      </c>
      <c r="I734" s="6">
        <v>0</v>
      </c>
    </row>
    <row r="735" spans="1:9" x14ac:dyDescent="0.25">
      <c r="A735" t="s">
        <v>251</v>
      </c>
      <c r="B735" s="16" t="str">
        <f t="shared" ref="B735:B744" si="30">"40265"</f>
        <v>40265</v>
      </c>
      <c r="C735" t="s">
        <v>10</v>
      </c>
      <c r="D735" t="s">
        <v>259</v>
      </c>
      <c r="E735" s="16" t="str">
        <f>"006"</f>
        <v>006</v>
      </c>
      <c r="F735" s="16">
        <v>2001</v>
      </c>
      <c r="G735" s="6">
        <v>19648900</v>
      </c>
      <c r="H735" s="6">
        <v>1377200</v>
      </c>
      <c r="I735" s="6">
        <v>18271700</v>
      </c>
    </row>
    <row r="736" spans="1:9" x14ac:dyDescent="0.25">
      <c r="A736" t="s">
        <v>251</v>
      </c>
      <c r="B736" s="16" t="str">
        <f t="shared" si="30"/>
        <v>40265</v>
      </c>
      <c r="C736" t="s">
        <v>10</v>
      </c>
      <c r="D736" t="s">
        <v>259</v>
      </c>
      <c r="E736" s="16" t="str">
        <f>"007"</f>
        <v>007</v>
      </c>
      <c r="F736" s="16">
        <v>2007</v>
      </c>
      <c r="G736" s="6">
        <v>250633500</v>
      </c>
      <c r="H736" s="6">
        <v>165053100</v>
      </c>
      <c r="I736" s="6">
        <v>85580400</v>
      </c>
    </row>
    <row r="737" spans="1:10" x14ac:dyDescent="0.25">
      <c r="A737" t="s">
        <v>251</v>
      </c>
      <c r="B737" s="16" t="str">
        <f t="shared" si="30"/>
        <v>40265</v>
      </c>
      <c r="C737" t="s">
        <v>10</v>
      </c>
      <c r="D737" t="s">
        <v>259</v>
      </c>
      <c r="E737" s="16" t="str">
        <f>"008"</f>
        <v>008</v>
      </c>
      <c r="F737" s="16">
        <v>2009</v>
      </c>
      <c r="G737" s="6">
        <v>126197100</v>
      </c>
      <c r="H737" s="6">
        <v>23056600</v>
      </c>
      <c r="I737" s="6">
        <v>103140500</v>
      </c>
    </row>
    <row r="738" spans="1:10" x14ac:dyDescent="0.25">
      <c r="A738" t="s">
        <v>251</v>
      </c>
      <c r="B738" s="16" t="str">
        <f t="shared" si="30"/>
        <v>40265</v>
      </c>
      <c r="C738" t="s">
        <v>10</v>
      </c>
      <c r="D738" t="s">
        <v>259</v>
      </c>
      <c r="E738" s="16" t="str">
        <f>"010"</f>
        <v>010</v>
      </c>
      <c r="F738" s="16">
        <v>2010</v>
      </c>
      <c r="G738" s="6">
        <v>41146500</v>
      </c>
      <c r="H738" s="6">
        <v>19223700</v>
      </c>
      <c r="I738" s="6">
        <v>21922800</v>
      </c>
    </row>
    <row r="739" spans="1:10" x14ac:dyDescent="0.25">
      <c r="A739" t="s">
        <v>251</v>
      </c>
      <c r="B739" s="16" t="str">
        <f t="shared" si="30"/>
        <v>40265</v>
      </c>
      <c r="C739" t="s">
        <v>10</v>
      </c>
      <c r="D739" t="s">
        <v>259</v>
      </c>
      <c r="E739" s="16" t="str">
        <f>"011"</f>
        <v>011</v>
      </c>
      <c r="F739" s="16">
        <v>2012</v>
      </c>
      <c r="G739" s="6">
        <v>196816100</v>
      </c>
      <c r="H739" s="6">
        <v>12861900</v>
      </c>
      <c r="I739" s="6">
        <v>183954200</v>
      </c>
    </row>
    <row r="740" spans="1:10" x14ac:dyDescent="0.25">
      <c r="A740" t="s">
        <v>251</v>
      </c>
      <c r="B740" s="16" t="str">
        <f t="shared" si="30"/>
        <v>40265</v>
      </c>
      <c r="C740" t="s">
        <v>10</v>
      </c>
      <c r="D740" t="s">
        <v>259</v>
      </c>
      <c r="E740" s="16" t="str">
        <f>"012"</f>
        <v>012</v>
      </c>
      <c r="F740" s="16">
        <v>2016</v>
      </c>
      <c r="G740" s="6">
        <v>60003700</v>
      </c>
      <c r="H740" s="6">
        <v>3738200</v>
      </c>
      <c r="I740" s="6">
        <v>56265500</v>
      </c>
    </row>
    <row r="741" spans="1:10" x14ac:dyDescent="0.25">
      <c r="A741" t="s">
        <v>251</v>
      </c>
      <c r="B741" s="16" t="str">
        <f t="shared" si="30"/>
        <v>40265</v>
      </c>
      <c r="C741" t="s">
        <v>10</v>
      </c>
      <c r="D741" t="s">
        <v>259</v>
      </c>
      <c r="E741" s="16" t="str">
        <f>"013"</f>
        <v>013</v>
      </c>
      <c r="F741" s="16">
        <v>2017</v>
      </c>
      <c r="G741" s="6">
        <v>5469300</v>
      </c>
      <c r="H741" s="6">
        <v>4703500</v>
      </c>
      <c r="I741" s="6">
        <v>765800</v>
      </c>
    </row>
    <row r="742" spans="1:10" x14ac:dyDescent="0.25">
      <c r="A742" t="s">
        <v>251</v>
      </c>
      <c r="B742" s="16" t="str">
        <f t="shared" si="30"/>
        <v>40265</v>
      </c>
      <c r="C742" t="s">
        <v>10</v>
      </c>
      <c r="D742" t="s">
        <v>259</v>
      </c>
      <c r="E742" s="16" t="str">
        <f>"014"</f>
        <v>014</v>
      </c>
      <c r="F742" s="16">
        <v>2018</v>
      </c>
      <c r="G742" s="6">
        <v>9559200</v>
      </c>
      <c r="H742" s="6">
        <v>641300</v>
      </c>
      <c r="I742" s="6">
        <v>8917900</v>
      </c>
    </row>
    <row r="743" spans="1:10" x14ac:dyDescent="0.25">
      <c r="A743" t="s">
        <v>251</v>
      </c>
      <c r="B743" s="16" t="str">
        <f t="shared" si="30"/>
        <v>40265</v>
      </c>
      <c r="C743" t="s">
        <v>10</v>
      </c>
      <c r="D743" t="s">
        <v>259</v>
      </c>
      <c r="E743" s="16" t="str">
        <f>"015"</f>
        <v>015</v>
      </c>
      <c r="F743" s="16">
        <v>2018</v>
      </c>
      <c r="G743" s="6">
        <v>6374800</v>
      </c>
      <c r="H743" s="6">
        <v>1899900</v>
      </c>
      <c r="I743" s="6">
        <v>4474900</v>
      </c>
    </row>
    <row r="744" spans="1:10" x14ac:dyDescent="0.25">
      <c r="A744" t="s">
        <v>251</v>
      </c>
      <c r="B744" s="16" t="str">
        <f t="shared" si="30"/>
        <v>40265</v>
      </c>
      <c r="C744" t="s">
        <v>10</v>
      </c>
      <c r="D744" t="s">
        <v>259</v>
      </c>
      <c r="E744" s="16" t="str">
        <f>"016"</f>
        <v>016</v>
      </c>
      <c r="F744" s="16">
        <v>2018</v>
      </c>
      <c r="G744" s="6">
        <v>178620300</v>
      </c>
      <c r="H744" s="6">
        <v>1549200</v>
      </c>
      <c r="I744" s="6">
        <v>177071100</v>
      </c>
    </row>
    <row r="745" spans="1:10" x14ac:dyDescent="0.25">
      <c r="A745" t="s">
        <v>251</v>
      </c>
      <c r="B745" s="16" t="str">
        <f>"40281"</f>
        <v>40281</v>
      </c>
      <c r="C745" t="s">
        <v>10</v>
      </c>
      <c r="D745" t="s">
        <v>260</v>
      </c>
      <c r="E745" s="16" t="str">
        <f>"003"</f>
        <v>003</v>
      </c>
      <c r="F745" s="16">
        <v>2006</v>
      </c>
      <c r="G745" s="6">
        <v>69940700</v>
      </c>
      <c r="H745" s="6">
        <v>56131300</v>
      </c>
      <c r="I745" s="6">
        <v>13809400</v>
      </c>
    </row>
    <row r="746" spans="1:10" x14ac:dyDescent="0.25">
      <c r="A746" t="s">
        <v>251</v>
      </c>
      <c r="B746" s="16" t="str">
        <f>"40281"</f>
        <v>40281</v>
      </c>
      <c r="C746" t="s">
        <v>10</v>
      </c>
      <c r="D746" t="s">
        <v>260</v>
      </c>
      <c r="E746" s="16" t="str">
        <f>"004"</f>
        <v>004</v>
      </c>
      <c r="F746" s="16">
        <v>2012</v>
      </c>
      <c r="G746" s="6">
        <v>57710600</v>
      </c>
      <c r="H746" s="6">
        <v>48457100</v>
      </c>
      <c r="I746" s="6">
        <v>9253500</v>
      </c>
    </row>
    <row r="747" spans="1:10" x14ac:dyDescent="0.25">
      <c r="A747" t="s">
        <v>251</v>
      </c>
      <c r="B747" s="16" t="str">
        <f>"40281"</f>
        <v>40281</v>
      </c>
      <c r="C747" t="s">
        <v>10</v>
      </c>
      <c r="D747" t="s">
        <v>260</v>
      </c>
      <c r="E747" s="16" t="str">
        <f>"005"</f>
        <v>005</v>
      </c>
      <c r="F747" s="16">
        <v>2015</v>
      </c>
      <c r="G747" s="6">
        <v>171576000</v>
      </c>
      <c r="H747" s="6">
        <v>81643300</v>
      </c>
      <c r="I747" s="6">
        <v>89932700</v>
      </c>
    </row>
    <row r="748" spans="1:10" x14ac:dyDescent="0.25">
      <c r="A748" s="12" t="s">
        <v>251</v>
      </c>
      <c r="B748" s="17" t="str">
        <f>"40181"</f>
        <v>40181</v>
      </c>
      <c r="C748" s="12" t="s">
        <v>11</v>
      </c>
      <c r="D748" s="12" t="s">
        <v>261</v>
      </c>
      <c r="E748" s="17" t="str">
        <f>"001"</f>
        <v>001</v>
      </c>
      <c r="F748" s="17">
        <v>1995</v>
      </c>
      <c r="G748" s="13">
        <v>215197001</v>
      </c>
      <c r="H748" s="13">
        <v>139131300</v>
      </c>
      <c r="I748" s="13">
        <v>76065701</v>
      </c>
      <c r="J748" s="9"/>
    </row>
    <row r="749" spans="1:10" x14ac:dyDescent="0.25">
      <c r="A749" s="12" t="s">
        <v>251</v>
      </c>
      <c r="B749" s="17" t="str">
        <f>"40181"</f>
        <v>40181</v>
      </c>
      <c r="C749" s="12" t="s">
        <v>11</v>
      </c>
      <c r="D749" s="12" t="s">
        <v>261</v>
      </c>
      <c r="E749" s="17" t="str">
        <f>"003"</f>
        <v>003</v>
      </c>
      <c r="F749" s="17">
        <v>2008</v>
      </c>
      <c r="G749" s="13">
        <v>47026100</v>
      </c>
      <c r="H749" s="13">
        <v>7748400</v>
      </c>
      <c r="I749" s="13">
        <v>39277700</v>
      </c>
      <c r="J749" s="7"/>
    </row>
    <row r="750" spans="1:10" x14ac:dyDescent="0.25">
      <c r="A750" s="12" t="s">
        <v>251</v>
      </c>
      <c r="B750" s="17" t="str">
        <f>"40181"</f>
        <v>40181</v>
      </c>
      <c r="C750" s="12" t="s">
        <v>11</v>
      </c>
      <c r="D750" s="12" t="s">
        <v>261</v>
      </c>
      <c r="E750" s="17" t="str">
        <f>"004"</f>
        <v>004</v>
      </c>
      <c r="F750" s="17">
        <v>2011</v>
      </c>
      <c r="G750" s="13">
        <v>18289800</v>
      </c>
      <c r="H750" s="13">
        <v>1195400</v>
      </c>
      <c r="I750" s="13">
        <v>17094400</v>
      </c>
      <c r="J750" s="7"/>
    </row>
    <row r="751" spans="1:10" x14ac:dyDescent="0.25">
      <c r="A751" s="12" t="s">
        <v>251</v>
      </c>
      <c r="B751" s="17" t="str">
        <f>"40181"</f>
        <v>40181</v>
      </c>
      <c r="C751" s="12" t="s">
        <v>11</v>
      </c>
      <c r="D751" s="12" t="s">
        <v>261</v>
      </c>
      <c r="E751" s="17" t="str">
        <f>"005"</f>
        <v>005</v>
      </c>
      <c r="F751" s="17">
        <v>2014</v>
      </c>
      <c r="G751" s="13">
        <v>61221300</v>
      </c>
      <c r="H751" s="13">
        <v>8085800</v>
      </c>
      <c r="I751" s="13">
        <v>53135500</v>
      </c>
      <c r="J751" s="7"/>
    </row>
    <row r="752" spans="1:10" x14ac:dyDescent="0.25">
      <c r="A752" t="s">
        <v>251</v>
      </c>
      <c r="B752" s="16" t="str">
        <f>"40282"</f>
        <v>40282</v>
      </c>
      <c r="C752" t="s">
        <v>10</v>
      </c>
      <c r="D752" t="s">
        <v>262</v>
      </c>
      <c r="E752" s="16" t="str">
        <f>"001"</f>
        <v>001</v>
      </c>
      <c r="F752" s="16">
        <v>2000</v>
      </c>
      <c r="G752" s="6">
        <v>24337000</v>
      </c>
      <c r="H752" s="6">
        <v>8397700</v>
      </c>
      <c r="I752" s="6">
        <v>15939300</v>
      </c>
    </row>
    <row r="753" spans="1:9" x14ac:dyDescent="0.25">
      <c r="A753" t="s">
        <v>251</v>
      </c>
      <c r="B753" s="16" t="str">
        <f>"40282"</f>
        <v>40282</v>
      </c>
      <c r="C753" t="s">
        <v>10</v>
      </c>
      <c r="D753" t="s">
        <v>262</v>
      </c>
      <c r="E753" s="16" t="str">
        <f>"002"</f>
        <v>002</v>
      </c>
      <c r="F753" s="16">
        <v>2000</v>
      </c>
      <c r="G753" s="6">
        <v>32908700</v>
      </c>
      <c r="H753" s="6">
        <v>6394400</v>
      </c>
      <c r="I753" s="6">
        <v>26514300</v>
      </c>
    </row>
    <row r="754" spans="1:9" x14ac:dyDescent="0.25">
      <c r="A754" t="s">
        <v>251</v>
      </c>
      <c r="B754" s="16" t="str">
        <f>"40282"</f>
        <v>40282</v>
      </c>
      <c r="C754" t="s">
        <v>10</v>
      </c>
      <c r="D754" t="s">
        <v>262</v>
      </c>
      <c r="E754" s="16" t="str">
        <f>"003"</f>
        <v>003</v>
      </c>
      <c r="F754" s="16">
        <v>2005</v>
      </c>
      <c r="G754" s="6">
        <v>41052300</v>
      </c>
      <c r="H754" s="6">
        <v>16460500</v>
      </c>
      <c r="I754" s="6">
        <v>24591800</v>
      </c>
    </row>
    <row r="755" spans="1:9" x14ac:dyDescent="0.25">
      <c r="A755" t="s">
        <v>251</v>
      </c>
      <c r="B755" s="16" t="str">
        <f>"40282"</f>
        <v>40282</v>
      </c>
      <c r="C755" t="s">
        <v>10</v>
      </c>
      <c r="D755" t="s">
        <v>262</v>
      </c>
      <c r="E755" s="16" t="str">
        <f>"005"</f>
        <v>005</v>
      </c>
      <c r="F755" s="16">
        <v>2018</v>
      </c>
      <c r="G755" s="6">
        <v>21108200</v>
      </c>
      <c r="H755" s="6">
        <v>23398800</v>
      </c>
      <c r="I755" s="6">
        <v>-2290600</v>
      </c>
    </row>
    <row r="756" spans="1:9" x14ac:dyDescent="0.25">
      <c r="A756" t="s">
        <v>251</v>
      </c>
      <c r="B756" s="16" t="str">
        <f t="shared" ref="B756:B763" si="31">"40291"</f>
        <v>40291</v>
      </c>
      <c r="C756" t="s">
        <v>10</v>
      </c>
      <c r="D756" t="s">
        <v>263</v>
      </c>
      <c r="E756" s="16" t="str">
        <f>"006"</f>
        <v>006</v>
      </c>
      <c r="F756" s="16">
        <v>2010</v>
      </c>
      <c r="G756" s="6">
        <v>144763400</v>
      </c>
      <c r="H756" s="6">
        <v>26768400</v>
      </c>
      <c r="I756" s="6">
        <v>117995000</v>
      </c>
    </row>
    <row r="757" spans="1:9" x14ac:dyDescent="0.25">
      <c r="A757" t="s">
        <v>251</v>
      </c>
      <c r="B757" s="16" t="str">
        <f t="shared" si="31"/>
        <v>40291</v>
      </c>
      <c r="C757" t="s">
        <v>10</v>
      </c>
      <c r="D757" t="s">
        <v>263</v>
      </c>
      <c r="E757" s="16" t="str">
        <f>"007"</f>
        <v>007</v>
      </c>
      <c r="F757" s="16">
        <v>2013</v>
      </c>
      <c r="G757" s="6">
        <v>167278500</v>
      </c>
      <c r="H757" s="6">
        <v>20815000</v>
      </c>
      <c r="I757" s="6">
        <v>146463500</v>
      </c>
    </row>
    <row r="758" spans="1:9" x14ac:dyDescent="0.25">
      <c r="A758" t="s">
        <v>251</v>
      </c>
      <c r="B758" s="16" t="str">
        <f t="shared" si="31"/>
        <v>40291</v>
      </c>
      <c r="C758" t="s">
        <v>10</v>
      </c>
      <c r="D758" t="s">
        <v>263</v>
      </c>
      <c r="E758" s="16" t="str">
        <f>"008"</f>
        <v>008</v>
      </c>
      <c r="F758" s="16">
        <v>2014</v>
      </c>
      <c r="G758" s="6">
        <v>57315500</v>
      </c>
      <c r="H758" s="6">
        <v>21723600</v>
      </c>
      <c r="I758" s="6">
        <v>35591900</v>
      </c>
    </row>
    <row r="759" spans="1:9" x14ac:dyDescent="0.25">
      <c r="A759" t="s">
        <v>251</v>
      </c>
      <c r="B759" s="16" t="str">
        <f t="shared" si="31"/>
        <v>40291</v>
      </c>
      <c r="C759" t="s">
        <v>10</v>
      </c>
      <c r="D759" t="s">
        <v>263</v>
      </c>
      <c r="E759" s="16" t="str">
        <f>"009"</f>
        <v>009</v>
      </c>
      <c r="F759" s="16">
        <v>2015</v>
      </c>
      <c r="G759" s="6">
        <v>17528100</v>
      </c>
      <c r="H759" s="6">
        <v>5128200</v>
      </c>
      <c r="I759" s="6">
        <v>12399900</v>
      </c>
    </row>
    <row r="760" spans="1:9" x14ac:dyDescent="0.25">
      <c r="A760" t="s">
        <v>251</v>
      </c>
      <c r="B760" s="16" t="str">
        <f t="shared" si="31"/>
        <v>40291</v>
      </c>
      <c r="C760" t="s">
        <v>10</v>
      </c>
      <c r="D760" t="s">
        <v>263</v>
      </c>
      <c r="E760" s="16" t="str">
        <f>"010"</f>
        <v>010</v>
      </c>
      <c r="F760" s="16">
        <v>2015</v>
      </c>
      <c r="G760" s="6">
        <v>39071500</v>
      </c>
      <c r="H760" s="6">
        <v>3970400</v>
      </c>
      <c r="I760" s="6">
        <v>35101100</v>
      </c>
    </row>
    <row r="761" spans="1:9" x14ac:dyDescent="0.25">
      <c r="A761" t="s">
        <v>251</v>
      </c>
      <c r="B761" s="16" t="str">
        <f t="shared" si="31"/>
        <v>40291</v>
      </c>
      <c r="C761" t="s">
        <v>10</v>
      </c>
      <c r="D761" t="s">
        <v>263</v>
      </c>
      <c r="E761" s="16" t="str">
        <f>"011"</f>
        <v>011</v>
      </c>
      <c r="F761" s="16">
        <v>2015</v>
      </c>
      <c r="G761" s="6">
        <v>45997800</v>
      </c>
      <c r="H761" s="6">
        <v>11163400</v>
      </c>
      <c r="I761" s="6">
        <v>34834400</v>
      </c>
    </row>
    <row r="762" spans="1:9" x14ac:dyDescent="0.25">
      <c r="A762" t="s">
        <v>251</v>
      </c>
      <c r="B762" s="16" t="str">
        <f t="shared" si="31"/>
        <v>40291</v>
      </c>
      <c r="C762" t="s">
        <v>10</v>
      </c>
      <c r="D762" t="s">
        <v>263</v>
      </c>
      <c r="E762" s="16" t="str">
        <f>"012"</f>
        <v>012</v>
      </c>
      <c r="F762" s="16">
        <v>2018</v>
      </c>
      <c r="G762" s="6">
        <v>59382600</v>
      </c>
      <c r="H762" s="6">
        <v>35541200</v>
      </c>
      <c r="I762" s="6">
        <v>23841400</v>
      </c>
    </row>
    <row r="763" spans="1:9" x14ac:dyDescent="0.25">
      <c r="A763" t="s">
        <v>251</v>
      </c>
      <c r="B763" s="16" t="str">
        <f t="shared" si="31"/>
        <v>40291</v>
      </c>
      <c r="C763" t="s">
        <v>10</v>
      </c>
      <c r="D763" t="s">
        <v>263</v>
      </c>
      <c r="E763" s="16" t="str">
        <f>"013"</f>
        <v>013</v>
      </c>
      <c r="F763" s="16">
        <v>2020</v>
      </c>
      <c r="G763" s="6">
        <v>3297500</v>
      </c>
      <c r="H763" s="6">
        <v>3129400</v>
      </c>
      <c r="I763" s="6">
        <v>168100</v>
      </c>
    </row>
    <row r="764" spans="1:9" x14ac:dyDescent="0.25">
      <c r="A764" t="s">
        <v>251</v>
      </c>
      <c r="B764" s="16" t="str">
        <f t="shared" ref="B764:B775" si="32">"40292"</f>
        <v>40292</v>
      </c>
      <c r="C764" t="s">
        <v>10</v>
      </c>
      <c r="D764" t="s">
        <v>264</v>
      </c>
      <c r="E764" s="16" t="str">
        <f>"005"</f>
        <v>005</v>
      </c>
      <c r="F764" s="16">
        <v>2001</v>
      </c>
      <c r="G764" s="6">
        <v>56513800</v>
      </c>
      <c r="H764" s="6">
        <v>18524000</v>
      </c>
      <c r="I764" s="6">
        <v>37989800</v>
      </c>
    </row>
    <row r="765" spans="1:9" x14ac:dyDescent="0.25">
      <c r="A765" t="s">
        <v>251</v>
      </c>
      <c r="B765" s="16" t="str">
        <f t="shared" si="32"/>
        <v>40292</v>
      </c>
      <c r="C765" t="s">
        <v>10</v>
      </c>
      <c r="D765" t="s">
        <v>264</v>
      </c>
      <c r="E765" s="16" t="str">
        <f>"006"</f>
        <v>006</v>
      </c>
      <c r="F765" s="16">
        <v>2004</v>
      </c>
      <c r="G765" s="6">
        <v>6258400</v>
      </c>
      <c r="H765" s="6">
        <v>1330600</v>
      </c>
      <c r="I765" s="6">
        <v>4927800</v>
      </c>
    </row>
    <row r="766" spans="1:9" x14ac:dyDescent="0.25">
      <c r="A766" t="s">
        <v>251</v>
      </c>
      <c r="B766" s="16" t="str">
        <f t="shared" si="32"/>
        <v>40292</v>
      </c>
      <c r="C766" t="s">
        <v>10</v>
      </c>
      <c r="D766" t="s">
        <v>264</v>
      </c>
      <c r="E766" s="16" t="str">
        <f>"007"</f>
        <v>007</v>
      </c>
      <c r="F766" s="16">
        <v>2004</v>
      </c>
      <c r="G766" s="6">
        <v>98442100</v>
      </c>
      <c r="H766" s="6">
        <v>15914400</v>
      </c>
      <c r="I766" s="6">
        <v>82527700</v>
      </c>
    </row>
    <row r="767" spans="1:9" x14ac:dyDescent="0.25">
      <c r="A767" t="s">
        <v>251</v>
      </c>
      <c r="B767" s="16" t="str">
        <f t="shared" si="32"/>
        <v>40292</v>
      </c>
      <c r="C767" t="s">
        <v>10</v>
      </c>
      <c r="D767" t="s">
        <v>264</v>
      </c>
      <c r="E767" s="16" t="str">
        <f>"010"</f>
        <v>010</v>
      </c>
      <c r="F767" s="16">
        <v>2008</v>
      </c>
      <c r="G767" s="6">
        <v>15742800</v>
      </c>
      <c r="H767" s="6">
        <v>3463600</v>
      </c>
      <c r="I767" s="6">
        <v>12279200</v>
      </c>
    </row>
    <row r="768" spans="1:9" x14ac:dyDescent="0.25">
      <c r="A768" t="s">
        <v>251</v>
      </c>
      <c r="B768" s="16" t="str">
        <f t="shared" si="32"/>
        <v>40292</v>
      </c>
      <c r="C768" t="s">
        <v>10</v>
      </c>
      <c r="D768" t="s">
        <v>264</v>
      </c>
      <c r="E768" s="16" t="str">
        <f>"011"</f>
        <v>011</v>
      </c>
      <c r="F768" s="16">
        <v>2010</v>
      </c>
      <c r="G768" s="6">
        <v>43675900</v>
      </c>
      <c r="H768" s="6">
        <v>4678000</v>
      </c>
      <c r="I768" s="6">
        <v>38997900</v>
      </c>
    </row>
    <row r="769" spans="1:9" x14ac:dyDescent="0.25">
      <c r="A769" t="s">
        <v>251</v>
      </c>
      <c r="B769" s="16" t="str">
        <f t="shared" si="32"/>
        <v>40292</v>
      </c>
      <c r="C769" t="s">
        <v>10</v>
      </c>
      <c r="D769" t="s">
        <v>264</v>
      </c>
      <c r="E769" s="16" t="str">
        <f>"012"</f>
        <v>012</v>
      </c>
      <c r="F769" s="16">
        <v>2011</v>
      </c>
      <c r="G769" s="6">
        <v>0</v>
      </c>
      <c r="H769" s="6">
        <v>232900</v>
      </c>
      <c r="I769" s="6">
        <v>-232900</v>
      </c>
    </row>
    <row r="770" spans="1:9" x14ac:dyDescent="0.25">
      <c r="A770" t="s">
        <v>251</v>
      </c>
      <c r="B770" s="16" t="str">
        <f t="shared" si="32"/>
        <v>40292</v>
      </c>
      <c r="C770" t="s">
        <v>10</v>
      </c>
      <c r="D770" t="s">
        <v>264</v>
      </c>
      <c r="E770" s="16" t="str">
        <f>"013"</f>
        <v>013</v>
      </c>
      <c r="F770" s="16">
        <v>2011</v>
      </c>
      <c r="G770" s="6">
        <v>979300</v>
      </c>
      <c r="H770" s="6">
        <v>537400</v>
      </c>
      <c r="I770" s="6">
        <v>441900</v>
      </c>
    </row>
    <row r="771" spans="1:9" x14ac:dyDescent="0.25">
      <c r="A771" t="s">
        <v>251</v>
      </c>
      <c r="B771" s="16" t="str">
        <f t="shared" si="32"/>
        <v>40292</v>
      </c>
      <c r="C771" t="s">
        <v>10</v>
      </c>
      <c r="D771" t="s">
        <v>264</v>
      </c>
      <c r="E771" s="16" t="str">
        <f>"014"</f>
        <v>014</v>
      </c>
      <c r="F771" s="16">
        <v>2015</v>
      </c>
      <c r="G771" s="6">
        <v>17901700</v>
      </c>
      <c r="H771" s="6">
        <v>1354300</v>
      </c>
      <c r="I771" s="6">
        <v>16547400</v>
      </c>
    </row>
    <row r="772" spans="1:9" x14ac:dyDescent="0.25">
      <c r="A772" t="s">
        <v>251</v>
      </c>
      <c r="B772" s="16" t="str">
        <f t="shared" si="32"/>
        <v>40292</v>
      </c>
      <c r="C772" t="s">
        <v>10</v>
      </c>
      <c r="D772" t="s">
        <v>264</v>
      </c>
      <c r="E772" s="16" t="str">
        <f>"015"</f>
        <v>015</v>
      </c>
      <c r="F772" s="16">
        <v>2016</v>
      </c>
      <c r="G772" s="6">
        <v>40584200</v>
      </c>
      <c r="H772" s="6">
        <v>0</v>
      </c>
      <c r="I772" s="6">
        <v>40584200</v>
      </c>
    </row>
    <row r="773" spans="1:9" x14ac:dyDescent="0.25">
      <c r="A773" t="s">
        <v>251</v>
      </c>
      <c r="B773" s="16" t="str">
        <f t="shared" si="32"/>
        <v>40292</v>
      </c>
      <c r="C773" t="s">
        <v>10</v>
      </c>
      <c r="D773" t="s">
        <v>264</v>
      </c>
      <c r="E773" s="16" t="str">
        <f>"016"</f>
        <v>016</v>
      </c>
      <c r="F773" s="16">
        <v>2018</v>
      </c>
      <c r="G773" s="6">
        <v>17219200</v>
      </c>
      <c r="H773" s="6">
        <v>3283200</v>
      </c>
      <c r="I773" s="6">
        <v>13936000</v>
      </c>
    </row>
    <row r="774" spans="1:9" x14ac:dyDescent="0.25">
      <c r="A774" t="s">
        <v>251</v>
      </c>
      <c r="B774" s="16" t="str">
        <f t="shared" si="32"/>
        <v>40292</v>
      </c>
      <c r="C774" t="s">
        <v>10</v>
      </c>
      <c r="D774" t="s">
        <v>264</v>
      </c>
      <c r="E774" s="16" t="str">
        <f>"017"</f>
        <v>017</v>
      </c>
      <c r="F774" s="16">
        <v>2019</v>
      </c>
      <c r="G774" s="6">
        <v>35650200</v>
      </c>
      <c r="H774" s="6">
        <v>15514500</v>
      </c>
      <c r="I774" s="6">
        <v>20135700</v>
      </c>
    </row>
    <row r="775" spans="1:9" x14ac:dyDescent="0.25">
      <c r="A775" t="s">
        <v>251</v>
      </c>
      <c r="B775" s="16" t="str">
        <f t="shared" si="32"/>
        <v>40292</v>
      </c>
      <c r="C775" t="s">
        <v>10</v>
      </c>
      <c r="D775" t="s">
        <v>264</v>
      </c>
      <c r="E775" s="16" t="str">
        <f>"018"</f>
        <v>018</v>
      </c>
      <c r="F775" s="16">
        <v>2020</v>
      </c>
      <c r="G775" s="6">
        <v>8379600</v>
      </c>
      <c r="H775" s="6">
        <v>7112100</v>
      </c>
      <c r="I775" s="6">
        <v>1267500</v>
      </c>
    </row>
    <row r="776" spans="1:9" x14ac:dyDescent="0.25">
      <c r="A776" t="s">
        <v>251</v>
      </c>
      <c r="B776" s="16" t="str">
        <f>"40191"</f>
        <v>40191</v>
      </c>
      <c r="C776" t="s">
        <v>11</v>
      </c>
      <c r="D776" t="s">
        <v>265</v>
      </c>
      <c r="E776" s="16" t="str">
        <f>"001E"</f>
        <v>001E</v>
      </c>
      <c r="F776" s="16">
        <v>2016</v>
      </c>
      <c r="G776" s="6">
        <v>9543400</v>
      </c>
      <c r="H776" s="6">
        <v>833100</v>
      </c>
      <c r="I776" s="6">
        <v>8710300</v>
      </c>
    </row>
    <row r="777" spans="1:9" x14ac:dyDescent="0.25">
      <c r="A777" t="s">
        <v>251</v>
      </c>
      <c r="B777" s="16" t="str">
        <f>"40191"</f>
        <v>40191</v>
      </c>
      <c r="C777" t="s">
        <v>11</v>
      </c>
      <c r="D777" t="s">
        <v>265</v>
      </c>
      <c r="E777" s="16" t="str">
        <f>"002"</f>
        <v>002</v>
      </c>
      <c r="F777" s="16">
        <v>2001</v>
      </c>
      <c r="G777" s="6">
        <v>21350400</v>
      </c>
      <c r="H777" s="6">
        <v>5022300</v>
      </c>
      <c r="I777" s="6">
        <v>16328100</v>
      </c>
    </row>
    <row r="778" spans="1:9" x14ac:dyDescent="0.25">
      <c r="A778" t="s">
        <v>251</v>
      </c>
      <c r="B778" s="16" t="str">
        <f>"40191"</f>
        <v>40191</v>
      </c>
      <c r="C778" t="s">
        <v>11</v>
      </c>
      <c r="D778" t="s">
        <v>265</v>
      </c>
      <c r="E778" s="16" t="str">
        <f>"003"</f>
        <v>003</v>
      </c>
      <c r="F778" s="16">
        <v>2003</v>
      </c>
      <c r="G778" s="6">
        <v>2686100</v>
      </c>
      <c r="H778" s="6">
        <v>167200</v>
      </c>
      <c r="I778" s="6">
        <v>2518900</v>
      </c>
    </row>
    <row r="779" spans="1:9" x14ac:dyDescent="0.25">
      <c r="A779" t="s">
        <v>251</v>
      </c>
      <c r="B779" s="16" t="str">
        <f>"40192"</f>
        <v>40192</v>
      </c>
      <c r="C779" t="s">
        <v>11</v>
      </c>
      <c r="D779" t="s">
        <v>266</v>
      </c>
      <c r="E779" s="16" t="str">
        <f>"001"</f>
        <v>001</v>
      </c>
      <c r="F779" s="16">
        <v>2004</v>
      </c>
      <c r="G779" s="6">
        <v>65540100</v>
      </c>
      <c r="H779" s="6">
        <v>38403700</v>
      </c>
      <c r="I779" s="6">
        <v>27136400</v>
      </c>
    </row>
    <row r="780" spans="1:9" x14ac:dyDescent="0.25">
      <c r="A780" t="s">
        <v>251</v>
      </c>
      <c r="B780" s="16" t="str">
        <f>"40192"</f>
        <v>40192</v>
      </c>
      <c r="C780" t="s">
        <v>11</v>
      </c>
      <c r="D780" t="s">
        <v>266</v>
      </c>
      <c r="E780" s="16" t="str">
        <f>"002"</f>
        <v>002</v>
      </c>
      <c r="F780" s="16">
        <v>2013</v>
      </c>
      <c r="G780" s="6">
        <v>16885800</v>
      </c>
      <c r="H780" s="6">
        <v>405600</v>
      </c>
      <c r="I780" s="6">
        <v>16480200</v>
      </c>
    </row>
    <row r="781" spans="1:9" x14ac:dyDescent="0.25">
      <c r="A781" t="s">
        <v>164</v>
      </c>
      <c r="B781" s="16" t="str">
        <f>"41111"</f>
        <v>41111</v>
      </c>
      <c r="C781" t="s">
        <v>11</v>
      </c>
      <c r="D781" t="s">
        <v>267</v>
      </c>
      <c r="E781" s="16" t="str">
        <f>"002"</f>
        <v>002</v>
      </c>
      <c r="F781" s="16">
        <v>1998</v>
      </c>
      <c r="G781" s="6">
        <v>2258300</v>
      </c>
      <c r="H781" s="6">
        <v>836000</v>
      </c>
      <c r="I781" s="6">
        <v>1422300</v>
      </c>
    </row>
    <row r="782" spans="1:9" x14ac:dyDescent="0.25">
      <c r="A782" t="s">
        <v>164</v>
      </c>
      <c r="B782" s="16" t="str">
        <f>"41111"</f>
        <v>41111</v>
      </c>
      <c r="C782" t="s">
        <v>11</v>
      </c>
      <c r="D782" t="s">
        <v>267</v>
      </c>
      <c r="E782" s="16" t="str">
        <f>"003"</f>
        <v>003</v>
      </c>
      <c r="F782" s="16">
        <v>2005</v>
      </c>
      <c r="G782" s="6">
        <v>48684800</v>
      </c>
      <c r="H782" s="6">
        <v>332300</v>
      </c>
      <c r="I782" s="6">
        <v>48352500</v>
      </c>
    </row>
    <row r="783" spans="1:9" x14ac:dyDescent="0.25">
      <c r="A783" t="s">
        <v>164</v>
      </c>
      <c r="B783" s="16" t="str">
        <f>"41176"</f>
        <v>41176</v>
      </c>
      <c r="C783" t="s">
        <v>11</v>
      </c>
      <c r="D783" t="s">
        <v>208</v>
      </c>
      <c r="E783" s="16" t="str">
        <f>"001"</f>
        <v>001</v>
      </c>
      <c r="F783" s="16">
        <v>2010</v>
      </c>
      <c r="G783" s="6">
        <v>3939400</v>
      </c>
      <c r="H783" s="6">
        <v>1837400</v>
      </c>
      <c r="I783" s="6">
        <v>2102000</v>
      </c>
    </row>
    <row r="784" spans="1:9" x14ac:dyDescent="0.25">
      <c r="A784" t="s">
        <v>164</v>
      </c>
      <c r="B784" s="16" t="str">
        <f>"41281"</f>
        <v>41281</v>
      </c>
      <c r="C784" t="s">
        <v>10</v>
      </c>
      <c r="D784" t="s">
        <v>268</v>
      </c>
      <c r="E784" s="16" t="str">
        <f>"006"</f>
        <v>006</v>
      </c>
      <c r="F784" s="16">
        <v>2005</v>
      </c>
      <c r="G784" s="6">
        <v>18452000</v>
      </c>
      <c r="H784" s="6">
        <v>245500</v>
      </c>
      <c r="I784" s="6">
        <v>18206500</v>
      </c>
    </row>
    <row r="785" spans="1:9" x14ac:dyDescent="0.25">
      <c r="A785" t="s">
        <v>164</v>
      </c>
      <c r="B785" s="16" t="str">
        <f>"41281"</f>
        <v>41281</v>
      </c>
      <c r="C785" t="s">
        <v>10</v>
      </c>
      <c r="D785" t="s">
        <v>268</v>
      </c>
      <c r="E785" s="16" t="str">
        <f>"008"</f>
        <v>008</v>
      </c>
      <c r="F785" s="16">
        <v>2010</v>
      </c>
      <c r="G785" s="6">
        <v>1031700</v>
      </c>
      <c r="H785" s="6">
        <v>1031700</v>
      </c>
      <c r="I785" s="6">
        <v>0</v>
      </c>
    </row>
    <row r="786" spans="1:9" x14ac:dyDescent="0.25">
      <c r="A786" t="s">
        <v>164</v>
      </c>
      <c r="B786" s="16" t="str">
        <f>"41281"</f>
        <v>41281</v>
      </c>
      <c r="C786" t="s">
        <v>10</v>
      </c>
      <c r="D786" t="s">
        <v>268</v>
      </c>
      <c r="E786" s="16" t="str">
        <f>"009"</f>
        <v>009</v>
      </c>
      <c r="F786" s="16">
        <v>2018</v>
      </c>
      <c r="G786" s="6">
        <v>9980100</v>
      </c>
      <c r="H786" s="6">
        <v>196300</v>
      </c>
      <c r="I786" s="6">
        <v>9783800</v>
      </c>
    </row>
    <row r="787" spans="1:9" x14ac:dyDescent="0.25">
      <c r="A787" t="s">
        <v>164</v>
      </c>
      <c r="B787" s="16" t="str">
        <f>"41286"</f>
        <v>41286</v>
      </c>
      <c r="C787" t="s">
        <v>10</v>
      </c>
      <c r="D787" t="s">
        <v>269</v>
      </c>
      <c r="E787" s="16" t="str">
        <f>"008"</f>
        <v>008</v>
      </c>
      <c r="F787" s="16">
        <v>2015</v>
      </c>
      <c r="G787" s="6">
        <v>57454300</v>
      </c>
      <c r="H787" s="6">
        <v>39940700</v>
      </c>
      <c r="I787" s="6">
        <v>17513600</v>
      </c>
    </row>
    <row r="788" spans="1:9" x14ac:dyDescent="0.25">
      <c r="A788" t="s">
        <v>164</v>
      </c>
      <c r="B788" s="16" t="str">
        <f>"41286"</f>
        <v>41286</v>
      </c>
      <c r="C788" t="s">
        <v>10</v>
      </c>
      <c r="D788" t="s">
        <v>269</v>
      </c>
      <c r="E788" s="16" t="str">
        <f>"009"</f>
        <v>009</v>
      </c>
      <c r="F788" s="16">
        <v>2018</v>
      </c>
      <c r="G788" s="6">
        <v>53866300</v>
      </c>
      <c r="H788" s="6">
        <v>45249100</v>
      </c>
      <c r="I788" s="6">
        <v>8617200</v>
      </c>
    </row>
    <row r="789" spans="1:9" x14ac:dyDescent="0.25">
      <c r="A789" t="s">
        <v>164</v>
      </c>
      <c r="B789" s="16" t="str">
        <f>"41286"</f>
        <v>41286</v>
      </c>
      <c r="C789" t="s">
        <v>10</v>
      </c>
      <c r="D789" t="s">
        <v>269</v>
      </c>
      <c r="E789" s="16" t="str">
        <f>"010"</f>
        <v>010</v>
      </c>
      <c r="F789" s="16">
        <v>2018</v>
      </c>
      <c r="G789" s="6">
        <v>19901600</v>
      </c>
      <c r="H789" s="6">
        <v>1657500</v>
      </c>
      <c r="I789" s="6">
        <v>18244100</v>
      </c>
    </row>
    <row r="790" spans="1:9" x14ac:dyDescent="0.25">
      <c r="A790" t="s">
        <v>164</v>
      </c>
      <c r="B790" s="16" t="str">
        <f>"41185"</f>
        <v>41185</v>
      </c>
      <c r="C790" t="s">
        <v>11</v>
      </c>
      <c r="D790" t="s">
        <v>270</v>
      </c>
      <c r="E790" s="16" t="str">
        <f>"001"</f>
        <v>001</v>
      </c>
      <c r="F790" s="16">
        <v>1998</v>
      </c>
      <c r="G790" s="6">
        <v>52545600</v>
      </c>
      <c r="H790" s="6">
        <v>8113400</v>
      </c>
      <c r="I790" s="6">
        <v>44432200</v>
      </c>
    </row>
    <row r="791" spans="1:9" x14ac:dyDescent="0.25">
      <c r="A791" t="s">
        <v>164</v>
      </c>
      <c r="B791" s="16" t="str">
        <f>"41191"</f>
        <v>41191</v>
      </c>
      <c r="C791" t="s">
        <v>11</v>
      </c>
      <c r="D791" t="s">
        <v>271</v>
      </c>
      <c r="E791" s="16" t="str">
        <f>"002"</f>
        <v>002</v>
      </c>
      <c r="F791" s="16">
        <v>1998</v>
      </c>
      <c r="G791" s="6">
        <v>20333700</v>
      </c>
      <c r="H791" s="6">
        <v>2261500</v>
      </c>
      <c r="I791" s="6">
        <v>18072200</v>
      </c>
    </row>
    <row r="792" spans="1:9" x14ac:dyDescent="0.25">
      <c r="A792" t="s">
        <v>272</v>
      </c>
      <c r="B792" s="16" t="str">
        <f>"42231"</f>
        <v>42231</v>
      </c>
      <c r="C792" t="s">
        <v>10</v>
      </c>
      <c r="D792" t="s">
        <v>273</v>
      </c>
      <c r="E792" s="16" t="str">
        <f>"002"</f>
        <v>002</v>
      </c>
      <c r="F792" s="16">
        <v>1993</v>
      </c>
      <c r="G792" s="6">
        <v>1427200</v>
      </c>
      <c r="H792" s="6">
        <v>47700</v>
      </c>
      <c r="I792" s="6">
        <v>1379500</v>
      </c>
    </row>
    <row r="793" spans="1:9" x14ac:dyDescent="0.25">
      <c r="A793" t="s">
        <v>272</v>
      </c>
      <c r="B793" s="16" t="str">
        <f>"42231"</f>
        <v>42231</v>
      </c>
      <c r="C793" t="s">
        <v>10</v>
      </c>
      <c r="D793" t="s">
        <v>273</v>
      </c>
      <c r="E793" s="16" t="str">
        <f>"003"</f>
        <v>003</v>
      </c>
      <c r="F793" s="16">
        <v>2000</v>
      </c>
      <c r="G793" s="6">
        <v>11179200</v>
      </c>
      <c r="H793" s="6">
        <v>7370500</v>
      </c>
      <c r="I793" s="6">
        <v>3808700</v>
      </c>
    </row>
    <row r="794" spans="1:9" x14ac:dyDescent="0.25">
      <c r="A794" t="s">
        <v>272</v>
      </c>
      <c r="B794" s="16" t="str">
        <f>"42146"</f>
        <v>42146</v>
      </c>
      <c r="C794" t="s">
        <v>11</v>
      </c>
      <c r="D794" t="s">
        <v>274</v>
      </c>
      <c r="E794" s="16" t="str">
        <f>"001"</f>
        <v>001</v>
      </c>
      <c r="F794" s="16">
        <v>2020</v>
      </c>
      <c r="G794" s="6">
        <v>780100</v>
      </c>
      <c r="H794" s="6">
        <v>184700</v>
      </c>
      <c r="I794" s="6">
        <v>595400</v>
      </c>
    </row>
    <row r="795" spans="1:9" x14ac:dyDescent="0.25">
      <c r="A795" t="s">
        <v>272</v>
      </c>
      <c r="B795" s="16" t="str">
        <f>"42265"</f>
        <v>42265</v>
      </c>
      <c r="C795" t="s">
        <v>10</v>
      </c>
      <c r="D795" t="s">
        <v>272</v>
      </c>
      <c r="E795" s="16" t="str">
        <f>"003"</f>
        <v>003</v>
      </c>
      <c r="F795" s="16">
        <v>2007</v>
      </c>
      <c r="G795" s="6">
        <v>15047400</v>
      </c>
      <c r="H795" s="6">
        <v>13416200</v>
      </c>
      <c r="I795" s="6">
        <v>1631200</v>
      </c>
    </row>
    <row r="796" spans="1:9" x14ac:dyDescent="0.25">
      <c r="A796" t="s">
        <v>272</v>
      </c>
      <c r="B796" s="16" t="str">
        <f>"42265"</f>
        <v>42265</v>
      </c>
      <c r="C796" t="s">
        <v>10</v>
      </c>
      <c r="D796" t="s">
        <v>272</v>
      </c>
      <c r="E796" s="16" t="str">
        <f>"004"</f>
        <v>004</v>
      </c>
      <c r="F796" s="16">
        <v>2010</v>
      </c>
      <c r="G796" s="6">
        <v>8656300</v>
      </c>
      <c r="H796" s="6">
        <v>1428600</v>
      </c>
      <c r="I796" s="6">
        <v>7227700</v>
      </c>
    </row>
    <row r="797" spans="1:9" x14ac:dyDescent="0.25">
      <c r="A797" t="s">
        <v>272</v>
      </c>
      <c r="B797" s="16" t="str">
        <f>"42181"</f>
        <v>42181</v>
      </c>
      <c r="C797" t="s">
        <v>11</v>
      </c>
      <c r="D797" t="s">
        <v>275</v>
      </c>
      <c r="E797" s="16" t="str">
        <f>"001"</f>
        <v>001</v>
      </c>
      <c r="F797" s="16">
        <v>2000</v>
      </c>
      <c r="G797" s="6">
        <v>2970500</v>
      </c>
      <c r="H797" s="6">
        <v>1449235</v>
      </c>
      <c r="I797" s="6">
        <v>1521265</v>
      </c>
    </row>
    <row r="798" spans="1:9" x14ac:dyDescent="0.25">
      <c r="A798" t="s">
        <v>276</v>
      </c>
      <c r="B798" s="16" t="str">
        <f t="shared" ref="B798:B803" si="33">"43276"</f>
        <v>43276</v>
      </c>
      <c r="C798" t="s">
        <v>10</v>
      </c>
      <c r="D798" t="s">
        <v>277</v>
      </c>
      <c r="E798" s="16" t="str">
        <f>"001E"</f>
        <v>001E</v>
      </c>
      <c r="F798" s="16">
        <v>2005</v>
      </c>
      <c r="G798" s="6">
        <v>5634400</v>
      </c>
      <c r="H798" s="6">
        <v>1147700</v>
      </c>
      <c r="I798" s="6">
        <v>4486700</v>
      </c>
    </row>
    <row r="799" spans="1:9" x14ac:dyDescent="0.25">
      <c r="A799" t="s">
        <v>276</v>
      </c>
      <c r="B799" s="16" t="str">
        <f t="shared" si="33"/>
        <v>43276</v>
      </c>
      <c r="C799" t="s">
        <v>10</v>
      </c>
      <c r="D799" t="s">
        <v>277</v>
      </c>
      <c r="E799" s="16" t="str">
        <f>"005"</f>
        <v>005</v>
      </c>
      <c r="F799" s="16">
        <v>2000</v>
      </c>
      <c r="G799" s="6">
        <v>1583900</v>
      </c>
      <c r="H799" s="6">
        <v>966800</v>
      </c>
      <c r="I799" s="6">
        <v>617100</v>
      </c>
    </row>
    <row r="800" spans="1:9" x14ac:dyDescent="0.25">
      <c r="A800" t="s">
        <v>276</v>
      </c>
      <c r="B800" s="16" t="str">
        <f t="shared" si="33"/>
        <v>43276</v>
      </c>
      <c r="C800" t="s">
        <v>10</v>
      </c>
      <c r="D800" t="s">
        <v>277</v>
      </c>
      <c r="E800" s="16" t="str">
        <f>"006"</f>
        <v>006</v>
      </c>
      <c r="F800" s="16">
        <v>2002</v>
      </c>
      <c r="G800" s="6">
        <v>11472700</v>
      </c>
      <c r="H800" s="6">
        <v>10983800</v>
      </c>
      <c r="I800" s="6">
        <v>488900</v>
      </c>
    </row>
    <row r="801" spans="1:9" x14ac:dyDescent="0.25">
      <c r="A801" t="s">
        <v>276</v>
      </c>
      <c r="B801" s="16" t="str">
        <f t="shared" si="33"/>
        <v>43276</v>
      </c>
      <c r="C801" t="s">
        <v>10</v>
      </c>
      <c r="D801" t="s">
        <v>277</v>
      </c>
      <c r="E801" s="16" t="str">
        <f>"008"</f>
        <v>008</v>
      </c>
      <c r="F801" s="16">
        <v>2010</v>
      </c>
      <c r="G801" s="6">
        <v>46072900</v>
      </c>
      <c r="H801" s="6">
        <v>49192200</v>
      </c>
      <c r="I801" s="6">
        <v>-3119300</v>
      </c>
    </row>
    <row r="802" spans="1:9" x14ac:dyDescent="0.25">
      <c r="A802" t="s">
        <v>276</v>
      </c>
      <c r="B802" s="16" t="str">
        <f t="shared" si="33"/>
        <v>43276</v>
      </c>
      <c r="C802" t="s">
        <v>10</v>
      </c>
      <c r="D802" t="s">
        <v>277</v>
      </c>
      <c r="E802" s="16" t="str">
        <f>"009"</f>
        <v>009</v>
      </c>
      <c r="F802" s="16">
        <v>2012</v>
      </c>
      <c r="G802" s="6">
        <v>25600400</v>
      </c>
      <c r="H802" s="6">
        <v>4900</v>
      </c>
      <c r="I802" s="6">
        <v>25595500</v>
      </c>
    </row>
    <row r="803" spans="1:9" x14ac:dyDescent="0.25">
      <c r="A803" t="s">
        <v>276</v>
      </c>
      <c r="B803" s="16" t="str">
        <f t="shared" si="33"/>
        <v>43276</v>
      </c>
      <c r="C803" t="s">
        <v>10</v>
      </c>
      <c r="D803" t="s">
        <v>277</v>
      </c>
      <c r="E803" s="16" t="str">
        <f>"010"</f>
        <v>010</v>
      </c>
      <c r="F803" s="16">
        <v>2013</v>
      </c>
      <c r="G803" s="6">
        <v>9736600</v>
      </c>
      <c r="H803" s="6">
        <v>5791100</v>
      </c>
      <c r="I803" s="6">
        <v>3945500</v>
      </c>
    </row>
    <row r="804" spans="1:9" x14ac:dyDescent="0.25">
      <c r="A804" t="s">
        <v>278</v>
      </c>
      <c r="B804" s="16" t="str">
        <f t="shared" ref="B804:B809" si="34">"44201"</f>
        <v>44201</v>
      </c>
      <c r="C804" t="s">
        <v>10</v>
      </c>
      <c r="D804" t="s">
        <v>50</v>
      </c>
      <c r="E804" s="16" t="str">
        <f>"003"</f>
        <v>003</v>
      </c>
      <c r="F804" s="16">
        <v>1993</v>
      </c>
      <c r="G804" s="6">
        <v>68263300</v>
      </c>
      <c r="H804" s="6">
        <v>12128100</v>
      </c>
      <c r="I804" s="6">
        <v>56135200</v>
      </c>
    </row>
    <row r="805" spans="1:9" x14ac:dyDescent="0.25">
      <c r="A805" t="s">
        <v>278</v>
      </c>
      <c r="B805" s="16" t="str">
        <f t="shared" si="34"/>
        <v>44201</v>
      </c>
      <c r="C805" t="s">
        <v>10</v>
      </c>
      <c r="D805" t="s">
        <v>50</v>
      </c>
      <c r="E805" s="16" t="str">
        <f>"008"</f>
        <v>008</v>
      </c>
      <c r="F805" s="16">
        <v>2009</v>
      </c>
      <c r="G805" s="6">
        <v>91737600</v>
      </c>
      <c r="H805" s="6">
        <v>6135100</v>
      </c>
      <c r="I805" s="6">
        <v>85602500</v>
      </c>
    </row>
    <row r="806" spans="1:9" x14ac:dyDescent="0.25">
      <c r="A806" t="s">
        <v>278</v>
      </c>
      <c r="B806" s="16" t="str">
        <f t="shared" si="34"/>
        <v>44201</v>
      </c>
      <c r="C806" t="s">
        <v>10</v>
      </c>
      <c r="D806" t="s">
        <v>50</v>
      </c>
      <c r="E806" s="16" t="str">
        <f>"009"</f>
        <v>009</v>
      </c>
      <c r="F806" s="16">
        <v>2013</v>
      </c>
      <c r="G806" s="6">
        <v>22202700</v>
      </c>
      <c r="H806" s="6">
        <v>21512900</v>
      </c>
      <c r="I806" s="6">
        <v>689800</v>
      </c>
    </row>
    <row r="807" spans="1:9" x14ac:dyDescent="0.25">
      <c r="A807" t="s">
        <v>278</v>
      </c>
      <c r="B807" s="16" t="str">
        <f t="shared" si="34"/>
        <v>44201</v>
      </c>
      <c r="C807" t="s">
        <v>10</v>
      </c>
      <c r="D807" t="s">
        <v>50</v>
      </c>
      <c r="E807" s="16" t="str">
        <f>"010"</f>
        <v>010</v>
      </c>
      <c r="F807" s="16">
        <v>2013</v>
      </c>
      <c r="G807" s="6">
        <v>21946300</v>
      </c>
      <c r="H807" s="6">
        <v>24543900</v>
      </c>
      <c r="I807" s="6">
        <v>-2597600</v>
      </c>
    </row>
    <row r="808" spans="1:9" x14ac:dyDescent="0.25">
      <c r="A808" t="s">
        <v>278</v>
      </c>
      <c r="B808" s="16" t="str">
        <f t="shared" si="34"/>
        <v>44201</v>
      </c>
      <c r="C808" t="s">
        <v>10</v>
      </c>
      <c r="D808" t="s">
        <v>50</v>
      </c>
      <c r="E808" s="16" t="str">
        <f>"011"</f>
        <v>011</v>
      </c>
      <c r="F808" s="16">
        <v>2017</v>
      </c>
      <c r="G808" s="6">
        <v>122753700</v>
      </c>
      <c r="H808" s="6">
        <v>92067800</v>
      </c>
      <c r="I808" s="6">
        <v>30685900</v>
      </c>
    </row>
    <row r="809" spans="1:9" x14ac:dyDescent="0.25">
      <c r="A809" t="s">
        <v>278</v>
      </c>
      <c r="B809" s="16" t="str">
        <f t="shared" si="34"/>
        <v>44201</v>
      </c>
      <c r="C809" t="s">
        <v>10</v>
      </c>
      <c r="D809" t="s">
        <v>50</v>
      </c>
      <c r="E809" s="16" t="str">
        <f>"012"</f>
        <v>012</v>
      </c>
      <c r="F809" s="16">
        <v>2017</v>
      </c>
      <c r="G809" s="6">
        <v>29733400</v>
      </c>
      <c r="H809" s="6">
        <v>22974900</v>
      </c>
      <c r="I809" s="6">
        <v>6758500</v>
      </c>
    </row>
    <row r="810" spans="1:9" x14ac:dyDescent="0.25">
      <c r="A810" t="s">
        <v>278</v>
      </c>
      <c r="B810" s="16" t="str">
        <f>"44111"</f>
        <v>44111</v>
      </c>
      <c r="C810" t="s">
        <v>11</v>
      </c>
      <c r="D810" t="s">
        <v>279</v>
      </c>
      <c r="E810" s="16" t="str">
        <f>"002"</f>
        <v>002</v>
      </c>
      <c r="F810" s="16">
        <v>2015</v>
      </c>
      <c r="G810" s="6">
        <v>14131200</v>
      </c>
      <c r="H810" s="6">
        <v>15736800</v>
      </c>
      <c r="I810" s="6">
        <v>-1605600</v>
      </c>
    </row>
    <row r="811" spans="1:9" x14ac:dyDescent="0.25">
      <c r="A811" t="s">
        <v>278</v>
      </c>
      <c r="B811" s="16" t="str">
        <f>"44111"</f>
        <v>44111</v>
      </c>
      <c r="C811" t="s">
        <v>11</v>
      </c>
      <c r="D811" t="s">
        <v>279</v>
      </c>
      <c r="E811" s="16" t="str">
        <f>"003"</f>
        <v>003</v>
      </c>
      <c r="F811" s="16">
        <v>2019</v>
      </c>
      <c r="G811" s="6">
        <v>4879000</v>
      </c>
      <c r="H811" s="6">
        <v>76000</v>
      </c>
      <c r="I811" s="6">
        <v>4803000</v>
      </c>
    </row>
    <row r="812" spans="1:9" x14ac:dyDescent="0.25">
      <c r="A812" t="s">
        <v>278</v>
      </c>
      <c r="B812" s="16" t="str">
        <f>"44018"</f>
        <v>44018</v>
      </c>
      <c r="C812" t="s">
        <v>13</v>
      </c>
      <c r="D812" t="s">
        <v>280</v>
      </c>
      <c r="E812" s="16" t="str">
        <f>"001A"</f>
        <v>001A</v>
      </c>
      <c r="F812" s="16">
        <v>2016</v>
      </c>
      <c r="G812" s="6">
        <v>8053300</v>
      </c>
      <c r="H812" s="6">
        <v>1993600</v>
      </c>
      <c r="I812" s="6">
        <v>6059700</v>
      </c>
    </row>
    <row r="813" spans="1:9" x14ac:dyDescent="0.25">
      <c r="A813" t="s">
        <v>278</v>
      </c>
      <c r="B813" s="16" t="str">
        <f>"44018"</f>
        <v>44018</v>
      </c>
      <c r="C813" t="s">
        <v>13</v>
      </c>
      <c r="D813" t="s">
        <v>280</v>
      </c>
      <c r="E813" s="16" t="str">
        <f>"002A"</f>
        <v>002A</v>
      </c>
      <c r="F813" s="16">
        <v>2017</v>
      </c>
      <c r="G813" s="6">
        <v>27968200</v>
      </c>
      <c r="H813" s="6">
        <v>11728400</v>
      </c>
      <c r="I813" s="6">
        <v>16239800</v>
      </c>
    </row>
    <row r="814" spans="1:9" x14ac:dyDescent="0.25">
      <c r="A814" t="s">
        <v>278</v>
      </c>
      <c r="B814" s="16" t="str">
        <f>"44020"</f>
        <v>44020</v>
      </c>
      <c r="C814" t="s">
        <v>13</v>
      </c>
      <c r="D814" t="s">
        <v>281</v>
      </c>
      <c r="E814" s="16" t="str">
        <f>"001A"</f>
        <v>001A</v>
      </c>
      <c r="F814" s="16">
        <v>2015</v>
      </c>
      <c r="G814" s="6">
        <v>18010900</v>
      </c>
      <c r="H814" s="6">
        <v>7700</v>
      </c>
      <c r="I814" s="6">
        <v>18003200</v>
      </c>
    </row>
    <row r="815" spans="1:9" x14ac:dyDescent="0.25">
      <c r="A815" t="s">
        <v>278</v>
      </c>
      <c r="B815" s="16" t="str">
        <f>"44020"</f>
        <v>44020</v>
      </c>
      <c r="C815" t="s">
        <v>13</v>
      </c>
      <c r="D815" t="s">
        <v>281</v>
      </c>
      <c r="E815" s="16" t="str">
        <f>"002A"</f>
        <v>002A</v>
      </c>
      <c r="F815" s="16">
        <v>2016</v>
      </c>
      <c r="G815" s="6">
        <v>61838600</v>
      </c>
      <c r="H815" s="6">
        <v>17214400</v>
      </c>
      <c r="I815" s="6">
        <v>44624200</v>
      </c>
    </row>
    <row r="816" spans="1:9" x14ac:dyDescent="0.25">
      <c r="A816" t="s">
        <v>278</v>
      </c>
      <c r="B816" s="16" t="str">
        <f>"44020"</f>
        <v>44020</v>
      </c>
      <c r="C816" t="s">
        <v>13</v>
      </c>
      <c r="D816" t="s">
        <v>281</v>
      </c>
      <c r="E816" s="16" t="str">
        <f>"003A"</f>
        <v>003A</v>
      </c>
      <c r="F816" s="16">
        <v>2017</v>
      </c>
      <c r="G816" s="6">
        <v>39648000</v>
      </c>
      <c r="H816" s="6">
        <v>14733400</v>
      </c>
      <c r="I816" s="6">
        <v>24914600</v>
      </c>
    </row>
    <row r="817" spans="1:9" x14ac:dyDescent="0.25">
      <c r="A817" t="s">
        <v>278</v>
      </c>
      <c r="B817" s="16" t="str">
        <f>"44020"</f>
        <v>44020</v>
      </c>
      <c r="C817" t="s">
        <v>13</v>
      </c>
      <c r="D817" t="s">
        <v>281</v>
      </c>
      <c r="E817" s="16" t="str">
        <f>"004A"</f>
        <v>004A</v>
      </c>
      <c r="F817" s="16">
        <v>2018</v>
      </c>
      <c r="G817" s="6">
        <v>16031700</v>
      </c>
      <c r="H817" s="6">
        <v>3676100</v>
      </c>
      <c r="I817" s="6">
        <v>12355600</v>
      </c>
    </row>
    <row r="818" spans="1:9" x14ac:dyDescent="0.25">
      <c r="A818" t="s">
        <v>278</v>
      </c>
      <c r="B818" s="16" t="str">
        <f>"44122"</f>
        <v>44122</v>
      </c>
      <c r="C818" t="s">
        <v>11</v>
      </c>
      <c r="D818" t="s">
        <v>282</v>
      </c>
      <c r="E818" s="16" t="str">
        <f>"001"</f>
        <v>001</v>
      </c>
      <c r="F818" s="16">
        <v>2017</v>
      </c>
      <c r="G818" s="6">
        <v>27585700</v>
      </c>
      <c r="H818" s="6">
        <v>11510500</v>
      </c>
      <c r="I818" s="6">
        <v>16075200</v>
      </c>
    </row>
    <row r="819" spans="1:9" x14ac:dyDescent="0.25">
      <c r="A819" t="s">
        <v>278</v>
      </c>
      <c r="B819" s="16" t="str">
        <f>"44136"</f>
        <v>44136</v>
      </c>
      <c r="C819" t="s">
        <v>11</v>
      </c>
      <c r="D819" t="s">
        <v>283</v>
      </c>
      <c r="E819" s="16" t="str">
        <f>"003"</f>
        <v>003</v>
      </c>
      <c r="F819" s="16">
        <v>2013</v>
      </c>
      <c r="G819" s="6">
        <v>6996300</v>
      </c>
      <c r="H819" s="6">
        <v>487700</v>
      </c>
      <c r="I819" s="6">
        <v>6508600</v>
      </c>
    </row>
    <row r="820" spans="1:9" x14ac:dyDescent="0.25">
      <c r="A820" t="s">
        <v>278</v>
      </c>
      <c r="B820" s="16" t="str">
        <f>"44136"</f>
        <v>44136</v>
      </c>
      <c r="C820" t="s">
        <v>11</v>
      </c>
      <c r="D820" t="s">
        <v>283</v>
      </c>
      <c r="E820" s="16" t="str">
        <f>"004"</f>
        <v>004</v>
      </c>
      <c r="F820" s="16">
        <v>2017</v>
      </c>
      <c r="G820" s="6">
        <v>4118100</v>
      </c>
      <c r="H820" s="6">
        <v>510300</v>
      </c>
      <c r="I820" s="6">
        <v>3607800</v>
      </c>
    </row>
    <row r="821" spans="1:9" x14ac:dyDescent="0.25">
      <c r="A821" t="s">
        <v>278</v>
      </c>
      <c r="B821" s="16" t="str">
        <f>"44136"</f>
        <v>44136</v>
      </c>
      <c r="C821" t="s">
        <v>11</v>
      </c>
      <c r="D821" t="s">
        <v>283</v>
      </c>
      <c r="E821" s="16" t="str">
        <f>"005"</f>
        <v>005</v>
      </c>
      <c r="F821" s="16">
        <v>2017</v>
      </c>
      <c r="G821" s="6">
        <v>550000</v>
      </c>
      <c r="H821" s="6">
        <v>522700</v>
      </c>
      <c r="I821" s="6">
        <v>27300</v>
      </c>
    </row>
    <row r="822" spans="1:9" x14ac:dyDescent="0.25">
      <c r="A822" t="s">
        <v>278</v>
      </c>
      <c r="B822" s="16" t="str">
        <f t="shared" ref="B822:B828" si="35">"44241"</f>
        <v>44241</v>
      </c>
      <c r="C822" t="s">
        <v>10</v>
      </c>
      <c r="D822" t="s">
        <v>284</v>
      </c>
      <c r="E822" s="16" t="str">
        <f>"001E"</f>
        <v>001E</v>
      </c>
      <c r="F822" s="16">
        <v>2005</v>
      </c>
      <c r="G822" s="6">
        <v>4595000</v>
      </c>
      <c r="H822" s="6">
        <v>32800</v>
      </c>
      <c r="I822" s="6">
        <v>4562200</v>
      </c>
    </row>
    <row r="823" spans="1:9" x14ac:dyDescent="0.25">
      <c r="A823" t="s">
        <v>278</v>
      </c>
      <c r="B823" s="16" t="str">
        <f t="shared" si="35"/>
        <v>44241</v>
      </c>
      <c r="C823" t="s">
        <v>10</v>
      </c>
      <c r="D823" t="s">
        <v>284</v>
      </c>
      <c r="E823" s="16" t="str">
        <f>"004"</f>
        <v>004</v>
      </c>
      <c r="F823" s="16">
        <v>2000</v>
      </c>
      <c r="G823" s="6">
        <v>22326400</v>
      </c>
      <c r="H823" s="6">
        <v>16049300</v>
      </c>
      <c r="I823" s="6">
        <v>6277100</v>
      </c>
    </row>
    <row r="824" spans="1:9" x14ac:dyDescent="0.25">
      <c r="A824" t="s">
        <v>278</v>
      </c>
      <c r="B824" s="16" t="str">
        <f t="shared" si="35"/>
        <v>44241</v>
      </c>
      <c r="C824" t="s">
        <v>10</v>
      </c>
      <c r="D824" t="s">
        <v>284</v>
      </c>
      <c r="E824" s="16" t="str">
        <f>"005"</f>
        <v>005</v>
      </c>
      <c r="F824" s="16">
        <v>2003</v>
      </c>
      <c r="G824" s="6">
        <v>24121400</v>
      </c>
      <c r="H824" s="6">
        <v>1077900</v>
      </c>
      <c r="I824" s="6">
        <v>23043500</v>
      </c>
    </row>
    <row r="825" spans="1:9" x14ac:dyDescent="0.25">
      <c r="A825" t="s">
        <v>278</v>
      </c>
      <c r="B825" s="16" t="str">
        <f t="shared" si="35"/>
        <v>44241</v>
      </c>
      <c r="C825" t="s">
        <v>10</v>
      </c>
      <c r="D825" t="s">
        <v>284</v>
      </c>
      <c r="E825" s="16" t="str">
        <f>"006"</f>
        <v>006</v>
      </c>
      <c r="F825" s="16">
        <v>2006</v>
      </c>
      <c r="G825" s="6">
        <v>50134400</v>
      </c>
      <c r="H825" s="6">
        <v>3151700</v>
      </c>
      <c r="I825" s="6">
        <v>46982700</v>
      </c>
    </row>
    <row r="826" spans="1:9" x14ac:dyDescent="0.25">
      <c r="A826" t="s">
        <v>278</v>
      </c>
      <c r="B826" s="16" t="str">
        <f t="shared" si="35"/>
        <v>44241</v>
      </c>
      <c r="C826" t="s">
        <v>10</v>
      </c>
      <c r="D826" t="s">
        <v>284</v>
      </c>
      <c r="E826" s="16" t="str">
        <f>"008"</f>
        <v>008</v>
      </c>
      <c r="F826" s="16">
        <v>2013</v>
      </c>
      <c r="G826" s="6">
        <v>8454300</v>
      </c>
      <c r="H826" s="6">
        <v>2571200</v>
      </c>
      <c r="I826" s="6">
        <v>5883100</v>
      </c>
    </row>
    <row r="827" spans="1:9" x14ac:dyDescent="0.25">
      <c r="A827" t="s">
        <v>278</v>
      </c>
      <c r="B827" s="16" t="str">
        <f t="shared" si="35"/>
        <v>44241</v>
      </c>
      <c r="C827" t="s">
        <v>10</v>
      </c>
      <c r="D827" t="s">
        <v>284</v>
      </c>
      <c r="E827" s="16" t="str">
        <f>"009"</f>
        <v>009</v>
      </c>
      <c r="F827" s="16">
        <v>2016</v>
      </c>
      <c r="G827" s="6">
        <v>2810700</v>
      </c>
      <c r="H827" s="6">
        <v>1306600</v>
      </c>
      <c r="I827" s="6">
        <v>1504100</v>
      </c>
    </row>
    <row r="828" spans="1:9" x14ac:dyDescent="0.25">
      <c r="A828" t="s">
        <v>278</v>
      </c>
      <c r="B828" s="16" t="str">
        <f t="shared" si="35"/>
        <v>44241</v>
      </c>
      <c r="C828" t="s">
        <v>10</v>
      </c>
      <c r="D828" t="s">
        <v>284</v>
      </c>
      <c r="E828" s="16" t="str">
        <f>"010"</f>
        <v>010</v>
      </c>
      <c r="F828" s="16">
        <v>2019</v>
      </c>
      <c r="G828" s="6">
        <v>11829400</v>
      </c>
      <c r="H828" s="6">
        <v>6852800</v>
      </c>
      <c r="I828" s="6">
        <v>4976600</v>
      </c>
    </row>
    <row r="829" spans="1:9" x14ac:dyDescent="0.25">
      <c r="A829" t="s">
        <v>278</v>
      </c>
      <c r="B829" s="16" t="str">
        <f>"44141"</f>
        <v>44141</v>
      </c>
      <c r="C829" t="s">
        <v>11</v>
      </c>
      <c r="D829" t="s">
        <v>285</v>
      </c>
      <c r="E829" s="16" t="str">
        <f>"004"</f>
        <v>004</v>
      </c>
      <c r="F829" s="16">
        <v>2005</v>
      </c>
      <c r="G829" s="6">
        <v>11709700</v>
      </c>
      <c r="H829" s="6">
        <v>778200</v>
      </c>
      <c r="I829" s="6">
        <v>10931500</v>
      </c>
    </row>
    <row r="830" spans="1:9" x14ac:dyDescent="0.25">
      <c r="A830" t="s">
        <v>278</v>
      </c>
      <c r="B830" s="16" t="str">
        <f>"44141"</f>
        <v>44141</v>
      </c>
      <c r="C830" t="s">
        <v>11</v>
      </c>
      <c r="D830" t="s">
        <v>285</v>
      </c>
      <c r="E830" s="16" t="str">
        <f>"005"</f>
        <v>005</v>
      </c>
      <c r="F830" s="16">
        <v>2008</v>
      </c>
      <c r="G830" s="6">
        <v>50486400</v>
      </c>
      <c r="H830" s="6">
        <v>11345100</v>
      </c>
      <c r="I830" s="6">
        <v>39141300</v>
      </c>
    </row>
    <row r="831" spans="1:9" x14ac:dyDescent="0.25">
      <c r="A831" t="s">
        <v>278</v>
      </c>
      <c r="B831" s="16" t="str">
        <f>"44141"</f>
        <v>44141</v>
      </c>
      <c r="C831" t="s">
        <v>11</v>
      </c>
      <c r="D831" t="s">
        <v>285</v>
      </c>
      <c r="E831" s="16" t="str">
        <f>"006"</f>
        <v>006</v>
      </c>
      <c r="F831" s="16">
        <v>2016</v>
      </c>
      <c r="G831" s="6">
        <v>90411200</v>
      </c>
      <c r="H831" s="6">
        <v>18519100</v>
      </c>
      <c r="I831" s="6">
        <v>71892100</v>
      </c>
    </row>
    <row r="832" spans="1:9" x14ac:dyDescent="0.25">
      <c r="A832" s="12" t="s">
        <v>278</v>
      </c>
      <c r="B832" s="17" t="str">
        <f>"44146"</f>
        <v>44146</v>
      </c>
      <c r="C832" s="12" t="s">
        <v>11</v>
      </c>
      <c r="D832" s="12" t="s">
        <v>286</v>
      </c>
      <c r="E832" s="17" t="str">
        <f>"004"</f>
        <v>004</v>
      </c>
      <c r="F832" s="17">
        <v>2007</v>
      </c>
      <c r="G832" s="13">
        <v>75916900</v>
      </c>
      <c r="H832" s="13">
        <v>3413400</v>
      </c>
      <c r="I832" s="13">
        <v>72503500</v>
      </c>
    </row>
    <row r="833" spans="1:11" x14ac:dyDescent="0.25">
      <c r="A833" s="12" t="s">
        <v>278</v>
      </c>
      <c r="B833" s="17" t="str">
        <f>"44146"</f>
        <v>44146</v>
      </c>
      <c r="C833" s="12" t="s">
        <v>11</v>
      </c>
      <c r="D833" s="12" t="s">
        <v>286</v>
      </c>
      <c r="E833" s="17" t="str">
        <f>"005"</f>
        <v>005</v>
      </c>
      <c r="F833" s="17">
        <v>2013</v>
      </c>
      <c r="G833" s="13">
        <v>33207400</v>
      </c>
      <c r="H833" s="13">
        <v>11735700</v>
      </c>
      <c r="I833" s="13">
        <v>21471700</v>
      </c>
    </row>
    <row r="834" spans="1:11" x14ac:dyDescent="0.25">
      <c r="A834" s="12" t="s">
        <v>278</v>
      </c>
      <c r="B834" s="17" t="str">
        <f>"44146"</f>
        <v>44146</v>
      </c>
      <c r="C834" s="12" t="s">
        <v>11</v>
      </c>
      <c r="D834" s="12" t="s">
        <v>286</v>
      </c>
      <c r="E834" s="17" t="str">
        <f>"006"</f>
        <v>006</v>
      </c>
      <c r="F834" s="17">
        <v>2016</v>
      </c>
      <c r="G834" s="13">
        <v>59838100</v>
      </c>
      <c r="H834" s="13">
        <v>2075700</v>
      </c>
      <c r="I834" s="13">
        <v>57762400</v>
      </c>
      <c r="K834" s="7"/>
    </row>
    <row r="835" spans="1:11" x14ac:dyDescent="0.25">
      <c r="A835" s="12" t="s">
        <v>278</v>
      </c>
      <c r="B835" s="17" t="str">
        <f>"44146"</f>
        <v>44146</v>
      </c>
      <c r="C835" s="12" t="s">
        <v>11</v>
      </c>
      <c r="D835" s="12" t="s">
        <v>286</v>
      </c>
      <c r="E835" s="17" t="str">
        <f>"007"</f>
        <v>007</v>
      </c>
      <c r="F835" s="17">
        <v>2018</v>
      </c>
      <c r="G835" s="13">
        <v>41340600</v>
      </c>
      <c r="H835" s="13">
        <v>3436200</v>
      </c>
      <c r="I835" s="13">
        <v>37904400</v>
      </c>
    </row>
    <row r="836" spans="1:11" x14ac:dyDescent="0.25">
      <c r="A836" s="12" t="s">
        <v>278</v>
      </c>
      <c r="B836" s="17" t="str">
        <f>"44146"</f>
        <v>44146</v>
      </c>
      <c r="C836" s="12" t="s">
        <v>11</v>
      </c>
      <c r="D836" s="12" t="s">
        <v>286</v>
      </c>
      <c r="E836" s="17" t="str">
        <f>"008"</f>
        <v>008</v>
      </c>
      <c r="F836" s="17">
        <v>2018</v>
      </c>
      <c r="G836" s="13">
        <v>2278600</v>
      </c>
      <c r="H836" s="13">
        <v>2624500</v>
      </c>
      <c r="I836" s="13">
        <v>-345900</v>
      </c>
      <c r="K836" s="7"/>
    </row>
    <row r="837" spans="1:11" x14ac:dyDescent="0.25">
      <c r="A837" t="s">
        <v>278</v>
      </c>
      <c r="B837" s="16" t="str">
        <f>"44261"</f>
        <v>44261</v>
      </c>
      <c r="C837" t="s">
        <v>10</v>
      </c>
      <c r="D837" t="s">
        <v>287</v>
      </c>
      <c r="E837" s="16" t="str">
        <f>"001E"</f>
        <v>001E</v>
      </c>
      <c r="F837" s="16">
        <v>2001</v>
      </c>
      <c r="G837" s="6">
        <v>823400</v>
      </c>
      <c r="H837" s="6">
        <v>14100</v>
      </c>
      <c r="I837" s="6">
        <v>809300</v>
      </c>
    </row>
    <row r="838" spans="1:11" x14ac:dyDescent="0.25">
      <c r="A838" t="s">
        <v>278</v>
      </c>
      <c r="B838" s="16" t="str">
        <f>"44281"</f>
        <v>44281</v>
      </c>
      <c r="C838" t="s">
        <v>10</v>
      </c>
      <c r="D838" t="s">
        <v>288</v>
      </c>
      <c r="E838" s="16" t="str">
        <f>"003"</f>
        <v>003</v>
      </c>
      <c r="F838" s="16">
        <v>2001</v>
      </c>
      <c r="G838" s="6">
        <v>26765800</v>
      </c>
      <c r="H838" s="6">
        <v>4829900</v>
      </c>
      <c r="I838" s="6">
        <v>21935900</v>
      </c>
    </row>
    <row r="839" spans="1:11" x14ac:dyDescent="0.25">
      <c r="A839" t="s">
        <v>278</v>
      </c>
      <c r="B839" s="16" t="str">
        <f>"44281"</f>
        <v>44281</v>
      </c>
      <c r="C839" t="s">
        <v>10</v>
      </c>
      <c r="D839" t="s">
        <v>288</v>
      </c>
      <c r="E839" s="16" t="str">
        <f>"004"</f>
        <v>004</v>
      </c>
      <c r="F839" s="16">
        <v>2011</v>
      </c>
      <c r="G839" s="6">
        <v>10821400</v>
      </c>
      <c r="H839" s="6">
        <v>5657100</v>
      </c>
      <c r="I839" s="6">
        <v>5164300</v>
      </c>
    </row>
    <row r="840" spans="1:11" x14ac:dyDescent="0.25">
      <c r="A840" t="s">
        <v>278</v>
      </c>
      <c r="B840" s="16" t="str">
        <f>"44191"</f>
        <v>44191</v>
      </c>
      <c r="C840" t="s">
        <v>11</v>
      </c>
      <c r="D840" t="s">
        <v>40</v>
      </c>
      <c r="E840" s="16" t="str">
        <f>"003"</f>
        <v>003</v>
      </c>
      <c r="F840" s="16">
        <v>2015</v>
      </c>
      <c r="G840" s="6">
        <v>42902800</v>
      </c>
      <c r="H840" s="6">
        <v>1794100</v>
      </c>
      <c r="I840" s="6">
        <v>41108700</v>
      </c>
    </row>
    <row r="841" spans="1:11" x14ac:dyDescent="0.25">
      <c r="A841" t="s">
        <v>278</v>
      </c>
      <c r="B841" s="16" t="str">
        <f>"44191"</f>
        <v>44191</v>
      </c>
      <c r="C841" t="s">
        <v>11</v>
      </c>
      <c r="D841" t="s">
        <v>40</v>
      </c>
      <c r="E841" s="16" t="str">
        <f>"004"</f>
        <v>004</v>
      </c>
      <c r="F841" s="16">
        <v>2016</v>
      </c>
      <c r="G841" s="6">
        <v>1262900</v>
      </c>
      <c r="H841" s="6">
        <v>1087500</v>
      </c>
      <c r="I841" s="6">
        <v>175400</v>
      </c>
    </row>
    <row r="842" spans="1:11" x14ac:dyDescent="0.25">
      <c r="A842" t="s">
        <v>289</v>
      </c>
      <c r="B842" s="16" t="str">
        <f>"45106"</f>
        <v>45106</v>
      </c>
      <c r="C842" t="s">
        <v>11</v>
      </c>
      <c r="D842" t="s">
        <v>290</v>
      </c>
      <c r="E842" s="16" t="str">
        <f>"004"</f>
        <v>004</v>
      </c>
      <c r="F842" s="16">
        <v>1995</v>
      </c>
      <c r="G842" s="6">
        <v>50404800</v>
      </c>
      <c r="H842" s="6">
        <v>424900</v>
      </c>
      <c r="I842" s="6">
        <v>49979900</v>
      </c>
    </row>
    <row r="843" spans="1:11" x14ac:dyDescent="0.25">
      <c r="A843" t="s">
        <v>289</v>
      </c>
      <c r="B843" s="16" t="str">
        <f>"45211"</f>
        <v>45211</v>
      </c>
      <c r="C843" t="s">
        <v>10</v>
      </c>
      <c r="D843" t="s">
        <v>291</v>
      </c>
      <c r="E843" s="16" t="str">
        <f>"003"</f>
        <v>003</v>
      </c>
      <c r="F843" s="16">
        <v>2015</v>
      </c>
      <c r="G843" s="6">
        <v>779200</v>
      </c>
      <c r="H843" s="6">
        <v>282500</v>
      </c>
      <c r="I843" s="6">
        <v>496700</v>
      </c>
    </row>
    <row r="844" spans="1:11" x14ac:dyDescent="0.25">
      <c r="A844" t="s">
        <v>289</v>
      </c>
      <c r="B844" s="16" t="str">
        <f>"45211"</f>
        <v>45211</v>
      </c>
      <c r="C844" t="s">
        <v>10</v>
      </c>
      <c r="D844" t="s">
        <v>291</v>
      </c>
      <c r="E844" s="16" t="str">
        <f>"004"</f>
        <v>004</v>
      </c>
      <c r="F844" s="16">
        <v>2018</v>
      </c>
      <c r="G844" s="6">
        <v>334200</v>
      </c>
      <c r="H844" s="6">
        <v>600</v>
      </c>
      <c r="I844" s="6">
        <v>333600</v>
      </c>
    </row>
    <row r="845" spans="1:11" x14ac:dyDescent="0.25">
      <c r="A845" t="s">
        <v>289</v>
      </c>
      <c r="B845" s="16" t="str">
        <f>"45211"</f>
        <v>45211</v>
      </c>
      <c r="C845" t="s">
        <v>10</v>
      </c>
      <c r="D845" t="s">
        <v>291</v>
      </c>
      <c r="E845" s="16" t="str">
        <f>"005"</f>
        <v>005</v>
      </c>
      <c r="F845" s="16">
        <v>2018</v>
      </c>
      <c r="G845" s="6">
        <v>14880800</v>
      </c>
      <c r="H845" s="6">
        <v>934200</v>
      </c>
      <c r="I845" s="6">
        <v>13946600</v>
      </c>
    </row>
    <row r="846" spans="1:11" x14ac:dyDescent="0.25">
      <c r="A846" t="s">
        <v>289</v>
      </c>
      <c r="B846" s="16" t="str">
        <f>"45211"</f>
        <v>45211</v>
      </c>
      <c r="C846" t="s">
        <v>10</v>
      </c>
      <c r="D846" t="s">
        <v>291</v>
      </c>
      <c r="E846" s="16" t="str">
        <f>"006"</f>
        <v>006</v>
      </c>
      <c r="F846" s="16">
        <v>2020</v>
      </c>
      <c r="G846" s="6">
        <v>1315100</v>
      </c>
      <c r="H846" s="6">
        <v>0</v>
      </c>
      <c r="I846" s="6">
        <v>1315100</v>
      </c>
    </row>
    <row r="847" spans="1:11" x14ac:dyDescent="0.25">
      <c r="A847" t="s">
        <v>289</v>
      </c>
      <c r="B847" s="16" t="str">
        <f>"45131"</f>
        <v>45131</v>
      </c>
      <c r="C847" t="s">
        <v>11</v>
      </c>
      <c r="D847" t="s">
        <v>292</v>
      </c>
      <c r="E847" s="16" t="str">
        <f>"003"</f>
        <v>003</v>
      </c>
      <c r="F847" s="16">
        <v>1999</v>
      </c>
      <c r="G847" s="6">
        <v>82514200</v>
      </c>
      <c r="H847" s="6">
        <v>21039900</v>
      </c>
      <c r="I847" s="6">
        <v>61474300</v>
      </c>
    </row>
    <row r="848" spans="1:11" x14ac:dyDescent="0.25">
      <c r="A848" t="s">
        <v>289</v>
      </c>
      <c r="B848" s="16" t="str">
        <f>"45131"</f>
        <v>45131</v>
      </c>
      <c r="C848" t="s">
        <v>11</v>
      </c>
      <c r="D848" t="s">
        <v>292</v>
      </c>
      <c r="E848" s="16" t="str">
        <f>"004"</f>
        <v>004</v>
      </c>
      <c r="F848" s="16">
        <v>2004</v>
      </c>
      <c r="G848" s="6">
        <v>102230100</v>
      </c>
      <c r="H848" s="6">
        <v>47847400</v>
      </c>
      <c r="I848" s="6">
        <v>54382700</v>
      </c>
    </row>
    <row r="849" spans="1:9" x14ac:dyDescent="0.25">
      <c r="A849" t="s">
        <v>289</v>
      </c>
      <c r="B849" s="16" t="str">
        <f>"45131"</f>
        <v>45131</v>
      </c>
      <c r="C849" t="s">
        <v>11</v>
      </c>
      <c r="D849" t="s">
        <v>292</v>
      </c>
      <c r="E849" s="16" t="str">
        <f>"005"</f>
        <v>005</v>
      </c>
      <c r="F849" s="16">
        <v>2006</v>
      </c>
      <c r="G849" s="6">
        <v>54826000</v>
      </c>
      <c r="H849" s="6">
        <v>493500</v>
      </c>
      <c r="I849" s="6">
        <v>54332500</v>
      </c>
    </row>
    <row r="850" spans="1:9" x14ac:dyDescent="0.25">
      <c r="A850" t="s">
        <v>289</v>
      </c>
      <c r="B850" s="16" t="str">
        <f>"45255"</f>
        <v>45255</v>
      </c>
      <c r="C850" t="s">
        <v>10</v>
      </c>
      <c r="D850" t="s">
        <v>293</v>
      </c>
      <c r="E850" s="16" t="str">
        <f>"002"</f>
        <v>002</v>
      </c>
      <c r="F850" s="16">
        <v>2002</v>
      </c>
      <c r="G850" s="6">
        <v>26828100</v>
      </c>
      <c r="H850" s="6">
        <v>5911600</v>
      </c>
      <c r="I850" s="6">
        <v>20916500</v>
      </c>
    </row>
    <row r="851" spans="1:9" x14ac:dyDescent="0.25">
      <c r="A851" t="s">
        <v>289</v>
      </c>
      <c r="B851" s="16" t="str">
        <f>"45255"</f>
        <v>45255</v>
      </c>
      <c r="C851" t="s">
        <v>10</v>
      </c>
      <c r="D851" t="s">
        <v>293</v>
      </c>
      <c r="E851" s="16" t="str">
        <f>"003"</f>
        <v>003</v>
      </c>
      <c r="F851" s="16">
        <v>2008</v>
      </c>
      <c r="G851" s="6">
        <v>164183700</v>
      </c>
      <c r="H851" s="6">
        <v>41330300</v>
      </c>
      <c r="I851" s="6">
        <v>122853400</v>
      </c>
    </row>
    <row r="852" spans="1:9" x14ac:dyDescent="0.25">
      <c r="A852" t="s">
        <v>289</v>
      </c>
      <c r="B852" s="16" t="str">
        <f>"45255"</f>
        <v>45255</v>
      </c>
      <c r="C852" t="s">
        <v>10</v>
      </c>
      <c r="D852" t="s">
        <v>293</v>
      </c>
      <c r="E852" s="16" t="str">
        <f>"004"</f>
        <v>004</v>
      </c>
      <c r="F852" s="16">
        <v>2012</v>
      </c>
      <c r="G852" s="6">
        <v>52007400</v>
      </c>
      <c r="H852" s="6">
        <v>41872200</v>
      </c>
      <c r="I852" s="6">
        <v>10135200</v>
      </c>
    </row>
    <row r="853" spans="1:9" x14ac:dyDescent="0.25">
      <c r="A853" t="s">
        <v>289</v>
      </c>
      <c r="B853" s="16" t="str">
        <f>"45255"</f>
        <v>45255</v>
      </c>
      <c r="C853" t="s">
        <v>10</v>
      </c>
      <c r="D853" t="s">
        <v>293</v>
      </c>
      <c r="E853" s="16" t="str">
        <f>"005"</f>
        <v>005</v>
      </c>
      <c r="F853" s="16">
        <v>2012</v>
      </c>
      <c r="G853" s="6">
        <v>65694200</v>
      </c>
      <c r="H853" s="6">
        <v>51186900</v>
      </c>
      <c r="I853" s="6">
        <v>14507300</v>
      </c>
    </row>
    <row r="854" spans="1:9" x14ac:dyDescent="0.25">
      <c r="A854" t="s">
        <v>289</v>
      </c>
      <c r="B854" s="16" t="str">
        <f>"45271"</f>
        <v>45271</v>
      </c>
      <c r="C854" t="s">
        <v>10</v>
      </c>
      <c r="D854" t="s">
        <v>294</v>
      </c>
      <c r="E854" s="16" t="str">
        <f>"002"</f>
        <v>002</v>
      </c>
      <c r="F854" s="16">
        <v>2010</v>
      </c>
      <c r="G854" s="6">
        <v>38270200</v>
      </c>
      <c r="H854" s="6">
        <v>14787800</v>
      </c>
      <c r="I854" s="6">
        <v>23482400</v>
      </c>
    </row>
    <row r="855" spans="1:9" x14ac:dyDescent="0.25">
      <c r="A855" t="s">
        <v>289</v>
      </c>
      <c r="B855" s="16" t="str">
        <f>"45271"</f>
        <v>45271</v>
      </c>
      <c r="C855" t="s">
        <v>10</v>
      </c>
      <c r="D855" t="s">
        <v>294</v>
      </c>
      <c r="E855" s="16" t="str">
        <f>"003"</f>
        <v>003</v>
      </c>
      <c r="F855" s="16">
        <v>2015</v>
      </c>
      <c r="G855" s="6">
        <v>11473000</v>
      </c>
      <c r="H855" s="6">
        <v>8872700</v>
      </c>
      <c r="I855" s="6">
        <v>2600300</v>
      </c>
    </row>
    <row r="856" spans="1:9" x14ac:dyDescent="0.25">
      <c r="A856" t="s">
        <v>289</v>
      </c>
      <c r="B856" s="16" t="str">
        <f>"45271"</f>
        <v>45271</v>
      </c>
      <c r="C856" t="s">
        <v>10</v>
      </c>
      <c r="D856" t="s">
        <v>294</v>
      </c>
      <c r="E856" s="16" t="str">
        <f>"004"</f>
        <v>004</v>
      </c>
      <c r="F856" s="16">
        <v>2020</v>
      </c>
      <c r="G856" s="6">
        <v>2751200</v>
      </c>
      <c r="H856" s="6">
        <v>0</v>
      </c>
      <c r="I856" s="6">
        <v>2751200</v>
      </c>
    </row>
    <row r="857" spans="1:9" x14ac:dyDescent="0.25">
      <c r="A857" t="s">
        <v>289</v>
      </c>
      <c r="B857" s="16" t="str">
        <f>"45181"</f>
        <v>45181</v>
      </c>
      <c r="C857" t="s">
        <v>11</v>
      </c>
      <c r="D857" t="s">
        <v>295</v>
      </c>
      <c r="E857" s="16" t="str">
        <f>"004"</f>
        <v>004</v>
      </c>
      <c r="F857" s="16">
        <v>2006</v>
      </c>
      <c r="G857" s="6">
        <v>9440300</v>
      </c>
      <c r="H857" s="6">
        <v>1600100</v>
      </c>
      <c r="I857" s="6">
        <v>7840200</v>
      </c>
    </row>
    <row r="858" spans="1:9" x14ac:dyDescent="0.25">
      <c r="A858" t="s">
        <v>289</v>
      </c>
      <c r="B858" s="16" t="str">
        <f>"45186"</f>
        <v>45186</v>
      </c>
      <c r="C858" t="s">
        <v>11</v>
      </c>
      <c r="D858" t="s">
        <v>296</v>
      </c>
      <c r="E858" s="16" t="str">
        <f>"002"</f>
        <v>002</v>
      </c>
      <c r="F858" s="16">
        <v>2020</v>
      </c>
      <c r="G858" s="6">
        <v>12866600</v>
      </c>
      <c r="H858" s="6">
        <v>13053400</v>
      </c>
      <c r="I858" s="6">
        <v>-186800</v>
      </c>
    </row>
    <row r="859" spans="1:9" x14ac:dyDescent="0.25">
      <c r="A859" t="s">
        <v>297</v>
      </c>
      <c r="B859" s="16" t="str">
        <f>"46216"</f>
        <v>46216</v>
      </c>
      <c r="C859" t="s">
        <v>10</v>
      </c>
      <c r="D859" t="s">
        <v>298</v>
      </c>
      <c r="E859" s="16" t="str">
        <f>"003"</f>
        <v>003</v>
      </c>
      <c r="F859" s="16">
        <v>2007</v>
      </c>
      <c r="G859" s="6">
        <v>14151200</v>
      </c>
      <c r="H859" s="6">
        <v>10391700</v>
      </c>
      <c r="I859" s="6">
        <v>3759500</v>
      </c>
    </row>
    <row r="860" spans="1:9" x14ac:dyDescent="0.25">
      <c r="A860" t="s">
        <v>297</v>
      </c>
      <c r="B860" s="16" t="str">
        <f>"46171"</f>
        <v>46171</v>
      </c>
      <c r="C860" t="s">
        <v>11</v>
      </c>
      <c r="D860" t="s">
        <v>297</v>
      </c>
      <c r="E860" s="16" t="str">
        <f>"003"</f>
        <v>003</v>
      </c>
      <c r="F860" s="16">
        <v>2011</v>
      </c>
      <c r="G860" s="6">
        <v>13209200</v>
      </c>
      <c r="H860" s="6">
        <v>4820700</v>
      </c>
      <c r="I860" s="6">
        <v>8388500</v>
      </c>
    </row>
    <row r="861" spans="1:9" x14ac:dyDescent="0.25">
      <c r="A861" t="s">
        <v>299</v>
      </c>
      <c r="B861" s="16" t="str">
        <f t="shared" ref="B861:B866" si="36">"47121"</f>
        <v>47121</v>
      </c>
      <c r="C861" t="s">
        <v>11</v>
      </c>
      <c r="D861" t="s">
        <v>300</v>
      </c>
      <c r="E861" s="16" t="str">
        <f>"004"</f>
        <v>004</v>
      </c>
      <c r="F861" s="16">
        <v>1996</v>
      </c>
      <c r="G861" s="6">
        <v>789700</v>
      </c>
      <c r="H861" s="6">
        <v>54600</v>
      </c>
      <c r="I861" s="6">
        <v>735100</v>
      </c>
    </row>
    <row r="862" spans="1:9" x14ac:dyDescent="0.25">
      <c r="A862" t="s">
        <v>299</v>
      </c>
      <c r="B862" s="16" t="str">
        <f t="shared" si="36"/>
        <v>47121</v>
      </c>
      <c r="C862" t="s">
        <v>11</v>
      </c>
      <c r="D862" t="s">
        <v>300</v>
      </c>
      <c r="E862" s="16" t="str">
        <f>"007"</f>
        <v>007</v>
      </c>
      <c r="F862" s="16">
        <v>2006</v>
      </c>
      <c r="G862" s="6">
        <v>9116800</v>
      </c>
      <c r="H862" s="6">
        <v>223300</v>
      </c>
      <c r="I862" s="6">
        <v>8893500</v>
      </c>
    </row>
    <row r="863" spans="1:9" x14ac:dyDescent="0.25">
      <c r="A863" t="s">
        <v>299</v>
      </c>
      <c r="B863" s="16" t="str">
        <f t="shared" si="36"/>
        <v>47121</v>
      </c>
      <c r="C863" t="s">
        <v>11</v>
      </c>
      <c r="D863" t="s">
        <v>300</v>
      </c>
      <c r="E863" s="16" t="str">
        <f>"008"</f>
        <v>008</v>
      </c>
      <c r="F863" s="16">
        <v>2010</v>
      </c>
      <c r="G863" s="6">
        <v>8021200</v>
      </c>
      <c r="H863" s="6">
        <v>3773700</v>
      </c>
      <c r="I863" s="6">
        <v>4247500</v>
      </c>
    </row>
    <row r="864" spans="1:9" x14ac:dyDescent="0.25">
      <c r="A864" t="s">
        <v>299</v>
      </c>
      <c r="B864" s="16" t="str">
        <f t="shared" si="36"/>
        <v>47121</v>
      </c>
      <c r="C864" t="s">
        <v>11</v>
      </c>
      <c r="D864" t="s">
        <v>300</v>
      </c>
      <c r="E864" s="16" t="str">
        <f>"009"</f>
        <v>009</v>
      </c>
      <c r="F864" s="16">
        <v>2011</v>
      </c>
      <c r="G864" s="6">
        <v>3993900</v>
      </c>
      <c r="H864" s="6">
        <v>510400</v>
      </c>
      <c r="I864" s="6">
        <v>3483500</v>
      </c>
    </row>
    <row r="865" spans="1:9" x14ac:dyDescent="0.25">
      <c r="A865" t="s">
        <v>299</v>
      </c>
      <c r="B865" s="16" t="str">
        <f t="shared" si="36"/>
        <v>47121</v>
      </c>
      <c r="C865" t="s">
        <v>11</v>
      </c>
      <c r="D865" t="s">
        <v>300</v>
      </c>
      <c r="E865" s="16" t="str">
        <f>"010"</f>
        <v>010</v>
      </c>
      <c r="F865" s="16">
        <v>2012</v>
      </c>
      <c r="G865" s="6">
        <v>1800300</v>
      </c>
      <c r="H865" s="6">
        <v>827300</v>
      </c>
      <c r="I865" s="6">
        <v>973000</v>
      </c>
    </row>
    <row r="866" spans="1:9" x14ac:dyDescent="0.25">
      <c r="A866" t="s">
        <v>299</v>
      </c>
      <c r="B866" s="16" t="str">
        <f t="shared" si="36"/>
        <v>47121</v>
      </c>
      <c r="C866" t="s">
        <v>11</v>
      </c>
      <c r="D866" t="s">
        <v>300</v>
      </c>
      <c r="E866" s="16" t="str">
        <f>"011"</f>
        <v>011</v>
      </c>
      <c r="F866" s="16">
        <v>2013</v>
      </c>
      <c r="G866" s="6">
        <v>1498400</v>
      </c>
      <c r="H866" s="6">
        <v>1308200</v>
      </c>
      <c r="I866" s="6">
        <v>190200</v>
      </c>
    </row>
    <row r="867" spans="1:9" x14ac:dyDescent="0.25">
      <c r="A867" t="s">
        <v>299</v>
      </c>
      <c r="B867" s="16" t="str">
        <f>"47122"</f>
        <v>47122</v>
      </c>
      <c r="C867" t="s">
        <v>11</v>
      </c>
      <c r="D867" t="s">
        <v>301</v>
      </c>
      <c r="E867" s="16" t="str">
        <f>"003"</f>
        <v>003</v>
      </c>
      <c r="F867" s="16">
        <v>2002</v>
      </c>
      <c r="G867" s="6">
        <v>4458000</v>
      </c>
      <c r="H867" s="6">
        <v>752300</v>
      </c>
      <c r="I867" s="6">
        <v>3705700</v>
      </c>
    </row>
    <row r="868" spans="1:9" x14ac:dyDescent="0.25">
      <c r="A868" t="s">
        <v>299</v>
      </c>
      <c r="B868" s="16" t="str">
        <f>"47122"</f>
        <v>47122</v>
      </c>
      <c r="C868" t="s">
        <v>11</v>
      </c>
      <c r="D868" t="s">
        <v>301</v>
      </c>
      <c r="E868" s="16" t="str">
        <f>"004"</f>
        <v>004</v>
      </c>
      <c r="F868" s="16">
        <v>2009</v>
      </c>
      <c r="G868" s="6">
        <v>5960200</v>
      </c>
      <c r="H868" s="6">
        <v>3547400</v>
      </c>
      <c r="I868" s="6">
        <v>2412800</v>
      </c>
    </row>
    <row r="869" spans="1:9" x14ac:dyDescent="0.25">
      <c r="A869" t="s">
        <v>299</v>
      </c>
      <c r="B869" s="16" t="str">
        <f>"47122"</f>
        <v>47122</v>
      </c>
      <c r="C869" t="s">
        <v>11</v>
      </c>
      <c r="D869" t="s">
        <v>301</v>
      </c>
      <c r="E869" s="16" t="str">
        <f>"005"</f>
        <v>005</v>
      </c>
      <c r="F869" s="16">
        <v>2007</v>
      </c>
      <c r="G869" s="6">
        <v>2993500</v>
      </c>
      <c r="H869" s="6">
        <v>373300</v>
      </c>
      <c r="I869" s="6">
        <v>2620200</v>
      </c>
    </row>
    <row r="870" spans="1:9" x14ac:dyDescent="0.25">
      <c r="A870" t="s">
        <v>299</v>
      </c>
      <c r="B870" s="16" t="str">
        <f>"47271"</f>
        <v>47271</v>
      </c>
      <c r="C870" t="s">
        <v>10</v>
      </c>
      <c r="D870" t="s">
        <v>302</v>
      </c>
      <c r="E870" s="16" t="str">
        <f>"004"</f>
        <v>004</v>
      </c>
      <c r="F870" s="16">
        <v>2003</v>
      </c>
      <c r="G870" s="6">
        <v>27065300</v>
      </c>
      <c r="H870" s="6">
        <v>9581300</v>
      </c>
      <c r="I870" s="6">
        <v>17484000</v>
      </c>
    </row>
    <row r="871" spans="1:9" x14ac:dyDescent="0.25">
      <c r="A871" t="s">
        <v>299</v>
      </c>
      <c r="B871" s="16" t="str">
        <f>"47271"</f>
        <v>47271</v>
      </c>
      <c r="C871" t="s">
        <v>10</v>
      </c>
      <c r="D871" t="s">
        <v>302</v>
      </c>
      <c r="E871" s="16" t="str">
        <f>"005"</f>
        <v>005</v>
      </c>
      <c r="F871" s="16">
        <v>2006</v>
      </c>
      <c r="G871" s="6">
        <v>45998000</v>
      </c>
      <c r="H871" s="6">
        <v>2725800</v>
      </c>
      <c r="I871" s="6">
        <v>43272200</v>
      </c>
    </row>
    <row r="872" spans="1:9" x14ac:dyDescent="0.25">
      <c r="A872" t="s">
        <v>299</v>
      </c>
      <c r="B872" s="16" t="str">
        <f>"47276"</f>
        <v>47276</v>
      </c>
      <c r="C872" t="s">
        <v>10</v>
      </c>
      <c r="D872" t="s">
        <v>303</v>
      </c>
      <c r="E872" s="16" t="str">
        <f>"006"</f>
        <v>006</v>
      </c>
      <c r="F872" s="16">
        <v>2005</v>
      </c>
      <c r="G872" s="6">
        <v>10261600</v>
      </c>
      <c r="H872" s="6">
        <v>974600</v>
      </c>
      <c r="I872" s="6">
        <v>9287000</v>
      </c>
    </row>
    <row r="873" spans="1:9" x14ac:dyDescent="0.25">
      <c r="A873" t="s">
        <v>299</v>
      </c>
      <c r="B873" s="16" t="str">
        <f>"47276"</f>
        <v>47276</v>
      </c>
      <c r="C873" t="s">
        <v>10</v>
      </c>
      <c r="D873" t="s">
        <v>303</v>
      </c>
      <c r="E873" s="16" t="str">
        <f>"008"</f>
        <v>008</v>
      </c>
      <c r="F873" s="16">
        <v>2010</v>
      </c>
      <c r="G873" s="6">
        <v>4954000</v>
      </c>
      <c r="H873" s="6">
        <v>1326500</v>
      </c>
      <c r="I873" s="6">
        <v>3627500</v>
      </c>
    </row>
    <row r="874" spans="1:9" x14ac:dyDescent="0.25">
      <c r="A874" t="s">
        <v>299</v>
      </c>
      <c r="B874" s="16" t="str">
        <f>"47276"</f>
        <v>47276</v>
      </c>
      <c r="C874" t="s">
        <v>10</v>
      </c>
      <c r="D874" t="s">
        <v>303</v>
      </c>
      <c r="E874" s="16" t="str">
        <f>"009"</f>
        <v>009</v>
      </c>
      <c r="F874" s="16">
        <v>2012</v>
      </c>
      <c r="G874" s="6">
        <v>9048800</v>
      </c>
      <c r="H874" s="6">
        <v>4712300</v>
      </c>
      <c r="I874" s="6">
        <v>4336500</v>
      </c>
    </row>
    <row r="875" spans="1:9" x14ac:dyDescent="0.25">
      <c r="A875" t="s">
        <v>299</v>
      </c>
      <c r="B875" s="16" t="str">
        <f>"47276"</f>
        <v>47276</v>
      </c>
      <c r="C875" t="s">
        <v>10</v>
      </c>
      <c r="D875" t="s">
        <v>303</v>
      </c>
      <c r="E875" s="16" t="str">
        <f>"014"</f>
        <v>014</v>
      </c>
      <c r="F875" s="16">
        <v>2018</v>
      </c>
      <c r="G875" s="6">
        <v>4898200</v>
      </c>
      <c r="H875" s="6">
        <v>73100</v>
      </c>
      <c r="I875" s="6">
        <v>4825100</v>
      </c>
    </row>
    <row r="876" spans="1:9" x14ac:dyDescent="0.25">
      <c r="A876" t="s">
        <v>299</v>
      </c>
      <c r="B876" s="16" t="str">
        <f>"47276"</f>
        <v>47276</v>
      </c>
      <c r="C876" t="s">
        <v>10</v>
      </c>
      <c r="D876" t="s">
        <v>303</v>
      </c>
      <c r="E876" s="16" t="str">
        <f>"015"</f>
        <v>015</v>
      </c>
      <c r="F876" s="16">
        <v>2020</v>
      </c>
      <c r="G876" s="6">
        <v>189000</v>
      </c>
      <c r="H876" s="6">
        <v>245200</v>
      </c>
      <c r="I876" s="6">
        <v>-56200</v>
      </c>
    </row>
    <row r="877" spans="1:9" x14ac:dyDescent="0.25">
      <c r="A877" t="s">
        <v>299</v>
      </c>
      <c r="B877" s="16" t="str">
        <f>"47181"</f>
        <v>47181</v>
      </c>
      <c r="C877" t="s">
        <v>11</v>
      </c>
      <c r="D877" t="s">
        <v>304</v>
      </c>
      <c r="E877" s="16" t="str">
        <f>"002"</f>
        <v>002</v>
      </c>
      <c r="F877" s="16">
        <v>1995</v>
      </c>
      <c r="G877" s="6">
        <v>8819800</v>
      </c>
      <c r="H877" s="6">
        <v>83300</v>
      </c>
      <c r="I877" s="6">
        <v>8736500</v>
      </c>
    </row>
    <row r="878" spans="1:9" x14ac:dyDescent="0.25">
      <c r="A878" t="s">
        <v>299</v>
      </c>
      <c r="B878" s="16" t="str">
        <f>"47181"</f>
        <v>47181</v>
      </c>
      <c r="C878" t="s">
        <v>11</v>
      </c>
      <c r="D878" t="s">
        <v>304</v>
      </c>
      <c r="E878" s="16" t="str">
        <f>"003"</f>
        <v>003</v>
      </c>
      <c r="F878" s="16">
        <v>2007</v>
      </c>
      <c r="G878" s="6">
        <v>3892500</v>
      </c>
      <c r="H878" s="6">
        <v>2502700</v>
      </c>
      <c r="I878" s="6">
        <v>1389800</v>
      </c>
    </row>
    <row r="879" spans="1:9" x14ac:dyDescent="0.25">
      <c r="A879" t="s">
        <v>305</v>
      </c>
      <c r="B879" s="16" t="str">
        <f>"48201"</f>
        <v>48201</v>
      </c>
      <c r="C879" t="s">
        <v>10</v>
      </c>
      <c r="D879" t="s">
        <v>306</v>
      </c>
      <c r="E879" s="16" t="str">
        <f>"006"</f>
        <v>006</v>
      </c>
      <c r="F879" s="16">
        <v>2004</v>
      </c>
      <c r="G879" s="6">
        <v>26435800</v>
      </c>
      <c r="H879" s="6">
        <v>14440900</v>
      </c>
      <c r="I879" s="6">
        <v>11994900</v>
      </c>
    </row>
    <row r="880" spans="1:9" x14ac:dyDescent="0.25">
      <c r="A880" t="s">
        <v>305</v>
      </c>
      <c r="B880" s="16" t="str">
        <f>"48201"</f>
        <v>48201</v>
      </c>
      <c r="C880" t="s">
        <v>10</v>
      </c>
      <c r="D880" t="s">
        <v>306</v>
      </c>
      <c r="E880" s="16" t="str">
        <f>"007"</f>
        <v>007</v>
      </c>
      <c r="F880" s="16">
        <v>2010</v>
      </c>
      <c r="G880" s="6">
        <v>5828200</v>
      </c>
      <c r="H880" s="6">
        <v>3318500</v>
      </c>
      <c r="I880" s="6">
        <v>2509700</v>
      </c>
    </row>
    <row r="881" spans="1:9" x14ac:dyDescent="0.25">
      <c r="A881" t="s">
        <v>305</v>
      </c>
      <c r="B881" s="16" t="str">
        <f>"48201"</f>
        <v>48201</v>
      </c>
      <c r="C881" t="s">
        <v>10</v>
      </c>
      <c r="D881" t="s">
        <v>306</v>
      </c>
      <c r="E881" s="16" t="str">
        <f>"008"</f>
        <v>008</v>
      </c>
      <c r="F881" s="16">
        <v>2016</v>
      </c>
      <c r="G881" s="6">
        <v>13871000</v>
      </c>
      <c r="H881" s="6">
        <v>11186200</v>
      </c>
      <c r="I881" s="6">
        <v>2684800</v>
      </c>
    </row>
    <row r="882" spans="1:9" x14ac:dyDescent="0.25">
      <c r="A882" t="s">
        <v>305</v>
      </c>
      <c r="B882" s="16" t="str">
        <f>"48201"</f>
        <v>48201</v>
      </c>
      <c r="C882" t="s">
        <v>10</v>
      </c>
      <c r="D882" t="s">
        <v>306</v>
      </c>
      <c r="E882" s="16" t="str">
        <f>"009"</f>
        <v>009</v>
      </c>
      <c r="F882" s="16">
        <v>2019</v>
      </c>
      <c r="G882" s="6">
        <v>34598700</v>
      </c>
      <c r="H882" s="6">
        <v>28362900</v>
      </c>
      <c r="I882" s="6">
        <v>6235800</v>
      </c>
    </row>
    <row r="883" spans="1:9" x14ac:dyDescent="0.25">
      <c r="A883" t="s">
        <v>305</v>
      </c>
      <c r="B883" s="16" t="str">
        <f>"48106"</f>
        <v>48106</v>
      </c>
      <c r="C883" t="s">
        <v>11</v>
      </c>
      <c r="D883" t="s">
        <v>307</v>
      </c>
      <c r="E883" s="16" t="str">
        <f>"002"</f>
        <v>002</v>
      </c>
      <c r="F883" s="16">
        <v>1995</v>
      </c>
      <c r="G883" s="6">
        <v>3332100</v>
      </c>
      <c r="H883" s="6">
        <v>11800</v>
      </c>
      <c r="I883" s="6">
        <v>3320300</v>
      </c>
    </row>
    <row r="884" spans="1:9" x14ac:dyDescent="0.25">
      <c r="A884" t="s">
        <v>305</v>
      </c>
      <c r="B884" s="16" t="str">
        <f>"48106"</f>
        <v>48106</v>
      </c>
      <c r="C884" t="s">
        <v>11</v>
      </c>
      <c r="D884" t="s">
        <v>307</v>
      </c>
      <c r="E884" s="16" t="str">
        <f>"003"</f>
        <v>003</v>
      </c>
      <c r="F884" s="16">
        <v>2004</v>
      </c>
      <c r="G884" s="6">
        <v>0</v>
      </c>
      <c r="H884" s="6">
        <v>22300</v>
      </c>
      <c r="I884" s="6">
        <v>-22300</v>
      </c>
    </row>
    <row r="885" spans="1:9" x14ac:dyDescent="0.25">
      <c r="A885" t="s">
        <v>305</v>
      </c>
      <c r="B885" s="16" t="str">
        <f>"48106"</f>
        <v>48106</v>
      </c>
      <c r="C885" t="s">
        <v>11</v>
      </c>
      <c r="D885" t="s">
        <v>307</v>
      </c>
      <c r="E885" s="16" t="str">
        <f>"005"</f>
        <v>005</v>
      </c>
      <c r="F885" s="16">
        <v>2006</v>
      </c>
      <c r="G885" s="6">
        <v>9396400</v>
      </c>
      <c r="H885" s="6">
        <v>7735100</v>
      </c>
      <c r="I885" s="6">
        <v>1661300</v>
      </c>
    </row>
    <row r="886" spans="1:9" x14ac:dyDescent="0.25">
      <c r="A886" t="s">
        <v>305</v>
      </c>
      <c r="B886" s="16" t="str">
        <f>"48106"</f>
        <v>48106</v>
      </c>
      <c r="C886" t="s">
        <v>11</v>
      </c>
      <c r="D886" t="s">
        <v>307</v>
      </c>
      <c r="E886" s="16" t="str">
        <f>"006"</f>
        <v>006</v>
      </c>
      <c r="F886" s="16">
        <v>2013</v>
      </c>
      <c r="G886" s="6">
        <v>10256600</v>
      </c>
      <c r="H886" s="6">
        <v>7793600</v>
      </c>
      <c r="I886" s="6">
        <v>2463000</v>
      </c>
    </row>
    <row r="887" spans="1:9" x14ac:dyDescent="0.25">
      <c r="A887" t="s">
        <v>305</v>
      </c>
      <c r="B887" s="16" t="str">
        <f>"48111"</f>
        <v>48111</v>
      </c>
      <c r="C887" t="s">
        <v>11</v>
      </c>
      <c r="D887" t="s">
        <v>308</v>
      </c>
      <c r="E887" s="16" t="str">
        <f>"001"</f>
        <v>001</v>
      </c>
      <c r="F887" s="16">
        <v>1999</v>
      </c>
      <c r="G887" s="6">
        <v>9105900</v>
      </c>
      <c r="H887" s="6">
        <v>4683000</v>
      </c>
      <c r="I887" s="6">
        <v>4422900</v>
      </c>
    </row>
    <row r="888" spans="1:9" x14ac:dyDescent="0.25">
      <c r="A888" t="s">
        <v>305</v>
      </c>
      <c r="B888" s="16" t="str">
        <f>"48112"</f>
        <v>48112</v>
      </c>
      <c r="C888" t="s">
        <v>11</v>
      </c>
      <c r="D888" t="s">
        <v>309</v>
      </c>
      <c r="E888" s="16" t="str">
        <f>"002"</f>
        <v>002</v>
      </c>
      <c r="F888" s="16">
        <v>1999</v>
      </c>
      <c r="G888" s="6">
        <v>1389300</v>
      </c>
      <c r="H888" s="6">
        <v>16700</v>
      </c>
      <c r="I888" s="6">
        <v>1372600</v>
      </c>
    </row>
    <row r="889" spans="1:9" x14ac:dyDescent="0.25">
      <c r="A889" t="s">
        <v>305</v>
      </c>
      <c r="B889" s="16" t="str">
        <f>"48112"</f>
        <v>48112</v>
      </c>
      <c r="C889" t="s">
        <v>11</v>
      </c>
      <c r="D889" t="s">
        <v>309</v>
      </c>
      <c r="E889" s="16" t="str">
        <f>"003"</f>
        <v>003</v>
      </c>
      <c r="F889" s="16">
        <v>2020</v>
      </c>
      <c r="G889" s="6">
        <v>1816500</v>
      </c>
      <c r="H889" s="6">
        <v>1758100</v>
      </c>
      <c r="I889" s="6">
        <v>58400</v>
      </c>
    </row>
    <row r="890" spans="1:9" x14ac:dyDescent="0.25">
      <c r="A890" t="s">
        <v>305</v>
      </c>
      <c r="B890" s="16" t="str">
        <f>"48113"</f>
        <v>48113</v>
      </c>
      <c r="C890" t="s">
        <v>11</v>
      </c>
      <c r="D890" t="s">
        <v>310</v>
      </c>
      <c r="E890" s="16" t="str">
        <f>"003"</f>
        <v>003</v>
      </c>
      <c r="F890" s="16">
        <v>2003</v>
      </c>
      <c r="G890" s="6">
        <v>12229300</v>
      </c>
      <c r="H890" s="6">
        <v>2113600</v>
      </c>
      <c r="I890" s="6">
        <v>10115700</v>
      </c>
    </row>
    <row r="891" spans="1:9" x14ac:dyDescent="0.25">
      <c r="A891" t="s">
        <v>305</v>
      </c>
      <c r="B891" s="16" t="str">
        <f>"48126"</f>
        <v>48126</v>
      </c>
      <c r="C891" t="s">
        <v>11</v>
      </c>
      <c r="D891" t="s">
        <v>311</v>
      </c>
      <c r="E891" s="16" t="str">
        <f>"003"</f>
        <v>003</v>
      </c>
      <c r="F891" s="16">
        <v>2007</v>
      </c>
      <c r="G891" s="6">
        <v>2847700</v>
      </c>
      <c r="H891" s="6">
        <v>1755300</v>
      </c>
      <c r="I891" s="6">
        <v>1092400</v>
      </c>
    </row>
    <row r="892" spans="1:9" x14ac:dyDescent="0.25">
      <c r="A892" t="s">
        <v>305</v>
      </c>
      <c r="B892" s="16" t="str">
        <f>"48146"</f>
        <v>48146</v>
      </c>
      <c r="C892" t="s">
        <v>11</v>
      </c>
      <c r="D892" t="s">
        <v>312</v>
      </c>
      <c r="E892" s="16" t="str">
        <f>"002"</f>
        <v>002</v>
      </c>
      <c r="F892" s="16">
        <v>2002</v>
      </c>
      <c r="G892" s="6">
        <v>8741300</v>
      </c>
      <c r="H892" s="6">
        <v>5509600</v>
      </c>
      <c r="I892" s="6">
        <v>3231700</v>
      </c>
    </row>
    <row r="893" spans="1:9" x14ac:dyDescent="0.25">
      <c r="A893" t="s">
        <v>305</v>
      </c>
      <c r="B893" s="16" t="str">
        <f>"48146"</f>
        <v>48146</v>
      </c>
      <c r="C893" t="s">
        <v>11</v>
      </c>
      <c r="D893" t="s">
        <v>312</v>
      </c>
      <c r="E893" s="16" t="str">
        <f>"003"</f>
        <v>003</v>
      </c>
      <c r="F893" s="16">
        <v>2005</v>
      </c>
      <c r="G893" s="6">
        <v>4781100</v>
      </c>
      <c r="H893" s="6">
        <v>3522400</v>
      </c>
      <c r="I893" s="6">
        <v>1258700</v>
      </c>
    </row>
    <row r="894" spans="1:9" x14ac:dyDescent="0.25">
      <c r="A894" t="s">
        <v>305</v>
      </c>
      <c r="B894" s="16" t="str">
        <f>"48146"</f>
        <v>48146</v>
      </c>
      <c r="C894" t="s">
        <v>11</v>
      </c>
      <c r="D894" t="s">
        <v>312</v>
      </c>
      <c r="E894" s="16" t="str">
        <f>"004"</f>
        <v>004</v>
      </c>
      <c r="F894" s="16">
        <v>2018</v>
      </c>
      <c r="G894" s="6">
        <v>9872700</v>
      </c>
      <c r="H894" s="6">
        <v>7693200</v>
      </c>
      <c r="I894" s="6">
        <v>2179500</v>
      </c>
    </row>
    <row r="895" spans="1:9" x14ac:dyDescent="0.25">
      <c r="A895" t="s">
        <v>305</v>
      </c>
      <c r="B895" s="16" t="str">
        <f>"48151"</f>
        <v>48151</v>
      </c>
      <c r="C895" t="s">
        <v>11</v>
      </c>
      <c r="D895" t="s">
        <v>313</v>
      </c>
      <c r="E895" s="16" t="str">
        <f>"003"</f>
        <v>003</v>
      </c>
      <c r="F895" s="16">
        <v>2004</v>
      </c>
      <c r="G895" s="6">
        <v>1020500</v>
      </c>
      <c r="H895" s="6">
        <v>583200</v>
      </c>
      <c r="I895" s="6">
        <v>437300</v>
      </c>
    </row>
    <row r="896" spans="1:9" x14ac:dyDescent="0.25">
      <c r="A896" t="s">
        <v>305</v>
      </c>
      <c r="B896" s="16" t="str">
        <f>"48151"</f>
        <v>48151</v>
      </c>
      <c r="C896" t="s">
        <v>11</v>
      </c>
      <c r="D896" t="s">
        <v>313</v>
      </c>
      <c r="E896" s="16" t="str">
        <f>"004"</f>
        <v>004</v>
      </c>
      <c r="F896" s="16">
        <v>2012</v>
      </c>
      <c r="G896" s="6">
        <v>2023000</v>
      </c>
      <c r="H896" s="6">
        <v>1027700</v>
      </c>
      <c r="I896" s="6">
        <v>995300</v>
      </c>
    </row>
    <row r="897" spans="1:9" x14ac:dyDescent="0.25">
      <c r="A897" t="s">
        <v>305</v>
      </c>
      <c r="B897" s="16" t="str">
        <f>"48165"</f>
        <v>48165</v>
      </c>
      <c r="C897" t="s">
        <v>11</v>
      </c>
      <c r="D897" t="s">
        <v>314</v>
      </c>
      <c r="E897" s="16" t="str">
        <f>"002"</f>
        <v>002</v>
      </c>
      <c r="F897" s="16">
        <v>1992</v>
      </c>
      <c r="G897" s="6">
        <v>29485300</v>
      </c>
      <c r="H897" s="6">
        <v>3751800</v>
      </c>
      <c r="I897" s="6">
        <v>25733500</v>
      </c>
    </row>
    <row r="898" spans="1:9" x14ac:dyDescent="0.25">
      <c r="A898" t="s">
        <v>305</v>
      </c>
      <c r="B898" s="16" t="str">
        <f>"48165"</f>
        <v>48165</v>
      </c>
      <c r="C898" t="s">
        <v>11</v>
      </c>
      <c r="D898" t="s">
        <v>314</v>
      </c>
      <c r="E898" s="16" t="str">
        <f>"003"</f>
        <v>003</v>
      </c>
      <c r="F898" s="16">
        <v>2020</v>
      </c>
      <c r="G898" s="6">
        <v>6789800</v>
      </c>
      <c r="H898" s="6">
        <v>3276800</v>
      </c>
      <c r="I898" s="6">
        <v>3513000</v>
      </c>
    </row>
    <row r="899" spans="1:9" x14ac:dyDescent="0.25">
      <c r="A899" t="s">
        <v>305</v>
      </c>
      <c r="B899" s="16" t="str">
        <f>"48168"</f>
        <v>48168</v>
      </c>
      <c r="C899" t="s">
        <v>11</v>
      </c>
      <c r="D899" t="s">
        <v>24</v>
      </c>
      <c r="E899" s="16" t="str">
        <f>"003"</f>
        <v>003</v>
      </c>
      <c r="F899" s="16">
        <v>2009</v>
      </c>
      <c r="G899" s="6">
        <v>11916700</v>
      </c>
      <c r="H899" s="6">
        <v>4222500</v>
      </c>
      <c r="I899" s="6">
        <v>7694200</v>
      </c>
    </row>
    <row r="900" spans="1:9" x14ac:dyDescent="0.25">
      <c r="A900" t="s">
        <v>83</v>
      </c>
      <c r="B900" s="16" t="str">
        <f>"49102"</f>
        <v>49102</v>
      </c>
      <c r="C900" t="s">
        <v>11</v>
      </c>
      <c r="D900" t="s">
        <v>315</v>
      </c>
      <c r="E900" s="16" t="str">
        <f>"002"</f>
        <v>002</v>
      </c>
      <c r="F900" s="16">
        <v>2003</v>
      </c>
      <c r="G900" s="6">
        <v>1740000</v>
      </c>
      <c r="H900" s="6">
        <v>17200</v>
      </c>
      <c r="I900" s="6">
        <v>1722800</v>
      </c>
    </row>
    <row r="901" spans="1:9" x14ac:dyDescent="0.25">
      <c r="A901" t="s">
        <v>83</v>
      </c>
      <c r="B901" s="16" t="str">
        <f>"49141"</f>
        <v>49141</v>
      </c>
      <c r="C901" t="s">
        <v>11</v>
      </c>
      <c r="D901" t="s">
        <v>316</v>
      </c>
      <c r="E901" s="16" t="str">
        <f>"001"</f>
        <v>001</v>
      </c>
      <c r="F901" s="16">
        <v>2008</v>
      </c>
      <c r="G901" s="6">
        <v>2608300</v>
      </c>
      <c r="H901" s="6">
        <v>1267700</v>
      </c>
      <c r="I901" s="6">
        <v>1340600</v>
      </c>
    </row>
    <row r="902" spans="1:9" x14ac:dyDescent="0.25">
      <c r="A902" t="s">
        <v>83</v>
      </c>
      <c r="B902" s="16" t="str">
        <f>"49141"</f>
        <v>49141</v>
      </c>
      <c r="C902" t="s">
        <v>11</v>
      </c>
      <c r="D902" t="s">
        <v>316</v>
      </c>
      <c r="E902" s="16" t="str">
        <f>"002"</f>
        <v>002</v>
      </c>
      <c r="F902" s="16">
        <v>2019</v>
      </c>
      <c r="G902" s="6">
        <v>2340300</v>
      </c>
      <c r="H902" s="6">
        <v>1883200</v>
      </c>
      <c r="I902" s="6">
        <v>457100</v>
      </c>
    </row>
    <row r="903" spans="1:9" x14ac:dyDescent="0.25">
      <c r="A903" t="s">
        <v>83</v>
      </c>
      <c r="B903" s="16" t="str">
        <f>"49173"</f>
        <v>49173</v>
      </c>
      <c r="C903" t="s">
        <v>11</v>
      </c>
      <c r="D903" t="s">
        <v>317</v>
      </c>
      <c r="E903" s="16" t="str">
        <f>"003"</f>
        <v>003</v>
      </c>
      <c r="F903" s="16">
        <v>2003</v>
      </c>
      <c r="G903" s="6">
        <v>24349400</v>
      </c>
      <c r="H903" s="6">
        <v>532100</v>
      </c>
      <c r="I903" s="6">
        <v>23817300</v>
      </c>
    </row>
    <row r="904" spans="1:9" x14ac:dyDescent="0.25">
      <c r="A904" t="s">
        <v>83</v>
      </c>
      <c r="B904" s="16" t="str">
        <f>"49173"</f>
        <v>49173</v>
      </c>
      <c r="C904" t="s">
        <v>11</v>
      </c>
      <c r="D904" t="s">
        <v>317</v>
      </c>
      <c r="E904" s="16" t="str">
        <f>"004"</f>
        <v>004</v>
      </c>
      <c r="F904" s="16">
        <v>2004</v>
      </c>
      <c r="G904" s="6">
        <v>69987800</v>
      </c>
      <c r="H904" s="6">
        <v>16780000</v>
      </c>
      <c r="I904" s="6">
        <v>53207800</v>
      </c>
    </row>
    <row r="905" spans="1:9" x14ac:dyDescent="0.25">
      <c r="A905" t="s">
        <v>83</v>
      </c>
      <c r="B905" s="16" t="str">
        <f>"49173"</f>
        <v>49173</v>
      </c>
      <c r="C905" t="s">
        <v>11</v>
      </c>
      <c r="D905" t="s">
        <v>317</v>
      </c>
      <c r="E905" s="16" t="str">
        <f>"005"</f>
        <v>005</v>
      </c>
      <c r="F905" s="16">
        <v>2005</v>
      </c>
      <c r="G905" s="6">
        <v>47686300</v>
      </c>
      <c r="H905" s="6">
        <v>2951500</v>
      </c>
      <c r="I905" s="6">
        <v>44734800</v>
      </c>
    </row>
    <row r="906" spans="1:9" x14ac:dyDescent="0.25">
      <c r="A906" t="s">
        <v>83</v>
      </c>
      <c r="B906" s="16" t="str">
        <f>"49173"</f>
        <v>49173</v>
      </c>
      <c r="C906" t="s">
        <v>11</v>
      </c>
      <c r="D906" t="s">
        <v>317</v>
      </c>
      <c r="E906" s="16" t="str">
        <f>"006"</f>
        <v>006</v>
      </c>
      <c r="F906" s="16">
        <v>2010</v>
      </c>
      <c r="G906" s="6">
        <v>12507900</v>
      </c>
      <c r="H906" s="6">
        <v>3300</v>
      </c>
      <c r="I906" s="6">
        <v>12504600</v>
      </c>
    </row>
    <row r="907" spans="1:9" x14ac:dyDescent="0.25">
      <c r="A907" t="s">
        <v>83</v>
      </c>
      <c r="B907" s="16" t="str">
        <f>"49173"</f>
        <v>49173</v>
      </c>
      <c r="C907" t="s">
        <v>11</v>
      </c>
      <c r="D907" t="s">
        <v>317</v>
      </c>
      <c r="E907" s="16" t="str">
        <f>"007"</f>
        <v>007</v>
      </c>
      <c r="F907" s="16">
        <v>2013</v>
      </c>
      <c r="G907" s="6">
        <v>5564500</v>
      </c>
      <c r="H907" s="6">
        <v>2637300</v>
      </c>
      <c r="I907" s="6">
        <v>2927200</v>
      </c>
    </row>
    <row r="908" spans="1:9" x14ac:dyDescent="0.25">
      <c r="A908" t="s">
        <v>83</v>
      </c>
      <c r="B908" s="16" t="str">
        <f t="shared" ref="B908:B916" si="37">"49281"</f>
        <v>49281</v>
      </c>
      <c r="C908" t="s">
        <v>10</v>
      </c>
      <c r="D908" t="s">
        <v>318</v>
      </c>
      <c r="E908" s="16" t="str">
        <f>"005"</f>
        <v>005</v>
      </c>
      <c r="F908" s="16">
        <v>2005</v>
      </c>
      <c r="G908" s="6">
        <v>149843400</v>
      </c>
      <c r="H908" s="6">
        <v>37940700</v>
      </c>
      <c r="I908" s="6">
        <v>111902700</v>
      </c>
    </row>
    <row r="909" spans="1:9" x14ac:dyDescent="0.25">
      <c r="A909" t="s">
        <v>83</v>
      </c>
      <c r="B909" s="16" t="str">
        <f t="shared" si="37"/>
        <v>49281</v>
      </c>
      <c r="C909" t="s">
        <v>10</v>
      </c>
      <c r="D909" t="s">
        <v>318</v>
      </c>
      <c r="E909" s="16" t="str">
        <f>"006"</f>
        <v>006</v>
      </c>
      <c r="F909" s="16">
        <v>2006</v>
      </c>
      <c r="G909" s="6">
        <v>59815700</v>
      </c>
      <c r="H909" s="6">
        <v>46305600</v>
      </c>
      <c r="I909" s="6">
        <v>13510100</v>
      </c>
    </row>
    <row r="910" spans="1:9" x14ac:dyDescent="0.25">
      <c r="A910" t="s">
        <v>83</v>
      </c>
      <c r="B910" s="16" t="str">
        <f t="shared" si="37"/>
        <v>49281</v>
      </c>
      <c r="C910" t="s">
        <v>10</v>
      </c>
      <c r="D910" t="s">
        <v>318</v>
      </c>
      <c r="E910" s="16" t="str">
        <f>"007"</f>
        <v>007</v>
      </c>
      <c r="F910" s="16">
        <v>2008</v>
      </c>
      <c r="G910" s="6">
        <v>34600600</v>
      </c>
      <c r="H910" s="6">
        <v>10913900</v>
      </c>
      <c r="I910" s="6">
        <v>23686700</v>
      </c>
    </row>
    <row r="911" spans="1:9" x14ac:dyDescent="0.25">
      <c r="A911" t="s">
        <v>83</v>
      </c>
      <c r="B911" s="16" t="str">
        <f t="shared" si="37"/>
        <v>49281</v>
      </c>
      <c r="C911" t="s">
        <v>10</v>
      </c>
      <c r="D911" t="s">
        <v>318</v>
      </c>
      <c r="E911" s="16" t="str">
        <f>"008"</f>
        <v>008</v>
      </c>
      <c r="F911" s="16">
        <v>2010</v>
      </c>
      <c r="G911" s="6">
        <v>29573200</v>
      </c>
      <c r="H911" s="6">
        <v>19785300</v>
      </c>
      <c r="I911" s="6">
        <v>9787900</v>
      </c>
    </row>
    <row r="912" spans="1:9" x14ac:dyDescent="0.25">
      <c r="A912" t="s">
        <v>83</v>
      </c>
      <c r="B912" s="16" t="str">
        <f t="shared" si="37"/>
        <v>49281</v>
      </c>
      <c r="C912" t="s">
        <v>10</v>
      </c>
      <c r="D912" t="s">
        <v>318</v>
      </c>
      <c r="E912" s="16" t="str">
        <f>"009"</f>
        <v>009</v>
      </c>
      <c r="F912" s="16">
        <v>2013</v>
      </c>
      <c r="G912" s="6">
        <v>197387100</v>
      </c>
      <c r="H912" s="6">
        <v>58229400</v>
      </c>
      <c r="I912" s="6">
        <v>139157700</v>
      </c>
    </row>
    <row r="913" spans="1:9" x14ac:dyDescent="0.25">
      <c r="A913" t="s">
        <v>83</v>
      </c>
      <c r="B913" s="16" t="str">
        <f t="shared" si="37"/>
        <v>49281</v>
      </c>
      <c r="C913" t="s">
        <v>10</v>
      </c>
      <c r="D913" t="s">
        <v>318</v>
      </c>
      <c r="E913" s="16" t="str">
        <f>"010"</f>
        <v>010</v>
      </c>
      <c r="F913" s="16">
        <v>2019</v>
      </c>
      <c r="G913" s="6">
        <v>56216400</v>
      </c>
      <c r="H913" s="6">
        <v>49132300</v>
      </c>
      <c r="I913" s="6">
        <v>7084100</v>
      </c>
    </row>
    <row r="914" spans="1:9" x14ac:dyDescent="0.25">
      <c r="A914" t="s">
        <v>83</v>
      </c>
      <c r="B914" s="16" t="str">
        <f t="shared" si="37"/>
        <v>49281</v>
      </c>
      <c r="C914" t="s">
        <v>10</v>
      </c>
      <c r="D914" t="s">
        <v>318</v>
      </c>
      <c r="E914" s="16" t="str">
        <f>"011"</f>
        <v>011</v>
      </c>
      <c r="F914" s="16">
        <v>2020</v>
      </c>
      <c r="G914" s="6">
        <v>24999500</v>
      </c>
      <c r="H914" s="6">
        <v>24116400</v>
      </c>
      <c r="I914" s="6">
        <v>883100</v>
      </c>
    </row>
    <row r="915" spans="1:9" x14ac:dyDescent="0.25">
      <c r="A915" t="s">
        <v>83</v>
      </c>
      <c r="B915" s="16" t="str">
        <f t="shared" si="37"/>
        <v>49281</v>
      </c>
      <c r="C915" t="s">
        <v>10</v>
      </c>
      <c r="D915" t="s">
        <v>318</v>
      </c>
      <c r="E915" s="16" t="str">
        <f>"012"</f>
        <v>012</v>
      </c>
      <c r="F915" s="16">
        <v>2020</v>
      </c>
      <c r="G915" s="6">
        <v>21187000</v>
      </c>
      <c r="H915" s="6">
        <v>20492300</v>
      </c>
      <c r="I915" s="6">
        <v>694700</v>
      </c>
    </row>
    <row r="916" spans="1:9" x14ac:dyDescent="0.25">
      <c r="A916" t="s">
        <v>83</v>
      </c>
      <c r="B916" s="16" t="str">
        <f t="shared" si="37"/>
        <v>49281</v>
      </c>
      <c r="C916" t="s">
        <v>10</v>
      </c>
      <c r="D916" t="s">
        <v>318</v>
      </c>
      <c r="E916" s="16" t="str">
        <f>"013"</f>
        <v>013</v>
      </c>
      <c r="F916" s="16">
        <v>2020</v>
      </c>
      <c r="G916" s="6">
        <v>6750100</v>
      </c>
      <c r="H916" s="6">
        <v>6526900</v>
      </c>
      <c r="I916" s="6">
        <v>223200</v>
      </c>
    </row>
    <row r="917" spans="1:9" x14ac:dyDescent="0.25">
      <c r="A917" t="s">
        <v>83</v>
      </c>
      <c r="B917" s="16" t="str">
        <f>"49191"</f>
        <v>49191</v>
      </c>
      <c r="C917" t="s">
        <v>11</v>
      </c>
      <c r="D917" t="s">
        <v>319</v>
      </c>
      <c r="E917" s="16" t="str">
        <f>"001"</f>
        <v>001</v>
      </c>
      <c r="F917" s="16">
        <v>1994</v>
      </c>
      <c r="G917" s="6">
        <v>5302000</v>
      </c>
      <c r="H917" s="6">
        <v>1704800</v>
      </c>
      <c r="I917" s="6">
        <v>3597200</v>
      </c>
    </row>
    <row r="918" spans="1:9" x14ac:dyDescent="0.25">
      <c r="A918" t="s">
        <v>320</v>
      </c>
      <c r="B918" s="16" t="str">
        <f>"50271"</f>
        <v>50271</v>
      </c>
      <c r="C918" t="s">
        <v>10</v>
      </c>
      <c r="D918" t="s">
        <v>321</v>
      </c>
      <c r="E918" s="16" t="str">
        <f>"003"</f>
        <v>003</v>
      </c>
      <c r="F918" s="16">
        <v>1994</v>
      </c>
      <c r="G918" s="6">
        <v>6954500</v>
      </c>
      <c r="H918" s="6">
        <v>1351800</v>
      </c>
      <c r="I918" s="6">
        <v>5602700</v>
      </c>
    </row>
    <row r="919" spans="1:9" x14ac:dyDescent="0.25">
      <c r="A919" t="s">
        <v>320</v>
      </c>
      <c r="B919" s="16" t="str">
        <f>"50271"</f>
        <v>50271</v>
      </c>
      <c r="C919" t="s">
        <v>10</v>
      </c>
      <c r="D919" t="s">
        <v>321</v>
      </c>
      <c r="E919" s="16" t="str">
        <f>"005"</f>
        <v>005</v>
      </c>
      <c r="F919" s="16">
        <v>2019</v>
      </c>
      <c r="G919" s="6">
        <v>14389300</v>
      </c>
      <c r="H919" s="6">
        <v>14774000</v>
      </c>
      <c r="I919" s="6">
        <v>-384700</v>
      </c>
    </row>
    <row r="920" spans="1:9" x14ac:dyDescent="0.25">
      <c r="A920" t="s">
        <v>320</v>
      </c>
      <c r="B920" s="16" t="str">
        <f>"50272"</f>
        <v>50272</v>
      </c>
      <c r="C920" t="s">
        <v>10</v>
      </c>
      <c r="D920" t="s">
        <v>322</v>
      </c>
      <c r="E920" s="16" t="str">
        <f>"002"</f>
        <v>002</v>
      </c>
      <c r="F920" s="16">
        <v>1995</v>
      </c>
      <c r="G920" s="6">
        <v>149800</v>
      </c>
      <c r="H920" s="6">
        <v>100000</v>
      </c>
      <c r="I920" s="6">
        <v>49800</v>
      </c>
    </row>
    <row r="921" spans="1:9" x14ac:dyDescent="0.25">
      <c r="A921" t="s">
        <v>320</v>
      </c>
      <c r="B921" s="16" t="str">
        <f>"50272"</f>
        <v>50272</v>
      </c>
      <c r="C921" t="s">
        <v>10</v>
      </c>
      <c r="D921" t="s">
        <v>322</v>
      </c>
      <c r="E921" s="16" t="str">
        <f>"003"</f>
        <v>003</v>
      </c>
      <c r="F921" s="16">
        <v>1995</v>
      </c>
      <c r="G921" s="6">
        <v>3906100</v>
      </c>
      <c r="H921" s="6">
        <v>2177100</v>
      </c>
      <c r="I921" s="6">
        <v>1729000</v>
      </c>
    </row>
    <row r="922" spans="1:9" x14ac:dyDescent="0.25">
      <c r="A922" t="s">
        <v>320</v>
      </c>
      <c r="B922" s="16" t="str">
        <f>"50272"</f>
        <v>50272</v>
      </c>
      <c r="C922" t="s">
        <v>10</v>
      </c>
      <c r="D922" t="s">
        <v>322</v>
      </c>
      <c r="E922" s="16" t="str">
        <f>"004"</f>
        <v>004</v>
      </c>
      <c r="F922" s="16">
        <v>1995</v>
      </c>
      <c r="G922" s="6">
        <v>15532700</v>
      </c>
      <c r="H922" s="6">
        <v>753500</v>
      </c>
      <c r="I922" s="6">
        <v>14779200</v>
      </c>
    </row>
    <row r="923" spans="1:9" x14ac:dyDescent="0.25">
      <c r="A923" t="s">
        <v>320</v>
      </c>
      <c r="B923" s="16" t="str">
        <f>"50171"</f>
        <v>50171</v>
      </c>
      <c r="C923" t="s">
        <v>11</v>
      </c>
      <c r="D923" t="s">
        <v>323</v>
      </c>
      <c r="E923" s="16" t="str">
        <f>"003"</f>
        <v>003</v>
      </c>
      <c r="F923" s="16">
        <v>2011</v>
      </c>
      <c r="G923" s="6">
        <v>87300</v>
      </c>
      <c r="H923" s="6">
        <v>62000</v>
      </c>
      <c r="I923" s="6">
        <v>25300</v>
      </c>
    </row>
    <row r="924" spans="1:9" x14ac:dyDescent="0.25">
      <c r="A924" t="s">
        <v>324</v>
      </c>
      <c r="B924" s="16" t="str">
        <f>"51104"</f>
        <v>51104</v>
      </c>
      <c r="C924" t="s">
        <v>11</v>
      </c>
      <c r="D924" t="s">
        <v>325</v>
      </c>
      <c r="E924" s="16" t="str">
        <f>"001"</f>
        <v>001</v>
      </c>
      <c r="F924" s="16">
        <v>2007</v>
      </c>
      <c r="G924" s="6">
        <v>7315900</v>
      </c>
      <c r="H924" s="6">
        <v>1831800</v>
      </c>
      <c r="I924" s="6">
        <v>5484100</v>
      </c>
    </row>
    <row r="925" spans="1:9" x14ac:dyDescent="0.25">
      <c r="A925" t="s">
        <v>324</v>
      </c>
      <c r="B925" s="16" t="str">
        <f>"51104"</f>
        <v>51104</v>
      </c>
      <c r="C925" t="s">
        <v>11</v>
      </c>
      <c r="D925" t="s">
        <v>325</v>
      </c>
      <c r="E925" s="16" t="str">
        <f>"003"</f>
        <v>003</v>
      </c>
      <c r="F925" s="16">
        <v>2011</v>
      </c>
      <c r="G925" s="6">
        <v>41292100</v>
      </c>
      <c r="H925" s="6">
        <v>28632700</v>
      </c>
      <c r="I925" s="6">
        <v>12659400</v>
      </c>
    </row>
    <row r="926" spans="1:9" x14ac:dyDescent="0.25">
      <c r="A926" t="s">
        <v>324</v>
      </c>
      <c r="B926" s="16" t="str">
        <f>"51104"</f>
        <v>51104</v>
      </c>
      <c r="C926" t="s">
        <v>11</v>
      </c>
      <c r="D926" t="s">
        <v>325</v>
      </c>
      <c r="E926" s="16" t="str">
        <f>"004"</f>
        <v>004</v>
      </c>
      <c r="F926" s="16">
        <v>2014</v>
      </c>
      <c r="G926" s="6">
        <v>40388900</v>
      </c>
      <c r="H926" s="6">
        <v>15444200</v>
      </c>
      <c r="I926" s="6">
        <v>24944700</v>
      </c>
    </row>
    <row r="927" spans="1:9" x14ac:dyDescent="0.25">
      <c r="A927" t="s">
        <v>324</v>
      </c>
      <c r="B927" s="16" t="str">
        <f>"51104"</f>
        <v>51104</v>
      </c>
      <c r="C927" t="s">
        <v>11</v>
      </c>
      <c r="D927" t="s">
        <v>325</v>
      </c>
      <c r="E927" s="16" t="str">
        <f>"005"</f>
        <v>005</v>
      </c>
      <c r="F927" s="16">
        <v>2019</v>
      </c>
      <c r="G927" s="6">
        <v>2229300</v>
      </c>
      <c r="H927" s="6">
        <v>617200</v>
      </c>
      <c r="I927" s="6">
        <v>1612100</v>
      </c>
    </row>
    <row r="928" spans="1:9" x14ac:dyDescent="0.25">
      <c r="A928" t="s">
        <v>324</v>
      </c>
      <c r="B928" s="16" t="str">
        <f>"51151"</f>
        <v>51151</v>
      </c>
      <c r="C928" t="s">
        <v>11</v>
      </c>
      <c r="D928" t="s">
        <v>326</v>
      </c>
      <c r="E928" s="16" t="str">
        <f>"001"</f>
        <v>001</v>
      </c>
      <c r="F928" s="16">
        <v>2006</v>
      </c>
      <c r="G928" s="6">
        <v>185925300</v>
      </c>
      <c r="H928" s="6">
        <v>4301900</v>
      </c>
      <c r="I928" s="6">
        <v>181623400</v>
      </c>
    </row>
    <row r="929" spans="1:9" x14ac:dyDescent="0.25">
      <c r="A929" t="s">
        <v>324</v>
      </c>
      <c r="B929" s="16" t="str">
        <f>"51151"</f>
        <v>51151</v>
      </c>
      <c r="C929" t="s">
        <v>11</v>
      </c>
      <c r="D929" t="s">
        <v>326</v>
      </c>
      <c r="E929" s="16" t="str">
        <f>"002"</f>
        <v>002</v>
      </c>
      <c r="F929" s="16">
        <v>2007</v>
      </c>
      <c r="G929" s="6">
        <v>164159400</v>
      </c>
      <c r="H929" s="6">
        <v>103402700</v>
      </c>
      <c r="I929" s="6">
        <v>60756700</v>
      </c>
    </row>
    <row r="930" spans="1:9" x14ac:dyDescent="0.25">
      <c r="A930" t="s">
        <v>324</v>
      </c>
      <c r="B930" s="16" t="str">
        <f>"51151"</f>
        <v>51151</v>
      </c>
      <c r="C930" t="s">
        <v>11</v>
      </c>
      <c r="D930" t="s">
        <v>326</v>
      </c>
      <c r="E930" s="16" t="str">
        <f>"003"</f>
        <v>003</v>
      </c>
      <c r="F930" s="16">
        <v>2014</v>
      </c>
      <c r="G930" s="6">
        <v>32623500</v>
      </c>
      <c r="H930" s="6">
        <v>4136200</v>
      </c>
      <c r="I930" s="6">
        <v>28487300</v>
      </c>
    </row>
    <row r="931" spans="1:9" x14ac:dyDescent="0.25">
      <c r="A931" t="s">
        <v>324</v>
      </c>
      <c r="B931" s="16" t="str">
        <f>"51151"</f>
        <v>51151</v>
      </c>
      <c r="C931" t="s">
        <v>11</v>
      </c>
      <c r="D931" t="s">
        <v>326</v>
      </c>
      <c r="E931" s="16" t="str">
        <f>"004"</f>
        <v>004</v>
      </c>
      <c r="F931" s="16">
        <v>2015</v>
      </c>
      <c r="G931" s="6">
        <v>57691000</v>
      </c>
      <c r="H931" s="6">
        <v>3587700</v>
      </c>
      <c r="I931" s="6">
        <v>54103300</v>
      </c>
    </row>
    <row r="932" spans="1:9" x14ac:dyDescent="0.25">
      <c r="A932" t="s">
        <v>324</v>
      </c>
      <c r="B932" s="16" t="str">
        <f>"51151"</f>
        <v>51151</v>
      </c>
      <c r="C932" t="s">
        <v>11</v>
      </c>
      <c r="D932" t="s">
        <v>326</v>
      </c>
      <c r="E932" s="16" t="str">
        <f>"005"</f>
        <v>005</v>
      </c>
      <c r="F932" s="16">
        <v>2018</v>
      </c>
      <c r="G932" s="6">
        <v>520232800</v>
      </c>
      <c r="H932" s="6">
        <v>30231500</v>
      </c>
      <c r="I932" s="6">
        <v>490001300</v>
      </c>
    </row>
    <row r="933" spans="1:9" x14ac:dyDescent="0.25">
      <c r="A933" t="s">
        <v>324</v>
      </c>
      <c r="B933" s="16" t="str">
        <f t="shared" ref="B933:B949" si="38">"51276"</f>
        <v>51276</v>
      </c>
      <c r="C933" t="s">
        <v>10</v>
      </c>
      <c r="D933" t="s">
        <v>324</v>
      </c>
      <c r="E933" s="16" t="str">
        <f>"002"</f>
        <v>002</v>
      </c>
      <c r="F933" s="16">
        <v>1983</v>
      </c>
      <c r="G933" s="6">
        <v>31244700</v>
      </c>
      <c r="H933" s="6">
        <v>2394700</v>
      </c>
      <c r="I933" s="6">
        <v>28850000</v>
      </c>
    </row>
    <row r="934" spans="1:9" x14ac:dyDescent="0.25">
      <c r="A934" t="s">
        <v>324</v>
      </c>
      <c r="B934" s="16" t="str">
        <f t="shared" si="38"/>
        <v>51276</v>
      </c>
      <c r="C934" t="s">
        <v>10</v>
      </c>
      <c r="D934" t="s">
        <v>324</v>
      </c>
      <c r="E934" s="16" t="str">
        <f>"009"</f>
        <v>009</v>
      </c>
      <c r="F934" s="16">
        <v>2000</v>
      </c>
      <c r="G934" s="6">
        <v>34267600</v>
      </c>
      <c r="H934" s="6">
        <v>665700</v>
      </c>
      <c r="I934" s="6">
        <v>33601900</v>
      </c>
    </row>
    <row r="935" spans="1:9" x14ac:dyDescent="0.25">
      <c r="A935" t="s">
        <v>324</v>
      </c>
      <c r="B935" s="16" t="str">
        <f t="shared" si="38"/>
        <v>51276</v>
      </c>
      <c r="C935" t="s">
        <v>10</v>
      </c>
      <c r="D935" t="s">
        <v>324</v>
      </c>
      <c r="E935" s="16" t="str">
        <f>"010"</f>
        <v>010</v>
      </c>
      <c r="F935" s="16">
        <v>2003</v>
      </c>
      <c r="G935" s="6">
        <v>999100</v>
      </c>
      <c r="H935" s="6">
        <v>1180400</v>
      </c>
      <c r="I935" s="6">
        <v>-181300</v>
      </c>
    </row>
    <row r="936" spans="1:9" x14ac:dyDescent="0.25">
      <c r="A936" t="s">
        <v>324</v>
      </c>
      <c r="B936" s="16" t="str">
        <f t="shared" si="38"/>
        <v>51276</v>
      </c>
      <c r="C936" t="s">
        <v>10</v>
      </c>
      <c r="D936" t="s">
        <v>324</v>
      </c>
      <c r="E936" s="16" t="str">
        <f>"011"</f>
        <v>011</v>
      </c>
      <c r="F936" s="16">
        <v>2005</v>
      </c>
      <c r="G936" s="6">
        <v>6792100</v>
      </c>
      <c r="H936" s="6">
        <v>3179700</v>
      </c>
      <c r="I936" s="6">
        <v>3612400</v>
      </c>
    </row>
    <row r="937" spans="1:9" x14ac:dyDescent="0.25">
      <c r="A937" t="s">
        <v>324</v>
      </c>
      <c r="B937" s="16" t="str">
        <f t="shared" si="38"/>
        <v>51276</v>
      </c>
      <c r="C937" t="s">
        <v>10</v>
      </c>
      <c r="D937" t="s">
        <v>324</v>
      </c>
      <c r="E937" s="16" t="str">
        <f>"012"</f>
        <v>012</v>
      </c>
      <c r="F937" s="16">
        <v>2006</v>
      </c>
      <c r="G937" s="6">
        <v>7485100</v>
      </c>
      <c r="H937" s="6">
        <v>378000</v>
      </c>
      <c r="I937" s="6">
        <v>7107100</v>
      </c>
    </row>
    <row r="938" spans="1:9" x14ac:dyDescent="0.25">
      <c r="A938" t="s">
        <v>324</v>
      </c>
      <c r="B938" s="16" t="str">
        <f t="shared" si="38"/>
        <v>51276</v>
      </c>
      <c r="C938" t="s">
        <v>10</v>
      </c>
      <c r="D938" t="s">
        <v>324</v>
      </c>
      <c r="E938" s="16" t="str">
        <f>"013"</f>
        <v>013</v>
      </c>
      <c r="F938" s="16">
        <v>2006</v>
      </c>
      <c r="G938" s="6">
        <v>11508700</v>
      </c>
      <c r="H938" s="6">
        <v>312300</v>
      </c>
      <c r="I938" s="6">
        <v>11196400</v>
      </c>
    </row>
    <row r="939" spans="1:9" x14ac:dyDescent="0.25">
      <c r="A939" t="s">
        <v>324</v>
      </c>
      <c r="B939" s="16" t="str">
        <f t="shared" si="38"/>
        <v>51276</v>
      </c>
      <c r="C939" t="s">
        <v>10</v>
      </c>
      <c r="D939" t="s">
        <v>324</v>
      </c>
      <c r="E939" s="16" t="str">
        <f>"014"</f>
        <v>014</v>
      </c>
      <c r="F939" s="16">
        <v>2006</v>
      </c>
      <c r="G939" s="6">
        <v>5346200</v>
      </c>
      <c r="H939" s="6">
        <v>4103200</v>
      </c>
      <c r="I939" s="6">
        <v>1243000</v>
      </c>
    </row>
    <row r="940" spans="1:9" x14ac:dyDescent="0.25">
      <c r="A940" t="s">
        <v>324</v>
      </c>
      <c r="B940" s="16" t="str">
        <f t="shared" si="38"/>
        <v>51276</v>
      </c>
      <c r="C940" t="s">
        <v>10</v>
      </c>
      <c r="D940" t="s">
        <v>324</v>
      </c>
      <c r="E940" s="16" t="str">
        <f>"016"</f>
        <v>016</v>
      </c>
      <c r="F940" s="16">
        <v>2009</v>
      </c>
      <c r="G940" s="6">
        <v>36204700</v>
      </c>
      <c r="H940" s="6">
        <v>38217400</v>
      </c>
      <c r="I940" s="6">
        <v>-2012700</v>
      </c>
    </row>
    <row r="941" spans="1:9" x14ac:dyDescent="0.25">
      <c r="A941" t="s">
        <v>324</v>
      </c>
      <c r="B941" s="16" t="str">
        <f t="shared" si="38"/>
        <v>51276</v>
      </c>
      <c r="C941" t="s">
        <v>10</v>
      </c>
      <c r="D941" t="s">
        <v>324</v>
      </c>
      <c r="E941" s="16" t="str">
        <f>"017"</f>
        <v>017</v>
      </c>
      <c r="F941" s="16">
        <v>2012</v>
      </c>
      <c r="G941" s="6">
        <v>454800</v>
      </c>
      <c r="H941" s="6">
        <v>364900</v>
      </c>
      <c r="I941" s="6">
        <v>89900</v>
      </c>
    </row>
    <row r="942" spans="1:9" x14ac:dyDescent="0.25">
      <c r="A942" t="s">
        <v>324</v>
      </c>
      <c r="B942" s="16" t="str">
        <f t="shared" si="38"/>
        <v>51276</v>
      </c>
      <c r="C942" t="s">
        <v>10</v>
      </c>
      <c r="D942" t="s">
        <v>324</v>
      </c>
      <c r="E942" s="16" t="str">
        <f>"018"</f>
        <v>018</v>
      </c>
      <c r="F942" s="16">
        <v>2014</v>
      </c>
      <c r="G942" s="6">
        <v>3982700</v>
      </c>
      <c r="H942" s="6">
        <v>3045500</v>
      </c>
      <c r="I942" s="6">
        <v>937200</v>
      </c>
    </row>
    <row r="943" spans="1:9" x14ac:dyDescent="0.25">
      <c r="A943" t="s">
        <v>324</v>
      </c>
      <c r="B943" s="16" t="str">
        <f t="shared" si="38"/>
        <v>51276</v>
      </c>
      <c r="C943" t="s">
        <v>10</v>
      </c>
      <c r="D943" t="s">
        <v>324</v>
      </c>
      <c r="E943" s="16" t="str">
        <f>"019"</f>
        <v>019</v>
      </c>
      <c r="F943" s="16">
        <v>2016</v>
      </c>
      <c r="G943" s="6">
        <v>55795100</v>
      </c>
      <c r="H943" s="6">
        <v>38194400</v>
      </c>
      <c r="I943" s="6">
        <v>17600700</v>
      </c>
    </row>
    <row r="944" spans="1:9" x14ac:dyDescent="0.25">
      <c r="A944" t="s">
        <v>324</v>
      </c>
      <c r="B944" s="16" t="str">
        <f t="shared" si="38"/>
        <v>51276</v>
      </c>
      <c r="C944" t="s">
        <v>10</v>
      </c>
      <c r="D944" t="s">
        <v>324</v>
      </c>
      <c r="E944" s="16" t="str">
        <f>"020"</f>
        <v>020</v>
      </c>
      <c r="F944" s="16">
        <v>2017</v>
      </c>
      <c r="G944" s="6">
        <v>55198400</v>
      </c>
      <c r="H944" s="6">
        <v>59970000</v>
      </c>
      <c r="I944" s="6">
        <v>-4771600</v>
      </c>
    </row>
    <row r="945" spans="1:9" x14ac:dyDescent="0.25">
      <c r="A945" t="s">
        <v>324</v>
      </c>
      <c r="B945" s="16" t="str">
        <f t="shared" si="38"/>
        <v>51276</v>
      </c>
      <c r="C945" t="s">
        <v>10</v>
      </c>
      <c r="D945" t="s">
        <v>324</v>
      </c>
      <c r="E945" s="16" t="str">
        <f>"021"</f>
        <v>021</v>
      </c>
      <c r="F945" s="16">
        <v>2019</v>
      </c>
      <c r="G945" s="6">
        <v>0</v>
      </c>
      <c r="H945" s="6">
        <v>0</v>
      </c>
      <c r="I945" s="6">
        <v>0</v>
      </c>
    </row>
    <row r="946" spans="1:9" x14ac:dyDescent="0.25">
      <c r="A946" t="s">
        <v>324</v>
      </c>
      <c r="B946" s="16" t="str">
        <f t="shared" si="38"/>
        <v>51276</v>
      </c>
      <c r="C946" t="s">
        <v>10</v>
      </c>
      <c r="D946" t="s">
        <v>324</v>
      </c>
      <c r="E946" s="16" t="str">
        <f>"022"</f>
        <v>022</v>
      </c>
      <c r="F946" s="16">
        <v>2019</v>
      </c>
      <c r="G946" s="6">
        <v>404023200</v>
      </c>
      <c r="H946" s="6">
        <v>330022900</v>
      </c>
      <c r="I946" s="6">
        <v>74000300</v>
      </c>
    </row>
    <row r="947" spans="1:9" x14ac:dyDescent="0.25">
      <c r="A947" t="s">
        <v>324</v>
      </c>
      <c r="B947" s="16" t="str">
        <f t="shared" si="38"/>
        <v>51276</v>
      </c>
      <c r="C947" t="s">
        <v>10</v>
      </c>
      <c r="D947" t="s">
        <v>324</v>
      </c>
      <c r="E947" s="16" t="str">
        <f>"023"</f>
        <v>023</v>
      </c>
      <c r="F947" s="16">
        <v>2019</v>
      </c>
      <c r="G947" s="6">
        <v>122865800</v>
      </c>
      <c r="H947" s="6">
        <v>105603300</v>
      </c>
      <c r="I947" s="6">
        <v>17262500</v>
      </c>
    </row>
    <row r="948" spans="1:9" x14ac:dyDescent="0.25">
      <c r="A948" t="s">
        <v>324</v>
      </c>
      <c r="B948" s="16" t="str">
        <f t="shared" si="38"/>
        <v>51276</v>
      </c>
      <c r="C948" t="s">
        <v>10</v>
      </c>
      <c r="D948" t="s">
        <v>324</v>
      </c>
      <c r="E948" s="16" t="str">
        <f>"024"</f>
        <v>024</v>
      </c>
      <c r="F948" s="16">
        <v>2020</v>
      </c>
      <c r="G948" s="6">
        <v>0</v>
      </c>
      <c r="H948" s="6">
        <v>50600</v>
      </c>
      <c r="I948" s="6">
        <v>-50600</v>
      </c>
    </row>
    <row r="949" spans="1:9" x14ac:dyDescent="0.25">
      <c r="A949" t="s">
        <v>324</v>
      </c>
      <c r="B949" s="16" t="str">
        <f t="shared" si="38"/>
        <v>51276</v>
      </c>
      <c r="C949" t="s">
        <v>10</v>
      </c>
      <c r="D949" t="s">
        <v>324</v>
      </c>
      <c r="E949" s="16" t="str">
        <f>"025"</f>
        <v>025</v>
      </c>
      <c r="F949" s="16">
        <v>2020</v>
      </c>
      <c r="G949" s="6">
        <v>480900</v>
      </c>
      <c r="H949" s="6">
        <v>6116700</v>
      </c>
      <c r="I949" s="6">
        <v>-5635800</v>
      </c>
    </row>
    <row r="950" spans="1:9" x14ac:dyDescent="0.25">
      <c r="A950" t="s">
        <v>324</v>
      </c>
      <c r="B950" s="16" t="str">
        <f>"51181"</f>
        <v>51181</v>
      </c>
      <c r="C950" t="s">
        <v>11</v>
      </c>
      <c r="D950" t="s">
        <v>327</v>
      </c>
      <c r="E950" s="16" t="str">
        <f>"004"</f>
        <v>004</v>
      </c>
      <c r="F950" s="16">
        <v>2016</v>
      </c>
      <c r="G950" s="6">
        <v>149939500</v>
      </c>
      <c r="H950" s="6">
        <v>55323600</v>
      </c>
      <c r="I950" s="6">
        <v>94615900</v>
      </c>
    </row>
    <row r="951" spans="1:9" x14ac:dyDescent="0.25">
      <c r="A951" t="s">
        <v>324</v>
      </c>
      <c r="B951" s="16" t="str">
        <f>"51186"</f>
        <v>51186</v>
      </c>
      <c r="C951" t="s">
        <v>11</v>
      </c>
      <c r="D951" t="s">
        <v>328</v>
      </c>
      <c r="E951" s="16" t="str">
        <f>"004"</f>
        <v>004</v>
      </c>
      <c r="F951" s="16">
        <v>2006</v>
      </c>
      <c r="G951" s="6">
        <v>40885700</v>
      </c>
      <c r="H951" s="6">
        <v>31932700</v>
      </c>
      <c r="I951" s="6">
        <v>8953000</v>
      </c>
    </row>
    <row r="952" spans="1:9" x14ac:dyDescent="0.25">
      <c r="A952" t="s">
        <v>324</v>
      </c>
      <c r="B952" s="16" t="str">
        <f>"51186"</f>
        <v>51186</v>
      </c>
      <c r="C952" t="s">
        <v>11</v>
      </c>
      <c r="D952" t="s">
        <v>328</v>
      </c>
      <c r="E952" s="16" t="str">
        <f>"005"</f>
        <v>005</v>
      </c>
      <c r="F952" s="16">
        <v>2016</v>
      </c>
      <c r="G952" s="6">
        <v>10819600</v>
      </c>
      <c r="H952" s="6">
        <v>464700</v>
      </c>
      <c r="I952" s="6">
        <v>10354900</v>
      </c>
    </row>
    <row r="953" spans="1:9" x14ac:dyDescent="0.25">
      <c r="A953" t="s">
        <v>324</v>
      </c>
      <c r="B953" s="16" t="str">
        <f>"51186"</f>
        <v>51186</v>
      </c>
      <c r="C953" t="s">
        <v>11</v>
      </c>
      <c r="D953" t="s">
        <v>328</v>
      </c>
      <c r="E953" s="16" t="str">
        <f>"006"</f>
        <v>006</v>
      </c>
      <c r="F953" s="16">
        <v>2019</v>
      </c>
      <c r="G953" s="6">
        <v>27924800</v>
      </c>
      <c r="H953" s="6">
        <v>13935400</v>
      </c>
      <c r="I953" s="6">
        <v>13989400</v>
      </c>
    </row>
    <row r="954" spans="1:9" x14ac:dyDescent="0.25">
      <c r="A954" t="s">
        <v>324</v>
      </c>
      <c r="B954" s="16" t="str">
        <f>"51191"</f>
        <v>51191</v>
      </c>
      <c r="C954" t="s">
        <v>11</v>
      </c>
      <c r="D954" t="s">
        <v>329</v>
      </c>
      <c r="E954" s="16" t="str">
        <f>"002"</f>
        <v>002</v>
      </c>
      <c r="F954" s="16">
        <v>2000</v>
      </c>
      <c r="G954" s="6">
        <v>31712700</v>
      </c>
      <c r="H954" s="6">
        <v>13787500</v>
      </c>
      <c r="I954" s="6">
        <v>17925200</v>
      </c>
    </row>
    <row r="955" spans="1:9" x14ac:dyDescent="0.25">
      <c r="A955" t="s">
        <v>324</v>
      </c>
      <c r="B955" s="16" t="str">
        <f>"51191"</f>
        <v>51191</v>
      </c>
      <c r="C955" t="s">
        <v>11</v>
      </c>
      <c r="D955" t="s">
        <v>329</v>
      </c>
      <c r="E955" s="16" t="str">
        <f>"003"</f>
        <v>003</v>
      </c>
      <c r="F955" s="16">
        <v>2019</v>
      </c>
      <c r="G955" s="6">
        <v>21204400</v>
      </c>
      <c r="H955" s="6">
        <v>11316600</v>
      </c>
      <c r="I955" s="6">
        <v>9887800</v>
      </c>
    </row>
    <row r="956" spans="1:9" x14ac:dyDescent="0.25">
      <c r="A956" t="s">
        <v>324</v>
      </c>
      <c r="B956" s="16" t="str">
        <f>"51191"</f>
        <v>51191</v>
      </c>
      <c r="C956" t="s">
        <v>11</v>
      </c>
      <c r="D956" t="s">
        <v>329</v>
      </c>
      <c r="E956" s="16" t="str">
        <f>"004"</f>
        <v>004</v>
      </c>
      <c r="F956" s="16">
        <v>2020</v>
      </c>
      <c r="G956" s="6">
        <v>7685900</v>
      </c>
      <c r="H956" s="6">
        <v>7150400</v>
      </c>
      <c r="I956" s="6">
        <v>535500</v>
      </c>
    </row>
    <row r="957" spans="1:9" x14ac:dyDescent="0.25">
      <c r="A957" t="s">
        <v>324</v>
      </c>
      <c r="B957" s="16" t="str">
        <f>"51194"</f>
        <v>51194</v>
      </c>
      <c r="C957" t="s">
        <v>11</v>
      </c>
      <c r="D957" t="s">
        <v>330</v>
      </c>
      <c r="E957" s="16" t="str">
        <f>"001"</f>
        <v>001</v>
      </c>
      <c r="F957" s="16">
        <v>2019</v>
      </c>
      <c r="G957" s="6">
        <v>39680400</v>
      </c>
      <c r="H957" s="6">
        <v>6045700</v>
      </c>
      <c r="I957" s="6">
        <v>33634700</v>
      </c>
    </row>
    <row r="958" spans="1:9" x14ac:dyDescent="0.25">
      <c r="A958" t="s">
        <v>331</v>
      </c>
      <c r="B958" s="16" t="str">
        <f>"52276"</f>
        <v>52276</v>
      </c>
      <c r="C958" t="s">
        <v>10</v>
      </c>
      <c r="D958" t="s">
        <v>332</v>
      </c>
      <c r="E958" s="16" t="str">
        <f>"004"</f>
        <v>004</v>
      </c>
      <c r="F958" s="16">
        <v>1995</v>
      </c>
      <c r="G958" s="6">
        <v>20968800</v>
      </c>
      <c r="H958" s="6">
        <v>15091600</v>
      </c>
      <c r="I958" s="6">
        <v>5877200</v>
      </c>
    </row>
    <row r="959" spans="1:9" x14ac:dyDescent="0.25">
      <c r="A959" t="s">
        <v>331</v>
      </c>
      <c r="B959" s="16" t="str">
        <f>"52276"</f>
        <v>52276</v>
      </c>
      <c r="C959" t="s">
        <v>10</v>
      </c>
      <c r="D959" t="s">
        <v>332</v>
      </c>
      <c r="E959" s="16" t="str">
        <f>"006"</f>
        <v>006</v>
      </c>
      <c r="F959" s="16">
        <v>2017</v>
      </c>
      <c r="G959" s="6">
        <v>5097700</v>
      </c>
      <c r="H959" s="6">
        <v>28300</v>
      </c>
      <c r="I959" s="6">
        <v>5069400</v>
      </c>
    </row>
    <row r="960" spans="1:9" x14ac:dyDescent="0.25">
      <c r="A960" t="s">
        <v>331</v>
      </c>
      <c r="B960" s="16" t="str">
        <f>"52186"</f>
        <v>52186</v>
      </c>
      <c r="C960" t="s">
        <v>11</v>
      </c>
      <c r="D960" t="s">
        <v>333</v>
      </c>
      <c r="E960" s="16" t="str">
        <f>"003"</f>
        <v>003</v>
      </c>
      <c r="F960" s="16">
        <v>1995</v>
      </c>
      <c r="G960" s="6">
        <v>1308500</v>
      </c>
      <c r="H960" s="6">
        <v>660900</v>
      </c>
      <c r="I960" s="6">
        <v>647600</v>
      </c>
    </row>
    <row r="961" spans="1:10" x14ac:dyDescent="0.25">
      <c r="A961" t="s">
        <v>331</v>
      </c>
      <c r="B961" s="16" t="str">
        <f>"52186"</f>
        <v>52186</v>
      </c>
      <c r="C961" t="s">
        <v>11</v>
      </c>
      <c r="D961" t="s">
        <v>333</v>
      </c>
      <c r="E961" s="16" t="str">
        <f>"006"</f>
        <v>006</v>
      </c>
      <c r="F961" s="16">
        <v>2019</v>
      </c>
      <c r="G961" s="6">
        <v>707500</v>
      </c>
      <c r="H961" s="6">
        <v>586000</v>
      </c>
      <c r="I961" s="6">
        <v>121500</v>
      </c>
    </row>
    <row r="962" spans="1:10" x14ac:dyDescent="0.25">
      <c r="A962" t="s">
        <v>334</v>
      </c>
      <c r="B962" s="16" t="str">
        <f t="shared" ref="B962:B968" si="39">"53206"</f>
        <v>53206</v>
      </c>
      <c r="C962" t="s">
        <v>10</v>
      </c>
      <c r="D962" t="s">
        <v>335</v>
      </c>
      <c r="E962" s="16" t="str">
        <f>"008"</f>
        <v>008</v>
      </c>
      <c r="F962" s="16">
        <v>1995</v>
      </c>
      <c r="G962" s="6">
        <v>24043600</v>
      </c>
      <c r="H962" s="6">
        <v>1646300</v>
      </c>
      <c r="I962" s="6">
        <v>22397300</v>
      </c>
    </row>
    <row r="963" spans="1:10" x14ac:dyDescent="0.25">
      <c r="A963" s="12" t="s">
        <v>334</v>
      </c>
      <c r="B963" s="17" t="str">
        <f t="shared" si="39"/>
        <v>53206</v>
      </c>
      <c r="C963" s="12" t="s">
        <v>10</v>
      </c>
      <c r="D963" s="12" t="s">
        <v>335</v>
      </c>
      <c r="E963" s="17" t="str">
        <f>"009"</f>
        <v>009</v>
      </c>
      <c r="F963" s="17">
        <v>1998</v>
      </c>
      <c r="G963" s="13">
        <v>9449400</v>
      </c>
      <c r="H963" s="13">
        <v>3666300</v>
      </c>
      <c r="I963" s="13">
        <v>5783100</v>
      </c>
    </row>
    <row r="964" spans="1:10" x14ac:dyDescent="0.25">
      <c r="A964" s="12" t="s">
        <v>334</v>
      </c>
      <c r="B964" s="17" t="str">
        <f t="shared" si="39"/>
        <v>53206</v>
      </c>
      <c r="C964" s="12" t="s">
        <v>10</v>
      </c>
      <c r="D964" s="12" t="s">
        <v>335</v>
      </c>
      <c r="E964" s="17" t="str">
        <f>"010"</f>
        <v>010</v>
      </c>
      <c r="F964" s="17">
        <v>2001</v>
      </c>
      <c r="G964" s="14">
        <v>385609100</v>
      </c>
      <c r="H964" s="14">
        <v>1763400</v>
      </c>
      <c r="I964" s="14">
        <v>383845700</v>
      </c>
      <c r="J964" s="11"/>
    </row>
    <row r="965" spans="1:10" x14ac:dyDescent="0.25">
      <c r="A965" t="s">
        <v>334</v>
      </c>
      <c r="B965" s="16" t="str">
        <f t="shared" si="39"/>
        <v>53206</v>
      </c>
      <c r="C965" t="s">
        <v>10</v>
      </c>
      <c r="D965" t="s">
        <v>335</v>
      </c>
      <c r="E965" s="16" t="str">
        <f>"011"</f>
        <v>011</v>
      </c>
      <c r="F965" s="16">
        <v>2002</v>
      </c>
      <c r="G965" s="6">
        <v>10244400</v>
      </c>
      <c r="H965" s="6">
        <v>1963200</v>
      </c>
      <c r="I965" s="6">
        <v>8281200</v>
      </c>
    </row>
    <row r="966" spans="1:10" x14ac:dyDescent="0.25">
      <c r="A966" t="s">
        <v>334</v>
      </c>
      <c r="B966" s="16" t="str">
        <f t="shared" si="39"/>
        <v>53206</v>
      </c>
      <c r="C966" t="s">
        <v>10</v>
      </c>
      <c r="D966" t="s">
        <v>335</v>
      </c>
      <c r="E966" s="16" t="str">
        <f>"012"</f>
        <v>012</v>
      </c>
      <c r="F966" s="16">
        <v>2003</v>
      </c>
      <c r="G966" s="6">
        <v>2203500</v>
      </c>
      <c r="H966" s="6">
        <v>795300</v>
      </c>
      <c r="I966" s="6">
        <v>1408200</v>
      </c>
    </row>
    <row r="967" spans="1:10" x14ac:dyDescent="0.25">
      <c r="A967" t="s">
        <v>334</v>
      </c>
      <c r="B967" s="16" t="str">
        <f t="shared" si="39"/>
        <v>53206</v>
      </c>
      <c r="C967" t="s">
        <v>10</v>
      </c>
      <c r="D967" t="s">
        <v>335</v>
      </c>
      <c r="E967" s="16" t="str">
        <f>"013"</f>
        <v>013</v>
      </c>
      <c r="F967" s="16">
        <v>2005</v>
      </c>
      <c r="G967" s="6">
        <v>72976700</v>
      </c>
      <c r="H967" s="6">
        <v>23854500</v>
      </c>
      <c r="I967" s="6">
        <v>49122200</v>
      </c>
    </row>
    <row r="968" spans="1:10" x14ac:dyDescent="0.25">
      <c r="A968" t="s">
        <v>334</v>
      </c>
      <c r="B968" s="16" t="str">
        <f t="shared" si="39"/>
        <v>53206</v>
      </c>
      <c r="C968" t="s">
        <v>10</v>
      </c>
      <c r="D968" t="s">
        <v>335</v>
      </c>
      <c r="E968" s="16" t="str">
        <f>"014"</f>
        <v>014</v>
      </c>
      <c r="F968" s="16">
        <v>2007</v>
      </c>
      <c r="G968" s="6">
        <v>17182000</v>
      </c>
      <c r="H968" s="6">
        <v>10510700</v>
      </c>
      <c r="I968" s="6">
        <v>6671300</v>
      </c>
    </row>
    <row r="969" spans="1:10" x14ac:dyDescent="0.25">
      <c r="A969" t="s">
        <v>334</v>
      </c>
      <c r="B969" s="16" t="str">
        <f>"53210"</f>
        <v>53210</v>
      </c>
      <c r="C969" t="s">
        <v>10</v>
      </c>
      <c r="D969" t="s">
        <v>163</v>
      </c>
      <c r="E969" s="16" t="str">
        <f>"006"</f>
        <v>006</v>
      </c>
      <c r="F969" s="16">
        <v>2006</v>
      </c>
      <c r="G969" s="6">
        <v>2862800</v>
      </c>
      <c r="H969" s="6">
        <v>102100</v>
      </c>
      <c r="I969" s="6">
        <v>2760700</v>
      </c>
    </row>
    <row r="970" spans="1:10" x14ac:dyDescent="0.25">
      <c r="A970" t="s">
        <v>334</v>
      </c>
      <c r="B970" s="16" t="str">
        <f>"53111"</f>
        <v>53111</v>
      </c>
      <c r="C970" t="s">
        <v>11</v>
      </c>
      <c r="D970" t="s">
        <v>336</v>
      </c>
      <c r="E970" s="16" t="str">
        <f>"004"</f>
        <v>004</v>
      </c>
      <c r="F970" s="16">
        <v>1998</v>
      </c>
      <c r="G970" s="6">
        <v>48787900</v>
      </c>
      <c r="H970" s="6">
        <v>17807300</v>
      </c>
      <c r="I970" s="6">
        <v>30980600</v>
      </c>
    </row>
    <row r="971" spans="1:10" x14ac:dyDescent="0.25">
      <c r="A971" t="s">
        <v>334</v>
      </c>
      <c r="B971" s="16" t="str">
        <f>"53221"</f>
        <v>53221</v>
      </c>
      <c r="C971" t="s">
        <v>10</v>
      </c>
      <c r="D971" t="s">
        <v>337</v>
      </c>
      <c r="E971" s="16" t="str">
        <f>"006"</f>
        <v>006</v>
      </c>
      <c r="F971" s="16">
        <v>2000</v>
      </c>
      <c r="G971" s="6">
        <v>30380800</v>
      </c>
      <c r="H971" s="6">
        <v>10105900</v>
      </c>
      <c r="I971" s="6">
        <v>20274900</v>
      </c>
    </row>
    <row r="972" spans="1:10" x14ac:dyDescent="0.25">
      <c r="A972" t="s">
        <v>334</v>
      </c>
      <c r="B972" s="16" t="str">
        <f>"53221"</f>
        <v>53221</v>
      </c>
      <c r="C972" t="s">
        <v>10</v>
      </c>
      <c r="D972" t="s">
        <v>337</v>
      </c>
      <c r="E972" s="16" t="str">
        <f>"007"</f>
        <v>007</v>
      </c>
      <c r="F972" s="16">
        <v>2000</v>
      </c>
      <c r="G972" s="6">
        <v>2901300</v>
      </c>
      <c r="H972" s="6">
        <v>650100</v>
      </c>
      <c r="I972" s="6">
        <v>2251200</v>
      </c>
    </row>
    <row r="973" spans="1:10" x14ac:dyDescent="0.25">
      <c r="A973" t="s">
        <v>334</v>
      </c>
      <c r="B973" s="16" t="str">
        <f>"53221"</f>
        <v>53221</v>
      </c>
      <c r="C973" t="s">
        <v>10</v>
      </c>
      <c r="D973" t="s">
        <v>337</v>
      </c>
      <c r="E973" s="16" t="str">
        <f>"008"</f>
        <v>008</v>
      </c>
      <c r="F973" s="16">
        <v>2005</v>
      </c>
      <c r="G973" s="6">
        <v>13642700</v>
      </c>
      <c r="H973" s="6">
        <v>7337900</v>
      </c>
      <c r="I973" s="6">
        <v>6304800</v>
      </c>
    </row>
    <row r="974" spans="1:10" x14ac:dyDescent="0.25">
      <c r="A974" t="s">
        <v>334</v>
      </c>
      <c r="B974" s="16" t="str">
        <f>"53222"</f>
        <v>53222</v>
      </c>
      <c r="C974" t="s">
        <v>10</v>
      </c>
      <c r="D974" t="s">
        <v>338</v>
      </c>
      <c r="E974" s="16" t="str">
        <f>"005"</f>
        <v>005</v>
      </c>
      <c r="F974" s="16">
        <v>2004</v>
      </c>
      <c r="G974" s="6">
        <v>23741500</v>
      </c>
      <c r="H974" s="6">
        <v>11299100</v>
      </c>
      <c r="I974" s="6">
        <v>12442400</v>
      </c>
    </row>
    <row r="975" spans="1:10" x14ac:dyDescent="0.25">
      <c r="A975" t="s">
        <v>334</v>
      </c>
      <c r="B975" s="16" t="str">
        <f>"53222"</f>
        <v>53222</v>
      </c>
      <c r="C975" t="s">
        <v>10</v>
      </c>
      <c r="D975" t="s">
        <v>338</v>
      </c>
      <c r="E975" s="16" t="str">
        <f>"006"</f>
        <v>006</v>
      </c>
      <c r="F975" s="16">
        <v>2006</v>
      </c>
      <c r="G975" s="6">
        <v>7643800</v>
      </c>
      <c r="H975" s="6">
        <v>1927800</v>
      </c>
      <c r="I975" s="6">
        <v>5716000</v>
      </c>
    </row>
    <row r="976" spans="1:10" x14ac:dyDescent="0.25">
      <c r="A976" t="s">
        <v>334</v>
      </c>
      <c r="B976" s="16" t="str">
        <f>"53222"</f>
        <v>53222</v>
      </c>
      <c r="C976" t="s">
        <v>10</v>
      </c>
      <c r="D976" t="s">
        <v>338</v>
      </c>
      <c r="E976" s="16" t="str">
        <f>"007"</f>
        <v>007</v>
      </c>
      <c r="F976" s="16">
        <v>2007</v>
      </c>
      <c r="G976" s="6">
        <v>16509100</v>
      </c>
      <c r="H976" s="6">
        <v>6101700</v>
      </c>
      <c r="I976" s="6">
        <v>10407400</v>
      </c>
    </row>
    <row r="977" spans="1:9" x14ac:dyDescent="0.25">
      <c r="A977" t="s">
        <v>334</v>
      </c>
      <c r="B977" s="16" t="str">
        <f>"53222"</f>
        <v>53222</v>
      </c>
      <c r="C977" t="s">
        <v>10</v>
      </c>
      <c r="D977" t="s">
        <v>338</v>
      </c>
      <c r="E977" s="16" t="str">
        <f>"008"</f>
        <v>008</v>
      </c>
      <c r="F977" s="16">
        <v>2008</v>
      </c>
      <c r="G977" s="6">
        <v>5501900</v>
      </c>
      <c r="H977" s="6">
        <v>2695300</v>
      </c>
      <c r="I977" s="6">
        <v>2806600</v>
      </c>
    </row>
    <row r="978" spans="1:9" x14ac:dyDescent="0.25">
      <c r="A978" t="s">
        <v>334</v>
      </c>
      <c r="B978" s="16" t="str">
        <f>"53222"</f>
        <v>53222</v>
      </c>
      <c r="C978" t="s">
        <v>10</v>
      </c>
      <c r="D978" t="s">
        <v>338</v>
      </c>
      <c r="E978" s="16" t="str">
        <f>"009"</f>
        <v>009</v>
      </c>
      <c r="F978" s="16">
        <v>2018</v>
      </c>
      <c r="G978" s="6">
        <v>2361800</v>
      </c>
      <c r="H978" s="6">
        <v>500</v>
      </c>
      <c r="I978" s="6">
        <v>2361300</v>
      </c>
    </row>
    <row r="979" spans="1:9" x14ac:dyDescent="0.25">
      <c r="A979" t="s">
        <v>334</v>
      </c>
      <c r="B979" s="16" t="str">
        <f>"53126"</f>
        <v>53126</v>
      </c>
      <c r="C979" t="s">
        <v>11</v>
      </c>
      <c r="D979" t="s">
        <v>339</v>
      </c>
      <c r="E979" s="16" t="str">
        <f>"001"</f>
        <v>001</v>
      </c>
      <c r="F979" s="16">
        <v>2000</v>
      </c>
      <c r="G979" s="6">
        <v>13402200</v>
      </c>
      <c r="H979" s="6">
        <v>1235300</v>
      </c>
      <c r="I979" s="6">
        <v>12166900</v>
      </c>
    </row>
    <row r="980" spans="1:9" x14ac:dyDescent="0.25">
      <c r="A980" t="s">
        <v>334</v>
      </c>
      <c r="B980" s="16" t="str">
        <f t="shared" ref="B980:B993" si="40">"53241"</f>
        <v>53241</v>
      </c>
      <c r="C980" t="s">
        <v>10</v>
      </c>
      <c r="D980" t="s">
        <v>340</v>
      </c>
      <c r="E980" s="16" t="str">
        <f>"017"</f>
        <v>017</v>
      </c>
      <c r="F980" s="16">
        <v>1997</v>
      </c>
      <c r="G980" s="6">
        <v>3043700</v>
      </c>
      <c r="H980" s="6">
        <v>1407500</v>
      </c>
      <c r="I980" s="6">
        <v>1636200</v>
      </c>
    </row>
    <row r="981" spans="1:9" x14ac:dyDescent="0.25">
      <c r="A981" t="s">
        <v>334</v>
      </c>
      <c r="B981" s="16" t="str">
        <f t="shared" si="40"/>
        <v>53241</v>
      </c>
      <c r="C981" t="s">
        <v>10</v>
      </c>
      <c r="D981" t="s">
        <v>340</v>
      </c>
      <c r="E981" s="16" t="str">
        <f>"022"</f>
        <v>022</v>
      </c>
      <c r="F981" s="16">
        <v>1999</v>
      </c>
      <c r="G981" s="6">
        <v>65232900</v>
      </c>
      <c r="H981" s="6">
        <v>5508500</v>
      </c>
      <c r="I981" s="6">
        <v>59724400</v>
      </c>
    </row>
    <row r="982" spans="1:9" x14ac:dyDescent="0.25">
      <c r="A982" t="s">
        <v>334</v>
      </c>
      <c r="B982" s="16" t="str">
        <f t="shared" si="40"/>
        <v>53241</v>
      </c>
      <c r="C982" t="s">
        <v>10</v>
      </c>
      <c r="D982" t="s">
        <v>340</v>
      </c>
      <c r="E982" s="16" t="str">
        <f>"023"</f>
        <v>023</v>
      </c>
      <c r="F982" s="16">
        <v>2002</v>
      </c>
      <c r="G982" s="6">
        <v>7650700</v>
      </c>
      <c r="H982" s="6">
        <v>4973700</v>
      </c>
      <c r="I982" s="6">
        <v>2677000</v>
      </c>
    </row>
    <row r="983" spans="1:9" x14ac:dyDescent="0.25">
      <c r="A983" t="s">
        <v>334</v>
      </c>
      <c r="B983" s="16" t="str">
        <f t="shared" si="40"/>
        <v>53241</v>
      </c>
      <c r="C983" t="s">
        <v>10</v>
      </c>
      <c r="D983" t="s">
        <v>340</v>
      </c>
      <c r="E983" s="16" t="str">
        <f>"025"</f>
        <v>025</v>
      </c>
      <c r="F983" s="16">
        <v>2003</v>
      </c>
      <c r="G983" s="6">
        <v>14484200</v>
      </c>
      <c r="H983" s="6">
        <v>12900</v>
      </c>
      <c r="I983" s="6">
        <v>14471300</v>
      </c>
    </row>
    <row r="984" spans="1:9" x14ac:dyDescent="0.25">
      <c r="A984" t="s">
        <v>334</v>
      </c>
      <c r="B984" s="16" t="str">
        <f t="shared" si="40"/>
        <v>53241</v>
      </c>
      <c r="C984" t="s">
        <v>10</v>
      </c>
      <c r="D984" t="s">
        <v>340</v>
      </c>
      <c r="E984" s="16" t="str">
        <f>"026"</f>
        <v>026</v>
      </c>
      <c r="F984" s="16">
        <v>2004</v>
      </c>
      <c r="G984" s="6">
        <v>53894600</v>
      </c>
      <c r="H984" s="6">
        <v>33643100</v>
      </c>
      <c r="I984" s="6">
        <v>20251500</v>
      </c>
    </row>
    <row r="985" spans="1:9" x14ac:dyDescent="0.25">
      <c r="A985" t="s">
        <v>334</v>
      </c>
      <c r="B985" s="16" t="str">
        <f t="shared" si="40"/>
        <v>53241</v>
      </c>
      <c r="C985" t="s">
        <v>10</v>
      </c>
      <c r="D985" t="s">
        <v>340</v>
      </c>
      <c r="E985" s="16" t="str">
        <f>"027"</f>
        <v>027</v>
      </c>
      <c r="F985" s="16">
        <v>2003</v>
      </c>
      <c r="G985" s="6">
        <v>4379300</v>
      </c>
      <c r="H985" s="6">
        <v>4064800</v>
      </c>
      <c r="I985" s="6">
        <v>314500</v>
      </c>
    </row>
    <row r="986" spans="1:9" x14ac:dyDescent="0.25">
      <c r="A986" t="s">
        <v>334</v>
      </c>
      <c r="B986" s="16" t="str">
        <f t="shared" si="40"/>
        <v>53241</v>
      </c>
      <c r="C986" t="s">
        <v>10</v>
      </c>
      <c r="D986" t="s">
        <v>340</v>
      </c>
      <c r="E986" s="16" t="str">
        <f>"028"</f>
        <v>028</v>
      </c>
      <c r="F986" s="16">
        <v>2006</v>
      </c>
      <c r="G986" s="6">
        <v>2878000</v>
      </c>
      <c r="H986" s="6">
        <v>2471400</v>
      </c>
      <c r="I986" s="6">
        <v>406600</v>
      </c>
    </row>
    <row r="987" spans="1:9" x14ac:dyDescent="0.25">
      <c r="A987" t="s">
        <v>334</v>
      </c>
      <c r="B987" s="16" t="str">
        <f t="shared" si="40"/>
        <v>53241</v>
      </c>
      <c r="C987" t="s">
        <v>10</v>
      </c>
      <c r="D987" t="s">
        <v>340</v>
      </c>
      <c r="E987" s="16" t="str">
        <f>"029"</f>
        <v>029</v>
      </c>
      <c r="F987" s="16">
        <v>2007</v>
      </c>
      <c r="G987" s="6">
        <v>10683300</v>
      </c>
      <c r="H987" s="6">
        <v>6610100</v>
      </c>
      <c r="I987" s="6">
        <v>4073200</v>
      </c>
    </row>
    <row r="988" spans="1:9" x14ac:dyDescent="0.25">
      <c r="A988" t="s">
        <v>334</v>
      </c>
      <c r="B988" s="16" t="str">
        <f t="shared" si="40"/>
        <v>53241</v>
      </c>
      <c r="C988" t="s">
        <v>10</v>
      </c>
      <c r="D988" t="s">
        <v>340</v>
      </c>
      <c r="E988" s="16" t="str">
        <f>"032"</f>
        <v>032</v>
      </c>
      <c r="F988" s="16">
        <v>2008</v>
      </c>
      <c r="G988" s="6">
        <v>186818800</v>
      </c>
      <c r="H988" s="6">
        <v>81272100</v>
      </c>
      <c r="I988" s="6">
        <v>105546700</v>
      </c>
    </row>
    <row r="989" spans="1:9" x14ac:dyDescent="0.25">
      <c r="A989" t="s">
        <v>334</v>
      </c>
      <c r="B989" s="16" t="str">
        <f t="shared" si="40"/>
        <v>53241</v>
      </c>
      <c r="C989" t="s">
        <v>10</v>
      </c>
      <c r="D989" t="s">
        <v>340</v>
      </c>
      <c r="E989" s="16" t="str">
        <f>"033"</f>
        <v>033</v>
      </c>
      <c r="F989" s="16">
        <v>2008</v>
      </c>
      <c r="G989" s="6">
        <v>23230000</v>
      </c>
      <c r="H989" s="6">
        <v>7048500</v>
      </c>
      <c r="I989" s="6">
        <v>16181500</v>
      </c>
    </row>
    <row r="990" spans="1:9" x14ac:dyDescent="0.25">
      <c r="A990" t="s">
        <v>334</v>
      </c>
      <c r="B990" s="16" t="str">
        <f t="shared" si="40"/>
        <v>53241</v>
      </c>
      <c r="C990" t="s">
        <v>10</v>
      </c>
      <c r="D990" t="s">
        <v>340</v>
      </c>
      <c r="E990" s="16" t="str">
        <f>"035"</f>
        <v>035</v>
      </c>
      <c r="F990" s="16">
        <v>2011</v>
      </c>
      <c r="G990" s="6">
        <v>115750800</v>
      </c>
      <c r="H990" s="6">
        <v>28377800</v>
      </c>
      <c r="I990" s="6">
        <v>87373000</v>
      </c>
    </row>
    <row r="991" spans="1:9" x14ac:dyDescent="0.25">
      <c r="A991" t="s">
        <v>334</v>
      </c>
      <c r="B991" s="16" t="str">
        <f t="shared" si="40"/>
        <v>53241</v>
      </c>
      <c r="C991" t="s">
        <v>10</v>
      </c>
      <c r="D991" t="s">
        <v>340</v>
      </c>
      <c r="E991" s="16" t="str">
        <f>"036"</f>
        <v>036</v>
      </c>
      <c r="F991" s="16">
        <v>2016</v>
      </c>
      <c r="G991" s="6">
        <v>114032600</v>
      </c>
      <c r="H991" s="6">
        <v>89009600</v>
      </c>
      <c r="I991" s="6">
        <v>25023000</v>
      </c>
    </row>
    <row r="992" spans="1:9" x14ac:dyDescent="0.25">
      <c r="A992" t="s">
        <v>334</v>
      </c>
      <c r="B992" s="16" t="str">
        <f t="shared" si="40"/>
        <v>53241</v>
      </c>
      <c r="C992" t="s">
        <v>10</v>
      </c>
      <c r="D992" t="s">
        <v>340</v>
      </c>
      <c r="E992" s="16" t="str">
        <f>"037"</f>
        <v>037</v>
      </c>
      <c r="F992" s="16">
        <v>2017</v>
      </c>
      <c r="G992" s="6">
        <v>26422800</v>
      </c>
      <c r="H992" s="6">
        <v>7260400</v>
      </c>
      <c r="I992" s="6">
        <v>19162400</v>
      </c>
    </row>
    <row r="993" spans="1:9" x14ac:dyDescent="0.25">
      <c r="A993" t="s">
        <v>334</v>
      </c>
      <c r="B993" s="16" t="str">
        <f t="shared" si="40"/>
        <v>53241</v>
      </c>
      <c r="C993" t="s">
        <v>10</v>
      </c>
      <c r="D993" t="s">
        <v>340</v>
      </c>
      <c r="E993" s="16" t="str">
        <f>"038"</f>
        <v>038</v>
      </c>
      <c r="F993" s="16">
        <v>2020</v>
      </c>
      <c r="G993" s="6">
        <v>32917300</v>
      </c>
      <c r="H993" s="6">
        <v>18425800</v>
      </c>
      <c r="I993" s="6">
        <v>14491500</v>
      </c>
    </row>
    <row r="994" spans="1:9" x14ac:dyDescent="0.25">
      <c r="A994" t="s">
        <v>334</v>
      </c>
      <c r="B994" s="16" t="str">
        <f>"53257"</f>
        <v>53257</v>
      </c>
      <c r="C994" t="s">
        <v>10</v>
      </c>
      <c r="D994" t="s">
        <v>341</v>
      </c>
      <c r="E994" s="16" t="str">
        <f>"006"</f>
        <v>006</v>
      </c>
      <c r="F994" s="16">
        <v>2003</v>
      </c>
      <c r="G994" s="6">
        <v>47109100</v>
      </c>
      <c r="H994" s="6">
        <v>3330300</v>
      </c>
      <c r="I994" s="6">
        <v>43778800</v>
      </c>
    </row>
    <row r="995" spans="1:9" x14ac:dyDescent="0.25">
      <c r="A995" t="s">
        <v>334</v>
      </c>
      <c r="B995" s="16" t="str">
        <f>"53257"</f>
        <v>53257</v>
      </c>
      <c r="C995" t="s">
        <v>10</v>
      </c>
      <c r="D995" t="s">
        <v>341</v>
      </c>
      <c r="E995" s="16" t="str">
        <f>"007"</f>
        <v>007</v>
      </c>
      <c r="F995" s="16">
        <v>2004</v>
      </c>
      <c r="G995" s="6">
        <v>14881400</v>
      </c>
      <c r="H995" s="6">
        <v>8567500</v>
      </c>
      <c r="I995" s="6">
        <v>6313900</v>
      </c>
    </row>
    <row r="996" spans="1:9" x14ac:dyDescent="0.25">
      <c r="A996" t="s">
        <v>334</v>
      </c>
      <c r="B996" s="16" t="str">
        <f>"53257"</f>
        <v>53257</v>
      </c>
      <c r="C996" t="s">
        <v>10</v>
      </c>
      <c r="D996" t="s">
        <v>341</v>
      </c>
      <c r="E996" s="16" t="str">
        <f>"009"</f>
        <v>009</v>
      </c>
      <c r="F996" s="16">
        <v>2016</v>
      </c>
      <c r="G996" s="6">
        <v>9150900</v>
      </c>
      <c r="H996" s="6">
        <v>174700</v>
      </c>
      <c r="I996" s="6">
        <v>8976200</v>
      </c>
    </row>
    <row r="997" spans="1:9" x14ac:dyDescent="0.25">
      <c r="A997" t="s">
        <v>334</v>
      </c>
      <c r="B997" s="16" t="str">
        <f>"53257"</f>
        <v>53257</v>
      </c>
      <c r="C997" t="s">
        <v>10</v>
      </c>
      <c r="D997" t="s">
        <v>341</v>
      </c>
      <c r="E997" s="16" t="str">
        <f>"010"</f>
        <v>010</v>
      </c>
      <c r="F997" s="16">
        <v>2018</v>
      </c>
      <c r="G997" s="6">
        <v>23188700</v>
      </c>
      <c r="H997" s="6">
        <v>20754200</v>
      </c>
      <c r="I997" s="6">
        <v>2434500</v>
      </c>
    </row>
    <row r="998" spans="1:9" x14ac:dyDescent="0.25">
      <c r="A998" t="s">
        <v>334</v>
      </c>
      <c r="B998" s="16" t="str">
        <f>"53165"</f>
        <v>53165</v>
      </c>
      <c r="C998" t="s">
        <v>11</v>
      </c>
      <c r="D998" t="s">
        <v>342</v>
      </c>
      <c r="E998" s="16" t="str">
        <f>"003"</f>
        <v>003</v>
      </c>
      <c r="F998" s="16">
        <v>2000</v>
      </c>
      <c r="G998" s="6">
        <v>9471000</v>
      </c>
      <c r="H998" s="6">
        <v>512700</v>
      </c>
      <c r="I998" s="6">
        <v>8958300</v>
      </c>
    </row>
    <row r="999" spans="1:9" x14ac:dyDescent="0.25">
      <c r="A999" t="s">
        <v>343</v>
      </c>
      <c r="B999" s="16" t="str">
        <f>"54106"</f>
        <v>54106</v>
      </c>
      <c r="C999" t="s">
        <v>11</v>
      </c>
      <c r="D999" t="s">
        <v>344</v>
      </c>
      <c r="E999" s="16" t="str">
        <f>"002"</f>
        <v>002</v>
      </c>
      <c r="F999" s="16">
        <v>2002</v>
      </c>
      <c r="G999" s="6">
        <v>2173400</v>
      </c>
      <c r="H999" s="6">
        <v>1272400</v>
      </c>
      <c r="I999" s="6">
        <v>901000</v>
      </c>
    </row>
    <row r="1000" spans="1:9" x14ac:dyDescent="0.25">
      <c r="A1000" t="s">
        <v>343</v>
      </c>
      <c r="B1000" s="16" t="str">
        <f>"54136"</f>
        <v>54136</v>
      </c>
      <c r="C1000" t="s">
        <v>11</v>
      </c>
      <c r="D1000" t="s">
        <v>345</v>
      </c>
      <c r="E1000" s="16" t="str">
        <f>"002"</f>
        <v>002</v>
      </c>
      <c r="F1000" s="16">
        <v>2005</v>
      </c>
      <c r="G1000" s="6">
        <v>0</v>
      </c>
      <c r="H1000" s="6">
        <v>59400</v>
      </c>
      <c r="I1000" s="6">
        <v>-59400</v>
      </c>
    </row>
    <row r="1001" spans="1:9" x14ac:dyDescent="0.25">
      <c r="A1001" t="s">
        <v>343</v>
      </c>
      <c r="B1001" s="16" t="str">
        <f>"54136"</f>
        <v>54136</v>
      </c>
      <c r="C1001" t="s">
        <v>11</v>
      </c>
      <c r="D1001" t="s">
        <v>345</v>
      </c>
      <c r="E1001" s="16" t="str">
        <f>"003"</f>
        <v>003</v>
      </c>
      <c r="F1001" s="16">
        <v>2010</v>
      </c>
      <c r="G1001" s="6">
        <v>555100</v>
      </c>
      <c r="H1001" s="6">
        <v>96600</v>
      </c>
      <c r="I1001" s="6">
        <v>458500</v>
      </c>
    </row>
    <row r="1002" spans="1:9" x14ac:dyDescent="0.25">
      <c r="A1002" t="s">
        <v>343</v>
      </c>
      <c r="B1002" s="16" t="str">
        <f>"54246"</f>
        <v>54246</v>
      </c>
      <c r="C1002" t="s">
        <v>10</v>
      </c>
      <c r="D1002" t="s">
        <v>346</v>
      </c>
      <c r="E1002" s="16" t="str">
        <f>"008"</f>
        <v>008</v>
      </c>
      <c r="F1002" s="16">
        <v>2003</v>
      </c>
      <c r="G1002" s="6">
        <v>5189100</v>
      </c>
      <c r="H1002" s="6">
        <v>860000</v>
      </c>
      <c r="I1002" s="6">
        <v>4329100</v>
      </c>
    </row>
    <row r="1003" spans="1:9" x14ac:dyDescent="0.25">
      <c r="A1003" t="s">
        <v>343</v>
      </c>
      <c r="B1003" s="16" t="str">
        <f>"54246"</f>
        <v>54246</v>
      </c>
      <c r="C1003" t="s">
        <v>10</v>
      </c>
      <c r="D1003" t="s">
        <v>346</v>
      </c>
      <c r="E1003" s="16" t="str">
        <f>"009"</f>
        <v>009</v>
      </c>
      <c r="F1003" s="16">
        <v>2006</v>
      </c>
      <c r="G1003" s="6">
        <v>7136200</v>
      </c>
      <c r="H1003" s="6">
        <v>482300</v>
      </c>
      <c r="I1003" s="6">
        <v>6653900</v>
      </c>
    </row>
    <row r="1004" spans="1:9" x14ac:dyDescent="0.25">
      <c r="A1004" t="s">
        <v>343</v>
      </c>
      <c r="B1004" s="16" t="str">
        <f>"54246"</f>
        <v>54246</v>
      </c>
      <c r="C1004" t="s">
        <v>10</v>
      </c>
      <c r="D1004" t="s">
        <v>346</v>
      </c>
      <c r="E1004" s="16" t="str">
        <f>"010"</f>
        <v>010</v>
      </c>
      <c r="F1004" s="16">
        <v>2007</v>
      </c>
      <c r="G1004" s="6">
        <v>2010300</v>
      </c>
      <c r="H1004" s="6">
        <v>403500</v>
      </c>
      <c r="I1004" s="6">
        <v>1606800</v>
      </c>
    </row>
    <row r="1005" spans="1:9" x14ac:dyDescent="0.25">
      <c r="A1005" t="s">
        <v>343</v>
      </c>
      <c r="B1005" s="16" t="str">
        <f>"54246"</f>
        <v>54246</v>
      </c>
      <c r="C1005" t="s">
        <v>10</v>
      </c>
      <c r="D1005" t="s">
        <v>346</v>
      </c>
      <c r="E1005" s="16" t="str">
        <f>"011"</f>
        <v>011</v>
      </c>
      <c r="F1005" s="16">
        <v>2011</v>
      </c>
      <c r="G1005" s="6">
        <v>7028000</v>
      </c>
      <c r="H1005" s="6">
        <v>30200</v>
      </c>
      <c r="I1005" s="6">
        <v>6997800</v>
      </c>
    </row>
    <row r="1006" spans="1:9" x14ac:dyDescent="0.25">
      <c r="A1006" t="s">
        <v>343</v>
      </c>
      <c r="B1006" s="16" t="str">
        <f>"54246"</f>
        <v>54246</v>
      </c>
      <c r="C1006" t="s">
        <v>10</v>
      </c>
      <c r="D1006" t="s">
        <v>346</v>
      </c>
      <c r="E1006" s="16" t="str">
        <f>"012"</f>
        <v>012</v>
      </c>
      <c r="F1006" s="16">
        <v>2020</v>
      </c>
      <c r="G1006" s="6">
        <v>0</v>
      </c>
      <c r="H1006" s="6">
        <v>0</v>
      </c>
      <c r="I1006" s="6">
        <v>0</v>
      </c>
    </row>
    <row r="1007" spans="1:9" x14ac:dyDescent="0.25">
      <c r="A1007" t="s">
        <v>343</v>
      </c>
      <c r="B1007" s="16" t="str">
        <f>"54191"</f>
        <v>54191</v>
      </c>
      <c r="C1007" t="s">
        <v>11</v>
      </c>
      <c r="D1007" t="s">
        <v>347</v>
      </c>
      <c r="E1007" s="16" t="str">
        <f>"001"</f>
        <v>001</v>
      </c>
      <c r="F1007" s="16">
        <v>2013</v>
      </c>
      <c r="G1007" s="6">
        <v>12329100</v>
      </c>
      <c r="H1007" s="6">
        <v>728700</v>
      </c>
      <c r="I1007" s="6">
        <v>11600400</v>
      </c>
    </row>
    <row r="1008" spans="1:9" x14ac:dyDescent="0.25">
      <c r="A1008" t="s">
        <v>348</v>
      </c>
      <c r="B1008" s="16" t="str">
        <f t="shared" ref="B1008:B1013" si="41">"56206"</f>
        <v>56206</v>
      </c>
      <c r="C1008" t="s">
        <v>10</v>
      </c>
      <c r="D1008" t="s">
        <v>349</v>
      </c>
      <c r="E1008" s="16" t="str">
        <f>"006"</f>
        <v>006</v>
      </c>
      <c r="F1008" s="16">
        <v>1999</v>
      </c>
      <c r="G1008" s="6">
        <v>42481600</v>
      </c>
      <c r="H1008" s="6">
        <v>8158000</v>
      </c>
      <c r="I1008" s="6">
        <v>34323600</v>
      </c>
    </row>
    <row r="1009" spans="1:9" x14ac:dyDescent="0.25">
      <c r="A1009" t="s">
        <v>348</v>
      </c>
      <c r="B1009" s="16" t="str">
        <f t="shared" si="41"/>
        <v>56206</v>
      </c>
      <c r="C1009" t="s">
        <v>10</v>
      </c>
      <c r="D1009" t="s">
        <v>349</v>
      </c>
      <c r="E1009" s="16" t="str">
        <f>"007"</f>
        <v>007</v>
      </c>
      <c r="F1009" s="16">
        <v>2006</v>
      </c>
      <c r="G1009" s="6">
        <v>10674000</v>
      </c>
      <c r="H1009" s="6">
        <v>248300</v>
      </c>
      <c r="I1009" s="6">
        <v>10425700</v>
      </c>
    </row>
    <row r="1010" spans="1:9" x14ac:dyDescent="0.25">
      <c r="A1010" t="s">
        <v>348</v>
      </c>
      <c r="B1010" s="16" t="str">
        <f t="shared" si="41"/>
        <v>56206</v>
      </c>
      <c r="C1010" t="s">
        <v>10</v>
      </c>
      <c r="D1010" t="s">
        <v>349</v>
      </c>
      <c r="E1010" s="16" t="str">
        <f>"008"</f>
        <v>008</v>
      </c>
      <c r="F1010" s="16">
        <v>2006</v>
      </c>
      <c r="G1010" s="6">
        <v>22357400</v>
      </c>
      <c r="H1010" s="6">
        <v>17516600</v>
      </c>
      <c r="I1010" s="6">
        <v>4840800</v>
      </c>
    </row>
    <row r="1011" spans="1:9" x14ac:dyDescent="0.25">
      <c r="A1011" t="s">
        <v>348</v>
      </c>
      <c r="B1011" s="16" t="str">
        <f t="shared" si="41"/>
        <v>56206</v>
      </c>
      <c r="C1011" t="s">
        <v>10</v>
      </c>
      <c r="D1011" t="s">
        <v>349</v>
      </c>
      <c r="E1011" s="16" t="str">
        <f>"009"</f>
        <v>009</v>
      </c>
      <c r="F1011" s="16">
        <v>2008</v>
      </c>
      <c r="G1011" s="6">
        <v>0</v>
      </c>
      <c r="H1011" s="6">
        <v>344100</v>
      </c>
      <c r="I1011" s="6">
        <v>-344100</v>
      </c>
    </row>
    <row r="1012" spans="1:9" x14ac:dyDescent="0.25">
      <c r="A1012" t="s">
        <v>348</v>
      </c>
      <c r="B1012" s="16" t="str">
        <f t="shared" si="41"/>
        <v>56206</v>
      </c>
      <c r="C1012" t="s">
        <v>10</v>
      </c>
      <c r="D1012" t="s">
        <v>349</v>
      </c>
      <c r="E1012" s="16" t="str">
        <f>"010"</f>
        <v>010</v>
      </c>
      <c r="F1012" s="16">
        <v>2020</v>
      </c>
      <c r="G1012" s="6">
        <v>3640300</v>
      </c>
      <c r="H1012" s="6">
        <v>3598800</v>
      </c>
      <c r="I1012" s="6">
        <v>41500</v>
      </c>
    </row>
    <row r="1013" spans="1:9" x14ac:dyDescent="0.25">
      <c r="A1013" t="s">
        <v>348</v>
      </c>
      <c r="B1013" s="16" t="str">
        <f t="shared" si="41"/>
        <v>56206</v>
      </c>
      <c r="C1013" t="s">
        <v>10</v>
      </c>
      <c r="D1013" t="s">
        <v>349</v>
      </c>
      <c r="E1013" s="16" t="str">
        <f>"011"</f>
        <v>011</v>
      </c>
      <c r="F1013" s="16">
        <v>2020</v>
      </c>
      <c r="G1013" s="6">
        <v>11357200</v>
      </c>
      <c r="H1013" s="6">
        <v>10673500</v>
      </c>
      <c r="I1013" s="6">
        <v>683700</v>
      </c>
    </row>
    <row r="1014" spans="1:9" x14ac:dyDescent="0.25">
      <c r="A1014" t="s">
        <v>348</v>
      </c>
      <c r="B1014" s="16" t="str">
        <f>"56146"</f>
        <v>56146</v>
      </c>
      <c r="C1014" t="s">
        <v>11</v>
      </c>
      <c r="D1014" t="s">
        <v>350</v>
      </c>
      <c r="E1014" s="16" t="str">
        <f>"002"</f>
        <v>002</v>
      </c>
      <c r="F1014" s="16">
        <v>2000</v>
      </c>
      <c r="G1014" s="6">
        <v>102849600</v>
      </c>
      <c r="H1014" s="6">
        <v>36368600</v>
      </c>
      <c r="I1014" s="6">
        <v>66481000</v>
      </c>
    </row>
    <row r="1015" spans="1:9" x14ac:dyDescent="0.25">
      <c r="A1015" t="s">
        <v>348</v>
      </c>
      <c r="B1015" s="16" t="str">
        <f>"56146"</f>
        <v>56146</v>
      </c>
      <c r="C1015" t="s">
        <v>11</v>
      </c>
      <c r="D1015" t="s">
        <v>350</v>
      </c>
      <c r="E1015" s="16" t="str">
        <f>"003"</f>
        <v>003</v>
      </c>
      <c r="F1015" s="16">
        <v>2005</v>
      </c>
      <c r="G1015" s="6">
        <v>388867100</v>
      </c>
      <c r="H1015" s="6">
        <v>43963700</v>
      </c>
      <c r="I1015" s="6">
        <v>344903400</v>
      </c>
    </row>
    <row r="1016" spans="1:9" x14ac:dyDescent="0.25">
      <c r="A1016" t="s">
        <v>348</v>
      </c>
      <c r="B1016" s="16" t="str">
        <f>"56146"</f>
        <v>56146</v>
      </c>
      <c r="C1016" t="s">
        <v>11</v>
      </c>
      <c r="D1016" t="s">
        <v>350</v>
      </c>
      <c r="E1016" s="16" t="str">
        <f>"004"</f>
        <v>004</v>
      </c>
      <c r="F1016" s="16">
        <v>2007</v>
      </c>
      <c r="G1016" s="6">
        <v>46866900</v>
      </c>
      <c r="H1016" s="6">
        <v>31741000</v>
      </c>
      <c r="I1016" s="6">
        <v>15125900</v>
      </c>
    </row>
    <row r="1017" spans="1:9" x14ac:dyDescent="0.25">
      <c r="A1017" t="s">
        <v>348</v>
      </c>
      <c r="B1017" s="16" t="str">
        <f>"56149"</f>
        <v>56149</v>
      </c>
      <c r="C1017" t="s">
        <v>11</v>
      </c>
      <c r="D1017" t="s">
        <v>351</v>
      </c>
      <c r="E1017" s="16" t="str">
        <f>"002"</f>
        <v>002</v>
      </c>
      <c r="F1017" s="16">
        <v>2018</v>
      </c>
      <c r="G1017" s="6">
        <v>2179500</v>
      </c>
      <c r="H1017" s="6">
        <v>1739100</v>
      </c>
      <c r="I1017" s="6">
        <v>440400</v>
      </c>
    </row>
    <row r="1018" spans="1:9" x14ac:dyDescent="0.25">
      <c r="A1018" t="s">
        <v>348</v>
      </c>
      <c r="B1018" s="16" t="str">
        <f>"56161"</f>
        <v>56161</v>
      </c>
      <c r="C1018" t="s">
        <v>11</v>
      </c>
      <c r="D1018" t="s">
        <v>352</v>
      </c>
      <c r="E1018" s="16" t="str">
        <f>"001"</f>
        <v>001</v>
      </c>
      <c r="F1018" s="16">
        <v>1997</v>
      </c>
      <c r="G1018" s="6">
        <v>5947500</v>
      </c>
      <c r="H1018" s="6">
        <v>3027800</v>
      </c>
      <c r="I1018" s="6">
        <v>2919700</v>
      </c>
    </row>
    <row r="1019" spans="1:9" x14ac:dyDescent="0.25">
      <c r="A1019" t="s">
        <v>348</v>
      </c>
      <c r="B1019" s="16" t="str">
        <f>"56171"</f>
        <v>56171</v>
      </c>
      <c r="C1019" t="s">
        <v>11</v>
      </c>
      <c r="D1019" t="s">
        <v>353</v>
      </c>
      <c r="E1019" s="16" t="str">
        <f>"002"</f>
        <v>002</v>
      </c>
      <c r="F1019" s="16">
        <v>2006</v>
      </c>
      <c r="G1019" s="6">
        <v>3886000</v>
      </c>
      <c r="H1019" s="6">
        <v>169500</v>
      </c>
      <c r="I1019" s="6">
        <v>3716500</v>
      </c>
    </row>
    <row r="1020" spans="1:9" x14ac:dyDescent="0.25">
      <c r="A1020" t="s">
        <v>348</v>
      </c>
      <c r="B1020" s="16" t="str">
        <f>"56172"</f>
        <v>56172</v>
      </c>
      <c r="C1020" t="s">
        <v>11</v>
      </c>
      <c r="D1020" t="s">
        <v>354</v>
      </c>
      <c r="E1020" s="16" t="str">
        <f>"004"</f>
        <v>004</v>
      </c>
      <c r="F1020" s="16">
        <v>2008</v>
      </c>
      <c r="G1020" s="6">
        <v>18885600</v>
      </c>
      <c r="H1020" s="6">
        <v>483300</v>
      </c>
      <c r="I1020" s="6">
        <v>18402300</v>
      </c>
    </row>
    <row r="1021" spans="1:9" x14ac:dyDescent="0.25">
      <c r="A1021" t="s">
        <v>348</v>
      </c>
      <c r="B1021" s="16" t="str">
        <f>"56172"</f>
        <v>56172</v>
      </c>
      <c r="C1021" t="s">
        <v>11</v>
      </c>
      <c r="D1021" t="s">
        <v>354</v>
      </c>
      <c r="E1021" s="16" t="str">
        <f>"005"</f>
        <v>005</v>
      </c>
      <c r="F1021" s="16">
        <v>2018</v>
      </c>
      <c r="G1021" s="6">
        <v>3990600</v>
      </c>
      <c r="H1021" s="6">
        <v>142200</v>
      </c>
      <c r="I1021" s="6">
        <v>3848400</v>
      </c>
    </row>
    <row r="1022" spans="1:9" x14ac:dyDescent="0.25">
      <c r="A1022" t="s">
        <v>348</v>
      </c>
      <c r="B1022" s="16" t="str">
        <f>"56172"</f>
        <v>56172</v>
      </c>
      <c r="C1022" t="s">
        <v>11</v>
      </c>
      <c r="D1022" t="s">
        <v>354</v>
      </c>
      <c r="E1022" s="16" t="str">
        <f>"006"</f>
        <v>006</v>
      </c>
      <c r="F1022" s="16">
        <v>2018</v>
      </c>
      <c r="G1022" s="6">
        <v>15694500</v>
      </c>
      <c r="H1022" s="6">
        <v>10871000</v>
      </c>
      <c r="I1022" s="6">
        <v>4823500</v>
      </c>
    </row>
    <row r="1023" spans="1:9" x14ac:dyDescent="0.25">
      <c r="A1023" t="s">
        <v>348</v>
      </c>
      <c r="B1023" s="16" t="str">
        <f>"56276"</f>
        <v>56276</v>
      </c>
      <c r="C1023" t="s">
        <v>10</v>
      </c>
      <c r="D1023" t="s">
        <v>355</v>
      </c>
      <c r="E1023" s="16" t="str">
        <f>"004"</f>
        <v>004</v>
      </c>
      <c r="F1023" s="16">
        <v>1998</v>
      </c>
      <c r="G1023" s="6">
        <v>18270400</v>
      </c>
      <c r="H1023" s="6">
        <v>4085900</v>
      </c>
      <c r="I1023" s="6">
        <v>14184500</v>
      </c>
    </row>
    <row r="1024" spans="1:9" x14ac:dyDescent="0.25">
      <c r="A1024" t="s">
        <v>348</v>
      </c>
      <c r="B1024" s="16" t="str">
        <f>"56276"</f>
        <v>56276</v>
      </c>
      <c r="C1024" t="s">
        <v>10</v>
      </c>
      <c r="D1024" t="s">
        <v>355</v>
      </c>
      <c r="E1024" s="16" t="str">
        <f>"006"</f>
        <v>006</v>
      </c>
      <c r="F1024" s="16">
        <v>2000</v>
      </c>
      <c r="G1024" s="6">
        <v>9067600</v>
      </c>
      <c r="H1024" s="6">
        <v>10195300</v>
      </c>
      <c r="I1024" s="6">
        <v>-1127700</v>
      </c>
    </row>
    <row r="1025" spans="1:9" x14ac:dyDescent="0.25">
      <c r="A1025" t="s">
        <v>348</v>
      </c>
      <c r="B1025" s="16" t="str">
        <f>"56276"</f>
        <v>56276</v>
      </c>
      <c r="C1025" t="s">
        <v>10</v>
      </c>
      <c r="D1025" t="s">
        <v>355</v>
      </c>
      <c r="E1025" s="16" t="str">
        <f>"008"</f>
        <v>008</v>
      </c>
      <c r="F1025" s="16">
        <v>2008</v>
      </c>
      <c r="G1025" s="6">
        <v>4441600</v>
      </c>
      <c r="H1025" s="6">
        <v>1619700</v>
      </c>
      <c r="I1025" s="6">
        <v>2821900</v>
      </c>
    </row>
    <row r="1026" spans="1:9" x14ac:dyDescent="0.25">
      <c r="A1026" t="s">
        <v>348</v>
      </c>
      <c r="B1026" s="16" t="str">
        <f>"56276"</f>
        <v>56276</v>
      </c>
      <c r="C1026" t="s">
        <v>10</v>
      </c>
      <c r="D1026" t="s">
        <v>355</v>
      </c>
      <c r="E1026" s="16" t="str">
        <f>"009"</f>
        <v>009</v>
      </c>
      <c r="F1026" s="16">
        <v>2016</v>
      </c>
      <c r="G1026" s="6">
        <v>58304800</v>
      </c>
      <c r="H1026" s="6">
        <v>36196600</v>
      </c>
      <c r="I1026" s="6">
        <v>22108200</v>
      </c>
    </row>
    <row r="1027" spans="1:9" x14ac:dyDescent="0.25">
      <c r="A1027" t="s">
        <v>348</v>
      </c>
      <c r="B1027" s="16" t="str">
        <f>"56176"</f>
        <v>56176</v>
      </c>
      <c r="C1027" t="s">
        <v>11</v>
      </c>
      <c r="D1027" t="s">
        <v>356</v>
      </c>
      <c r="E1027" s="16" t="str">
        <f>"002"</f>
        <v>002</v>
      </c>
      <c r="F1027" s="16">
        <v>2020</v>
      </c>
      <c r="G1027" s="6">
        <v>1432400</v>
      </c>
      <c r="H1027" s="6">
        <v>1229400</v>
      </c>
      <c r="I1027" s="6">
        <v>203000</v>
      </c>
    </row>
    <row r="1028" spans="1:9" x14ac:dyDescent="0.25">
      <c r="A1028" t="s">
        <v>348</v>
      </c>
      <c r="B1028" s="16" t="str">
        <f>"56181"</f>
        <v>56181</v>
      </c>
      <c r="C1028" t="s">
        <v>11</v>
      </c>
      <c r="D1028" t="s">
        <v>357</v>
      </c>
      <c r="E1028" s="16" t="str">
        <f>"006"</f>
        <v>006</v>
      </c>
      <c r="F1028" s="16">
        <v>2002</v>
      </c>
      <c r="G1028" s="6">
        <v>9771900</v>
      </c>
      <c r="H1028" s="6">
        <v>1206300</v>
      </c>
      <c r="I1028" s="6">
        <v>8565600</v>
      </c>
    </row>
    <row r="1029" spans="1:9" x14ac:dyDescent="0.25">
      <c r="A1029" t="s">
        <v>348</v>
      </c>
      <c r="B1029" s="16" t="str">
        <f>"56181"</f>
        <v>56181</v>
      </c>
      <c r="C1029" t="s">
        <v>11</v>
      </c>
      <c r="D1029" t="s">
        <v>357</v>
      </c>
      <c r="E1029" s="16" t="str">
        <f>"007"</f>
        <v>007</v>
      </c>
      <c r="F1029" s="16">
        <v>2005</v>
      </c>
      <c r="G1029" s="6">
        <v>4339600</v>
      </c>
      <c r="H1029" s="6">
        <v>706200</v>
      </c>
      <c r="I1029" s="6">
        <v>3633400</v>
      </c>
    </row>
    <row r="1030" spans="1:9" x14ac:dyDescent="0.25">
      <c r="A1030" t="s">
        <v>348</v>
      </c>
      <c r="B1030" s="16" t="str">
        <f>"56181"</f>
        <v>56181</v>
      </c>
      <c r="C1030" t="s">
        <v>11</v>
      </c>
      <c r="D1030" t="s">
        <v>357</v>
      </c>
      <c r="E1030" s="16" t="str">
        <f>"008"</f>
        <v>008</v>
      </c>
      <c r="F1030" s="16">
        <v>2005</v>
      </c>
      <c r="G1030" s="6">
        <v>30315900</v>
      </c>
      <c r="H1030" s="6">
        <v>14893500</v>
      </c>
      <c r="I1030" s="6">
        <v>15422400</v>
      </c>
    </row>
    <row r="1031" spans="1:9" x14ac:dyDescent="0.25">
      <c r="A1031" t="s">
        <v>348</v>
      </c>
      <c r="B1031" s="16" t="str">
        <f>"56181"</f>
        <v>56181</v>
      </c>
      <c r="C1031" t="s">
        <v>11</v>
      </c>
      <c r="D1031" t="s">
        <v>357</v>
      </c>
      <c r="E1031" s="16" t="str">
        <f>"009"</f>
        <v>009</v>
      </c>
      <c r="F1031" s="16">
        <v>2015</v>
      </c>
      <c r="G1031" s="6">
        <v>5378500</v>
      </c>
      <c r="H1031" s="6">
        <v>3331900</v>
      </c>
      <c r="I1031" s="6">
        <v>2046600</v>
      </c>
    </row>
    <row r="1032" spans="1:9" x14ac:dyDescent="0.25">
      <c r="A1032" t="s">
        <v>348</v>
      </c>
      <c r="B1032" s="16" t="str">
        <f>"56182"</f>
        <v>56182</v>
      </c>
      <c r="C1032" t="s">
        <v>11</v>
      </c>
      <c r="D1032" t="s">
        <v>358</v>
      </c>
      <c r="E1032" s="16" t="str">
        <f>"006"</f>
        <v>006</v>
      </c>
      <c r="F1032" s="16">
        <v>2017</v>
      </c>
      <c r="G1032" s="6">
        <v>30135700</v>
      </c>
      <c r="H1032" s="6">
        <v>18338500</v>
      </c>
      <c r="I1032" s="6">
        <v>11797200</v>
      </c>
    </row>
    <row r="1033" spans="1:9" x14ac:dyDescent="0.25">
      <c r="A1033" t="s">
        <v>348</v>
      </c>
      <c r="B1033" s="16" t="str">
        <f>"56191"</f>
        <v>56191</v>
      </c>
      <c r="C1033" t="s">
        <v>11</v>
      </c>
      <c r="D1033" t="s">
        <v>359</v>
      </c>
      <c r="E1033" s="16" t="str">
        <f>"003"</f>
        <v>003</v>
      </c>
      <c r="F1033" s="16">
        <v>2018</v>
      </c>
      <c r="G1033" s="6">
        <v>9562100</v>
      </c>
      <c r="H1033" s="6">
        <v>10611600</v>
      </c>
      <c r="I1033" s="6">
        <v>-1049500</v>
      </c>
    </row>
    <row r="1034" spans="1:9" x14ac:dyDescent="0.25">
      <c r="A1034" t="s">
        <v>348</v>
      </c>
      <c r="B1034" s="16" t="str">
        <f>"56291"</f>
        <v>56291</v>
      </c>
      <c r="C1034" t="s">
        <v>10</v>
      </c>
      <c r="D1034" t="s">
        <v>15</v>
      </c>
      <c r="E1034" s="16" t="str">
        <f>"002"</f>
        <v>002</v>
      </c>
      <c r="F1034" s="16">
        <v>2001</v>
      </c>
      <c r="G1034" s="6">
        <v>40293200</v>
      </c>
      <c r="H1034" s="6">
        <v>15582600</v>
      </c>
      <c r="I1034" s="6">
        <v>24710600</v>
      </c>
    </row>
    <row r="1035" spans="1:9" x14ac:dyDescent="0.25">
      <c r="A1035" t="s">
        <v>348</v>
      </c>
      <c r="B1035" s="16" t="str">
        <f>"56291"</f>
        <v>56291</v>
      </c>
      <c r="C1035" t="s">
        <v>10</v>
      </c>
      <c r="D1035" t="s">
        <v>15</v>
      </c>
      <c r="E1035" s="16" t="str">
        <f>"003"</f>
        <v>003</v>
      </c>
      <c r="F1035" s="16">
        <v>2005</v>
      </c>
      <c r="G1035" s="6">
        <v>4655700</v>
      </c>
      <c r="H1035" s="6">
        <v>1965200</v>
      </c>
      <c r="I1035" s="6">
        <v>2690500</v>
      </c>
    </row>
    <row r="1036" spans="1:9" x14ac:dyDescent="0.25">
      <c r="A1036" t="s">
        <v>348</v>
      </c>
      <c r="B1036" s="16" t="str">
        <f>"56291"</f>
        <v>56291</v>
      </c>
      <c r="C1036" t="s">
        <v>10</v>
      </c>
      <c r="D1036" t="s">
        <v>15</v>
      </c>
      <c r="E1036" s="16" t="str">
        <f>"004"</f>
        <v>004</v>
      </c>
      <c r="F1036" s="16">
        <v>2006</v>
      </c>
      <c r="G1036" s="6">
        <v>4050800</v>
      </c>
      <c r="H1036" s="6">
        <v>1464100</v>
      </c>
      <c r="I1036" s="6">
        <v>2586700</v>
      </c>
    </row>
    <row r="1037" spans="1:9" x14ac:dyDescent="0.25">
      <c r="A1037" t="s">
        <v>360</v>
      </c>
      <c r="B1037" s="16" t="str">
        <f>"57236"</f>
        <v>57236</v>
      </c>
      <c r="C1037" t="s">
        <v>10</v>
      </c>
      <c r="D1037" t="s">
        <v>361</v>
      </c>
      <c r="E1037" s="16" t="str">
        <f>"005"</f>
        <v>005</v>
      </c>
      <c r="F1037" s="16">
        <v>2018</v>
      </c>
      <c r="G1037" s="6">
        <v>1342400</v>
      </c>
      <c r="H1037" s="6">
        <v>693400</v>
      </c>
      <c r="I1037" s="6">
        <v>649000</v>
      </c>
    </row>
    <row r="1038" spans="1:9" x14ac:dyDescent="0.25">
      <c r="A1038" t="s">
        <v>360</v>
      </c>
      <c r="B1038" s="16" t="str">
        <f>"57236"</f>
        <v>57236</v>
      </c>
      <c r="C1038" t="s">
        <v>10</v>
      </c>
      <c r="D1038" t="s">
        <v>361</v>
      </c>
      <c r="E1038" s="16" t="str">
        <f>"006"</f>
        <v>006</v>
      </c>
      <c r="F1038" s="16">
        <v>2020</v>
      </c>
      <c r="G1038" s="6">
        <v>6167900</v>
      </c>
      <c r="H1038" s="6">
        <v>2987300</v>
      </c>
      <c r="I1038" s="6">
        <v>3180600</v>
      </c>
    </row>
    <row r="1039" spans="1:9" x14ac:dyDescent="0.25">
      <c r="A1039" t="s">
        <v>362</v>
      </c>
      <c r="B1039" s="16" t="str">
        <f>"58107"</f>
        <v>58107</v>
      </c>
      <c r="C1039" t="s">
        <v>11</v>
      </c>
      <c r="D1039" t="s">
        <v>363</v>
      </c>
      <c r="E1039" s="16" t="str">
        <f>"001"</f>
        <v>001</v>
      </c>
      <c r="F1039" s="16">
        <v>1994</v>
      </c>
      <c r="G1039" s="6">
        <v>18784500</v>
      </c>
      <c r="H1039" s="6">
        <v>1981600</v>
      </c>
      <c r="I1039" s="6">
        <v>16802900</v>
      </c>
    </row>
    <row r="1040" spans="1:9" x14ac:dyDescent="0.25">
      <c r="A1040" t="s">
        <v>362</v>
      </c>
      <c r="B1040" s="16" t="str">
        <f>"58108"</f>
        <v>58108</v>
      </c>
      <c r="C1040" t="s">
        <v>11</v>
      </c>
      <c r="D1040" t="s">
        <v>364</v>
      </c>
      <c r="E1040" s="16" t="str">
        <f>"002"</f>
        <v>002</v>
      </c>
      <c r="F1040" s="16">
        <v>1997</v>
      </c>
      <c r="G1040" s="6">
        <v>231800</v>
      </c>
      <c r="H1040" s="6">
        <v>37400</v>
      </c>
      <c r="I1040" s="6">
        <v>194400</v>
      </c>
    </row>
    <row r="1041" spans="1:9" x14ac:dyDescent="0.25">
      <c r="A1041" t="s">
        <v>362</v>
      </c>
      <c r="B1041" s="16" t="str">
        <f>"58131"</f>
        <v>58131</v>
      </c>
      <c r="C1041" t="s">
        <v>11</v>
      </c>
      <c r="D1041" t="s">
        <v>365</v>
      </c>
      <c r="E1041" s="16" t="str">
        <f>"001"</f>
        <v>001</v>
      </c>
      <c r="F1041" s="16">
        <v>2011</v>
      </c>
      <c r="G1041" s="6">
        <v>1575000</v>
      </c>
      <c r="H1041" s="6">
        <v>1251500</v>
      </c>
      <c r="I1041" s="6">
        <v>323500</v>
      </c>
    </row>
    <row r="1042" spans="1:9" x14ac:dyDescent="0.25">
      <c r="A1042" t="s">
        <v>362</v>
      </c>
      <c r="B1042" s="16" t="str">
        <f>"58131"</f>
        <v>58131</v>
      </c>
      <c r="C1042" t="s">
        <v>11</v>
      </c>
      <c r="D1042" t="s">
        <v>365</v>
      </c>
      <c r="E1042" s="16" t="str">
        <f>"002"</f>
        <v>002</v>
      </c>
      <c r="F1042" s="16">
        <v>2015</v>
      </c>
      <c r="G1042" s="6">
        <v>3833600</v>
      </c>
      <c r="H1042" s="6">
        <v>2482000</v>
      </c>
      <c r="I1042" s="6">
        <v>1351600</v>
      </c>
    </row>
    <row r="1043" spans="1:9" x14ac:dyDescent="0.25">
      <c r="A1043" t="s">
        <v>362</v>
      </c>
      <c r="B1043" s="16" t="str">
        <f>"58281"</f>
        <v>58281</v>
      </c>
      <c r="C1043" t="s">
        <v>10</v>
      </c>
      <c r="D1043" t="s">
        <v>362</v>
      </c>
      <c r="E1043" s="16" t="str">
        <f>"004"</f>
        <v>004</v>
      </c>
      <c r="F1043" s="16">
        <v>2000</v>
      </c>
      <c r="G1043" s="6">
        <v>25162700</v>
      </c>
      <c r="H1043" s="6">
        <v>13105100</v>
      </c>
      <c r="I1043" s="6">
        <v>12057600</v>
      </c>
    </row>
    <row r="1044" spans="1:9" x14ac:dyDescent="0.25">
      <c r="A1044" t="s">
        <v>362</v>
      </c>
      <c r="B1044" s="16" t="str">
        <f>"58281"</f>
        <v>58281</v>
      </c>
      <c r="C1044" t="s">
        <v>10</v>
      </c>
      <c r="D1044" t="s">
        <v>362</v>
      </c>
      <c r="E1044" s="16" t="str">
        <f>"005"</f>
        <v>005</v>
      </c>
      <c r="F1044" s="16">
        <v>2001</v>
      </c>
      <c r="G1044" s="6">
        <v>5610600</v>
      </c>
      <c r="H1044" s="6">
        <v>314300</v>
      </c>
      <c r="I1044" s="6">
        <v>5296300</v>
      </c>
    </row>
    <row r="1045" spans="1:9" x14ac:dyDescent="0.25">
      <c r="A1045" t="s">
        <v>362</v>
      </c>
      <c r="B1045" s="16" t="str">
        <f>"58281"</f>
        <v>58281</v>
      </c>
      <c r="C1045" t="s">
        <v>10</v>
      </c>
      <c r="D1045" t="s">
        <v>362</v>
      </c>
      <c r="E1045" s="16" t="str">
        <f>"006"</f>
        <v>006</v>
      </c>
      <c r="F1045" s="16">
        <v>2014</v>
      </c>
      <c r="G1045" s="6">
        <v>41938200</v>
      </c>
      <c r="H1045" s="6">
        <v>34897300</v>
      </c>
      <c r="I1045" s="6">
        <v>7040900</v>
      </c>
    </row>
    <row r="1046" spans="1:9" x14ac:dyDescent="0.25">
      <c r="A1046" t="s">
        <v>362</v>
      </c>
      <c r="B1046" s="16" t="str">
        <f>"58281"</f>
        <v>58281</v>
      </c>
      <c r="C1046" t="s">
        <v>10</v>
      </c>
      <c r="D1046" t="s">
        <v>362</v>
      </c>
      <c r="E1046" s="16" t="str">
        <f>"007"</f>
        <v>007</v>
      </c>
      <c r="F1046" s="16">
        <v>2016</v>
      </c>
      <c r="G1046" s="6">
        <v>43802500</v>
      </c>
      <c r="H1046" s="6">
        <v>6988200</v>
      </c>
      <c r="I1046" s="6">
        <v>36814300</v>
      </c>
    </row>
    <row r="1047" spans="1:9" x14ac:dyDescent="0.25">
      <c r="A1047" t="s">
        <v>362</v>
      </c>
      <c r="B1047" s="16" t="str">
        <f>"58281"</f>
        <v>58281</v>
      </c>
      <c r="C1047" t="s">
        <v>10</v>
      </c>
      <c r="D1047" t="s">
        <v>362</v>
      </c>
      <c r="E1047" s="16" t="str">
        <f>"008"</f>
        <v>008</v>
      </c>
      <c r="F1047" s="16">
        <v>2018</v>
      </c>
      <c r="G1047" s="6">
        <v>0</v>
      </c>
      <c r="H1047" s="6">
        <v>215900</v>
      </c>
      <c r="I1047" s="6">
        <v>-215900</v>
      </c>
    </row>
    <row r="1048" spans="1:9" x14ac:dyDescent="0.25">
      <c r="A1048" t="s">
        <v>362</v>
      </c>
      <c r="B1048" s="16" t="str">
        <f>"58186"</f>
        <v>58186</v>
      </c>
      <c r="C1048" t="s">
        <v>11</v>
      </c>
      <c r="D1048" t="s">
        <v>366</v>
      </c>
      <c r="E1048" s="16" t="str">
        <f>"001"</f>
        <v>001</v>
      </c>
      <c r="F1048" s="16">
        <v>1996</v>
      </c>
      <c r="G1048" s="6">
        <v>2269300</v>
      </c>
      <c r="H1048" s="6">
        <v>124900</v>
      </c>
      <c r="I1048" s="6">
        <v>2144400</v>
      </c>
    </row>
    <row r="1049" spans="1:9" x14ac:dyDescent="0.25">
      <c r="A1049" t="s">
        <v>362</v>
      </c>
      <c r="B1049" s="16" t="str">
        <f>"58186"</f>
        <v>58186</v>
      </c>
      <c r="C1049" t="s">
        <v>11</v>
      </c>
      <c r="D1049" t="s">
        <v>366</v>
      </c>
      <c r="E1049" s="16" t="str">
        <f>"002"</f>
        <v>002</v>
      </c>
      <c r="F1049" s="16">
        <v>2014</v>
      </c>
      <c r="G1049" s="6">
        <v>1212100</v>
      </c>
      <c r="H1049" s="6">
        <v>637900</v>
      </c>
      <c r="I1049" s="6">
        <v>574200</v>
      </c>
    </row>
    <row r="1050" spans="1:9" x14ac:dyDescent="0.25">
      <c r="A1050" t="s">
        <v>362</v>
      </c>
      <c r="B1050" s="16" t="str">
        <f>"58191"</f>
        <v>58191</v>
      </c>
      <c r="C1050" t="s">
        <v>11</v>
      </c>
      <c r="D1050" t="s">
        <v>367</v>
      </c>
      <c r="E1050" s="16" t="str">
        <f>"001"</f>
        <v>001</v>
      </c>
      <c r="F1050" s="16">
        <v>2000</v>
      </c>
      <c r="G1050" s="6">
        <v>7042800</v>
      </c>
      <c r="H1050" s="6">
        <v>201400</v>
      </c>
      <c r="I1050" s="6">
        <v>6841400</v>
      </c>
    </row>
    <row r="1051" spans="1:9" x14ac:dyDescent="0.25">
      <c r="A1051" t="s">
        <v>362</v>
      </c>
      <c r="B1051" s="16" t="str">
        <f>"58191"</f>
        <v>58191</v>
      </c>
      <c r="C1051" t="s">
        <v>11</v>
      </c>
      <c r="D1051" t="s">
        <v>367</v>
      </c>
      <c r="E1051" s="16" t="str">
        <f>"002"</f>
        <v>002</v>
      </c>
      <c r="F1051" s="16">
        <v>2011</v>
      </c>
      <c r="G1051" s="6">
        <v>3591900</v>
      </c>
      <c r="H1051" s="6">
        <v>1407900</v>
      </c>
      <c r="I1051" s="6">
        <v>2184000</v>
      </c>
    </row>
    <row r="1052" spans="1:9" x14ac:dyDescent="0.25">
      <c r="A1052" t="s">
        <v>362</v>
      </c>
      <c r="B1052" s="16" t="str">
        <f>"58191"</f>
        <v>58191</v>
      </c>
      <c r="C1052" t="s">
        <v>11</v>
      </c>
      <c r="D1052" t="s">
        <v>367</v>
      </c>
      <c r="E1052" s="16" t="str">
        <f>"003"</f>
        <v>003</v>
      </c>
      <c r="F1052" s="16">
        <v>2015</v>
      </c>
      <c r="G1052" s="6">
        <v>6656800</v>
      </c>
      <c r="H1052" s="6">
        <v>3300</v>
      </c>
      <c r="I1052" s="6">
        <v>6653500</v>
      </c>
    </row>
    <row r="1053" spans="1:9" x14ac:dyDescent="0.25">
      <c r="A1053" t="s">
        <v>368</v>
      </c>
      <c r="B1053" s="16" t="str">
        <f>"59111"</f>
        <v>59111</v>
      </c>
      <c r="C1053" t="s">
        <v>11</v>
      </c>
      <c r="D1053" t="s">
        <v>369</v>
      </c>
      <c r="E1053" s="16" t="str">
        <f>"001"</f>
        <v>001</v>
      </c>
      <c r="F1053" s="16">
        <v>2011</v>
      </c>
      <c r="G1053" s="6">
        <v>1229700</v>
      </c>
      <c r="H1053" s="6">
        <v>577000</v>
      </c>
      <c r="I1053" s="6">
        <v>652700</v>
      </c>
    </row>
    <row r="1054" spans="1:9" x14ac:dyDescent="0.25">
      <c r="A1054" t="s">
        <v>368</v>
      </c>
      <c r="B1054" s="16" t="str">
        <f>"59112"</f>
        <v>59112</v>
      </c>
      <c r="C1054" t="s">
        <v>11</v>
      </c>
      <c r="D1054" t="s">
        <v>370</v>
      </c>
      <c r="E1054" s="16" t="str">
        <f>"001"</f>
        <v>001</v>
      </c>
      <c r="F1054" s="16">
        <v>2009</v>
      </c>
      <c r="G1054" s="6">
        <v>878800</v>
      </c>
      <c r="H1054" s="6">
        <v>244800</v>
      </c>
      <c r="I1054" s="6">
        <v>634000</v>
      </c>
    </row>
    <row r="1055" spans="1:9" x14ac:dyDescent="0.25">
      <c r="A1055" t="s">
        <v>368</v>
      </c>
      <c r="B1055" s="16" t="str">
        <f>"59121"</f>
        <v>59121</v>
      </c>
      <c r="C1055" t="s">
        <v>11</v>
      </c>
      <c r="D1055" t="s">
        <v>371</v>
      </c>
      <c r="E1055" s="16" t="str">
        <f>"002"</f>
        <v>002</v>
      </c>
      <c r="F1055" s="16">
        <v>2013</v>
      </c>
      <c r="G1055" s="6">
        <v>32826700</v>
      </c>
      <c r="H1055" s="6">
        <v>11635700</v>
      </c>
      <c r="I1055" s="6">
        <v>21191000</v>
      </c>
    </row>
    <row r="1056" spans="1:9" x14ac:dyDescent="0.25">
      <c r="A1056" t="s">
        <v>368</v>
      </c>
      <c r="B1056" s="16" t="str">
        <f>"59121"</f>
        <v>59121</v>
      </c>
      <c r="C1056" t="s">
        <v>11</v>
      </c>
      <c r="D1056" t="s">
        <v>371</v>
      </c>
      <c r="E1056" s="16" t="str">
        <f>"003"</f>
        <v>003</v>
      </c>
      <c r="F1056" s="16">
        <v>2013</v>
      </c>
      <c r="G1056" s="6">
        <v>8259800</v>
      </c>
      <c r="H1056" s="6">
        <v>1850100</v>
      </c>
      <c r="I1056" s="6">
        <v>6409700</v>
      </c>
    </row>
    <row r="1057" spans="1:9" x14ac:dyDescent="0.25">
      <c r="A1057" t="s">
        <v>368</v>
      </c>
      <c r="B1057" s="16" t="str">
        <f>"59121"</f>
        <v>59121</v>
      </c>
      <c r="C1057" t="s">
        <v>11</v>
      </c>
      <c r="D1057" t="s">
        <v>371</v>
      </c>
      <c r="E1057" s="16" t="str">
        <f>"004"</f>
        <v>004</v>
      </c>
      <c r="F1057" s="16">
        <v>2015</v>
      </c>
      <c r="G1057" s="6">
        <v>12819700</v>
      </c>
      <c r="H1057" s="6">
        <v>711400</v>
      </c>
      <c r="I1057" s="6">
        <v>12108300</v>
      </c>
    </row>
    <row r="1058" spans="1:9" x14ac:dyDescent="0.25">
      <c r="A1058" t="s">
        <v>368</v>
      </c>
      <c r="B1058" s="16" t="str">
        <f>"59131"</f>
        <v>59131</v>
      </c>
      <c r="C1058" t="s">
        <v>11</v>
      </c>
      <c r="D1058" t="s">
        <v>372</v>
      </c>
      <c r="E1058" s="16" t="str">
        <f>"001"</f>
        <v>001</v>
      </c>
      <c r="F1058" s="16">
        <v>2005</v>
      </c>
      <c r="G1058" s="6">
        <v>4154800</v>
      </c>
      <c r="H1058" s="6">
        <v>1862900</v>
      </c>
      <c r="I1058" s="6">
        <v>2291900</v>
      </c>
    </row>
    <row r="1059" spans="1:9" x14ac:dyDescent="0.25">
      <c r="A1059" t="s">
        <v>368</v>
      </c>
      <c r="B1059" s="16" t="str">
        <f>"59135"</f>
        <v>59135</v>
      </c>
      <c r="C1059" t="s">
        <v>11</v>
      </c>
      <c r="D1059" t="s">
        <v>373</v>
      </c>
      <c r="E1059" s="16" t="str">
        <f>"001"</f>
        <v>001</v>
      </c>
      <c r="F1059" s="16">
        <v>2005</v>
      </c>
      <c r="G1059" s="6">
        <v>2895500</v>
      </c>
      <c r="H1059" s="6">
        <v>1793600</v>
      </c>
      <c r="I1059" s="6">
        <v>1101900</v>
      </c>
    </row>
    <row r="1060" spans="1:9" x14ac:dyDescent="0.25">
      <c r="A1060" t="s">
        <v>368</v>
      </c>
      <c r="B1060" s="16" t="str">
        <f>"59135"</f>
        <v>59135</v>
      </c>
      <c r="C1060" t="s">
        <v>11</v>
      </c>
      <c r="D1060" t="s">
        <v>373</v>
      </c>
      <c r="E1060" s="16" t="str">
        <f>"002"</f>
        <v>002</v>
      </c>
      <c r="F1060" s="16">
        <v>2011</v>
      </c>
      <c r="G1060" s="6">
        <v>4049000</v>
      </c>
      <c r="H1060" s="6">
        <v>72900</v>
      </c>
      <c r="I1060" s="6">
        <v>3976100</v>
      </c>
    </row>
    <row r="1061" spans="1:9" x14ac:dyDescent="0.25">
      <c r="A1061" t="s">
        <v>368</v>
      </c>
      <c r="B1061" s="16" t="str">
        <f>"59165"</f>
        <v>59165</v>
      </c>
      <c r="C1061" t="s">
        <v>11</v>
      </c>
      <c r="D1061" t="s">
        <v>374</v>
      </c>
      <c r="E1061" s="16" t="str">
        <f>"001"</f>
        <v>001</v>
      </c>
      <c r="F1061" s="16">
        <v>1999</v>
      </c>
      <c r="G1061" s="6">
        <v>23499000</v>
      </c>
      <c r="H1061" s="6">
        <v>403600</v>
      </c>
      <c r="I1061" s="6">
        <v>23095400</v>
      </c>
    </row>
    <row r="1062" spans="1:9" x14ac:dyDescent="0.25">
      <c r="A1062" t="s">
        <v>368</v>
      </c>
      <c r="B1062" s="16" t="str">
        <f>"59165"</f>
        <v>59165</v>
      </c>
      <c r="C1062" t="s">
        <v>11</v>
      </c>
      <c r="D1062" t="s">
        <v>374</v>
      </c>
      <c r="E1062" s="16" t="str">
        <f>"002"</f>
        <v>002</v>
      </c>
      <c r="F1062" s="16">
        <v>2001</v>
      </c>
      <c r="G1062" s="6">
        <v>19042100</v>
      </c>
      <c r="H1062" s="6">
        <v>5477800</v>
      </c>
      <c r="I1062" s="6">
        <v>13564300</v>
      </c>
    </row>
    <row r="1063" spans="1:9" x14ac:dyDescent="0.25">
      <c r="A1063" t="s">
        <v>368</v>
      </c>
      <c r="B1063" s="16" t="str">
        <f>"59165"</f>
        <v>59165</v>
      </c>
      <c r="C1063" t="s">
        <v>11</v>
      </c>
      <c r="D1063" t="s">
        <v>374</v>
      </c>
      <c r="E1063" s="16" t="str">
        <f>"003"</f>
        <v>003</v>
      </c>
      <c r="F1063" s="16">
        <v>2017</v>
      </c>
      <c r="G1063" s="6">
        <v>18849900</v>
      </c>
      <c r="H1063" s="6">
        <v>708100</v>
      </c>
      <c r="I1063" s="6">
        <v>18141800</v>
      </c>
    </row>
    <row r="1064" spans="1:9" x14ac:dyDescent="0.25">
      <c r="A1064" t="s">
        <v>368</v>
      </c>
      <c r="B1064" s="16" t="str">
        <f>"59271"</f>
        <v>59271</v>
      </c>
      <c r="C1064" t="s">
        <v>10</v>
      </c>
      <c r="D1064" t="s">
        <v>375</v>
      </c>
      <c r="E1064" s="16" t="str">
        <f>"004"</f>
        <v>004</v>
      </c>
      <c r="F1064" s="16">
        <v>2001</v>
      </c>
      <c r="G1064" s="6">
        <v>161676200</v>
      </c>
      <c r="H1064" s="6">
        <v>17503300</v>
      </c>
      <c r="I1064" s="6">
        <v>144172900</v>
      </c>
    </row>
    <row r="1065" spans="1:9" x14ac:dyDescent="0.25">
      <c r="A1065" t="s">
        <v>368</v>
      </c>
      <c r="B1065" s="16" t="str">
        <f>"59271"</f>
        <v>59271</v>
      </c>
      <c r="C1065" t="s">
        <v>10</v>
      </c>
      <c r="D1065" t="s">
        <v>375</v>
      </c>
      <c r="E1065" s="16" t="str">
        <f>"005"</f>
        <v>005</v>
      </c>
      <c r="F1065" s="16">
        <v>2008</v>
      </c>
      <c r="G1065" s="6">
        <v>33189000</v>
      </c>
      <c r="H1065" s="6">
        <v>16600500</v>
      </c>
      <c r="I1065" s="6">
        <v>16588500</v>
      </c>
    </row>
    <row r="1066" spans="1:9" x14ac:dyDescent="0.25">
      <c r="A1066" t="s">
        <v>368</v>
      </c>
      <c r="B1066" s="16" t="str">
        <f>"59271"</f>
        <v>59271</v>
      </c>
      <c r="C1066" t="s">
        <v>10</v>
      </c>
      <c r="D1066" t="s">
        <v>375</v>
      </c>
      <c r="E1066" s="16" t="str">
        <f>"006"</f>
        <v>006</v>
      </c>
      <c r="F1066" s="16">
        <v>2011</v>
      </c>
      <c r="G1066" s="6">
        <v>7954700</v>
      </c>
      <c r="H1066" s="6">
        <v>42600</v>
      </c>
      <c r="I1066" s="6">
        <v>7912100</v>
      </c>
    </row>
    <row r="1067" spans="1:9" x14ac:dyDescent="0.25">
      <c r="A1067" t="s">
        <v>368</v>
      </c>
      <c r="B1067" s="16" t="str">
        <f>"59176"</f>
        <v>59176</v>
      </c>
      <c r="C1067" t="s">
        <v>11</v>
      </c>
      <c r="D1067" t="s">
        <v>376</v>
      </c>
      <c r="E1067" s="16" t="str">
        <f>"003"</f>
        <v>003</v>
      </c>
      <c r="F1067" s="16">
        <v>2014</v>
      </c>
      <c r="G1067" s="6">
        <v>3144000</v>
      </c>
      <c r="H1067" s="6">
        <v>1397100</v>
      </c>
      <c r="I1067" s="6">
        <v>1746900</v>
      </c>
    </row>
    <row r="1068" spans="1:9" x14ac:dyDescent="0.25">
      <c r="A1068" t="s">
        <v>368</v>
      </c>
      <c r="B1068" s="16" t="str">
        <f>"59024"</f>
        <v>59024</v>
      </c>
      <c r="C1068" t="s">
        <v>13</v>
      </c>
      <c r="D1068" t="s">
        <v>368</v>
      </c>
      <c r="E1068" s="16" t="str">
        <f>"001A"</f>
        <v>001A</v>
      </c>
      <c r="F1068" s="16">
        <v>2020</v>
      </c>
      <c r="G1068" s="6">
        <v>28242500</v>
      </c>
      <c r="H1068" s="6">
        <v>27001400</v>
      </c>
      <c r="I1068" s="6">
        <v>1241100</v>
      </c>
    </row>
    <row r="1069" spans="1:9" x14ac:dyDescent="0.25">
      <c r="A1069" t="s">
        <v>368</v>
      </c>
      <c r="B1069" s="16" t="str">
        <f t="shared" ref="B1069:B1080" si="42">"59281"</f>
        <v>59281</v>
      </c>
      <c r="C1069" t="s">
        <v>10</v>
      </c>
      <c r="D1069" t="s">
        <v>368</v>
      </c>
      <c r="E1069" s="16" t="str">
        <f>"001E"</f>
        <v>001E</v>
      </c>
      <c r="F1069" s="16">
        <v>2003</v>
      </c>
      <c r="G1069" s="6">
        <v>10510100</v>
      </c>
      <c r="H1069" s="6">
        <v>1864600</v>
      </c>
      <c r="I1069" s="6">
        <v>8645500</v>
      </c>
    </row>
    <row r="1070" spans="1:9" x14ac:dyDescent="0.25">
      <c r="A1070" t="s">
        <v>368</v>
      </c>
      <c r="B1070" s="16" t="str">
        <f t="shared" si="42"/>
        <v>59281</v>
      </c>
      <c r="C1070" t="s">
        <v>10</v>
      </c>
      <c r="D1070" t="s">
        <v>368</v>
      </c>
      <c r="E1070" s="16" t="str">
        <f>"006"</f>
        <v>006</v>
      </c>
      <c r="F1070" s="16">
        <v>1992</v>
      </c>
      <c r="G1070" s="6">
        <v>89560300</v>
      </c>
      <c r="H1070" s="6">
        <v>19579000</v>
      </c>
      <c r="I1070" s="6">
        <v>69981300</v>
      </c>
    </row>
    <row r="1071" spans="1:9" x14ac:dyDescent="0.25">
      <c r="A1071" t="s">
        <v>368</v>
      </c>
      <c r="B1071" s="16" t="str">
        <f t="shared" si="42"/>
        <v>59281</v>
      </c>
      <c r="C1071" t="s">
        <v>10</v>
      </c>
      <c r="D1071" t="s">
        <v>368</v>
      </c>
      <c r="E1071" s="16" t="str">
        <f>"010"</f>
        <v>010</v>
      </c>
      <c r="F1071" s="16">
        <v>1997</v>
      </c>
      <c r="G1071" s="6">
        <v>22052900</v>
      </c>
      <c r="H1071" s="6">
        <v>3250600</v>
      </c>
      <c r="I1071" s="6">
        <v>18802300</v>
      </c>
    </row>
    <row r="1072" spans="1:9" x14ac:dyDescent="0.25">
      <c r="A1072" t="s">
        <v>368</v>
      </c>
      <c r="B1072" s="16" t="str">
        <f t="shared" si="42"/>
        <v>59281</v>
      </c>
      <c r="C1072" t="s">
        <v>10</v>
      </c>
      <c r="D1072" t="s">
        <v>368</v>
      </c>
      <c r="E1072" s="16" t="str">
        <f>"012"</f>
        <v>012</v>
      </c>
      <c r="F1072" s="16">
        <v>2000</v>
      </c>
      <c r="G1072" s="6">
        <v>12871100</v>
      </c>
      <c r="H1072" s="6">
        <v>3825700</v>
      </c>
      <c r="I1072" s="6">
        <v>9045400</v>
      </c>
    </row>
    <row r="1073" spans="1:9" x14ac:dyDescent="0.25">
      <c r="A1073" t="s">
        <v>368</v>
      </c>
      <c r="B1073" s="16" t="str">
        <f t="shared" si="42"/>
        <v>59281</v>
      </c>
      <c r="C1073" t="s">
        <v>10</v>
      </c>
      <c r="D1073" t="s">
        <v>368</v>
      </c>
      <c r="E1073" s="16" t="str">
        <f>"013"</f>
        <v>013</v>
      </c>
      <c r="F1073" s="16">
        <v>2006</v>
      </c>
      <c r="G1073" s="6">
        <v>19726400</v>
      </c>
      <c r="H1073" s="6">
        <v>294400</v>
      </c>
      <c r="I1073" s="6">
        <v>19432000</v>
      </c>
    </row>
    <row r="1074" spans="1:9" x14ac:dyDescent="0.25">
      <c r="A1074" t="s">
        <v>368</v>
      </c>
      <c r="B1074" s="16" t="str">
        <f t="shared" si="42"/>
        <v>59281</v>
      </c>
      <c r="C1074" t="s">
        <v>10</v>
      </c>
      <c r="D1074" t="s">
        <v>368</v>
      </c>
      <c r="E1074" s="16" t="str">
        <f>"014"</f>
        <v>014</v>
      </c>
      <c r="F1074" s="16">
        <v>2011</v>
      </c>
      <c r="G1074" s="6">
        <v>84035500</v>
      </c>
      <c r="H1074" s="6">
        <v>21193800</v>
      </c>
      <c r="I1074" s="6">
        <v>62841700</v>
      </c>
    </row>
    <row r="1075" spans="1:9" x14ac:dyDescent="0.25">
      <c r="A1075" t="s">
        <v>368</v>
      </c>
      <c r="B1075" s="16" t="str">
        <f t="shared" si="42"/>
        <v>59281</v>
      </c>
      <c r="C1075" t="s">
        <v>10</v>
      </c>
      <c r="D1075" t="s">
        <v>368</v>
      </c>
      <c r="E1075" s="16" t="str">
        <f>"015"</f>
        <v>015</v>
      </c>
      <c r="F1075" s="16">
        <v>2011</v>
      </c>
      <c r="G1075" s="6">
        <v>22148500</v>
      </c>
      <c r="H1075" s="6">
        <v>12434900</v>
      </c>
      <c r="I1075" s="6">
        <v>9713600</v>
      </c>
    </row>
    <row r="1076" spans="1:9" x14ac:dyDescent="0.25">
      <c r="A1076" t="s">
        <v>368</v>
      </c>
      <c r="B1076" s="16" t="str">
        <f t="shared" si="42"/>
        <v>59281</v>
      </c>
      <c r="C1076" t="s">
        <v>10</v>
      </c>
      <c r="D1076" t="s">
        <v>368</v>
      </c>
      <c r="E1076" s="16" t="str">
        <f>"016"</f>
        <v>016</v>
      </c>
      <c r="F1076" s="16">
        <v>2015</v>
      </c>
      <c r="G1076" s="6">
        <v>50912800</v>
      </c>
      <c r="H1076" s="6">
        <v>22459200</v>
      </c>
      <c r="I1076" s="6">
        <v>28453600</v>
      </c>
    </row>
    <row r="1077" spans="1:9" x14ac:dyDescent="0.25">
      <c r="A1077" t="s">
        <v>368</v>
      </c>
      <c r="B1077" s="16" t="str">
        <f t="shared" si="42"/>
        <v>59281</v>
      </c>
      <c r="C1077" t="s">
        <v>10</v>
      </c>
      <c r="D1077" t="s">
        <v>368</v>
      </c>
      <c r="E1077" s="16" t="str">
        <f>"017"</f>
        <v>017</v>
      </c>
      <c r="F1077" s="16">
        <v>2018</v>
      </c>
      <c r="G1077" s="6">
        <v>62739700</v>
      </c>
      <c r="H1077" s="6">
        <v>34021700</v>
      </c>
      <c r="I1077" s="6">
        <v>28718000</v>
      </c>
    </row>
    <row r="1078" spans="1:9" x14ac:dyDescent="0.25">
      <c r="A1078" t="s">
        <v>368</v>
      </c>
      <c r="B1078" s="16" t="str">
        <f t="shared" si="42"/>
        <v>59281</v>
      </c>
      <c r="C1078" t="s">
        <v>10</v>
      </c>
      <c r="D1078" t="s">
        <v>368</v>
      </c>
      <c r="E1078" s="16" t="str">
        <f>"018"</f>
        <v>018</v>
      </c>
      <c r="F1078" s="16">
        <v>2018</v>
      </c>
      <c r="G1078" s="6">
        <v>26051800</v>
      </c>
      <c r="H1078" s="6">
        <v>12444400</v>
      </c>
      <c r="I1078" s="6">
        <v>13607400</v>
      </c>
    </row>
    <row r="1079" spans="1:9" x14ac:dyDescent="0.25">
      <c r="A1079" t="s">
        <v>368</v>
      </c>
      <c r="B1079" s="16" t="str">
        <f t="shared" si="42"/>
        <v>59281</v>
      </c>
      <c r="C1079" t="s">
        <v>10</v>
      </c>
      <c r="D1079" t="s">
        <v>368</v>
      </c>
      <c r="E1079" s="16" t="str">
        <f>"019"</f>
        <v>019</v>
      </c>
      <c r="F1079" s="16">
        <v>2018</v>
      </c>
      <c r="G1079" s="6">
        <v>7483300</v>
      </c>
      <c r="H1079" s="6">
        <v>3399200</v>
      </c>
      <c r="I1079" s="6">
        <v>4084100</v>
      </c>
    </row>
    <row r="1080" spans="1:9" x14ac:dyDescent="0.25">
      <c r="A1080" t="s">
        <v>368</v>
      </c>
      <c r="B1080" s="16" t="str">
        <f t="shared" si="42"/>
        <v>59281</v>
      </c>
      <c r="C1080" t="s">
        <v>10</v>
      </c>
      <c r="D1080" t="s">
        <v>368</v>
      </c>
      <c r="E1080" s="16" t="str">
        <f>"020"</f>
        <v>020</v>
      </c>
      <c r="F1080" s="16">
        <v>2020</v>
      </c>
      <c r="G1080" s="6">
        <v>4700600</v>
      </c>
      <c r="H1080" s="6">
        <v>1408500</v>
      </c>
      <c r="I1080" s="6">
        <v>3292100</v>
      </c>
    </row>
    <row r="1081" spans="1:9" x14ac:dyDescent="0.25">
      <c r="A1081" t="s">
        <v>368</v>
      </c>
      <c r="B1081" s="16" t="str">
        <f>"59282"</f>
        <v>59282</v>
      </c>
      <c r="C1081" t="s">
        <v>10</v>
      </c>
      <c r="D1081" t="s">
        <v>377</v>
      </c>
      <c r="E1081" s="16" t="str">
        <f>"003"</f>
        <v>003</v>
      </c>
      <c r="F1081" s="16">
        <v>1994</v>
      </c>
      <c r="G1081" s="6">
        <v>28812400</v>
      </c>
      <c r="H1081" s="6">
        <v>6188300</v>
      </c>
      <c r="I1081" s="6">
        <v>22624100</v>
      </c>
    </row>
    <row r="1082" spans="1:9" x14ac:dyDescent="0.25">
      <c r="A1082" t="s">
        <v>368</v>
      </c>
      <c r="B1082" s="16" t="str">
        <f>"59282"</f>
        <v>59282</v>
      </c>
      <c r="C1082" t="s">
        <v>10</v>
      </c>
      <c r="D1082" t="s">
        <v>377</v>
      </c>
      <c r="E1082" s="16" t="str">
        <f>"004"</f>
        <v>004</v>
      </c>
      <c r="F1082" s="16">
        <v>2016</v>
      </c>
      <c r="G1082" s="6">
        <v>19040700</v>
      </c>
      <c r="H1082" s="6">
        <v>2510100</v>
      </c>
      <c r="I1082" s="6">
        <v>16530600</v>
      </c>
    </row>
    <row r="1083" spans="1:9" x14ac:dyDescent="0.25">
      <c r="A1083" t="s">
        <v>368</v>
      </c>
      <c r="B1083" s="16" t="str">
        <f>"59282"</f>
        <v>59282</v>
      </c>
      <c r="C1083" t="s">
        <v>10</v>
      </c>
      <c r="D1083" t="s">
        <v>377</v>
      </c>
      <c r="E1083" s="16" t="str">
        <f>"005"</f>
        <v>005</v>
      </c>
      <c r="F1083" s="16">
        <v>2018</v>
      </c>
      <c r="G1083" s="6">
        <v>26442900</v>
      </c>
      <c r="H1083" s="6">
        <v>10376000</v>
      </c>
      <c r="I1083" s="6">
        <v>16066900</v>
      </c>
    </row>
    <row r="1084" spans="1:9" x14ac:dyDescent="0.25">
      <c r="A1084" t="s">
        <v>368</v>
      </c>
      <c r="B1084" s="16" t="str">
        <f>"59282"</f>
        <v>59282</v>
      </c>
      <c r="C1084" t="s">
        <v>10</v>
      </c>
      <c r="D1084" t="s">
        <v>377</v>
      </c>
      <c r="E1084" s="16" t="str">
        <f>"006"</f>
        <v>006</v>
      </c>
      <c r="F1084" s="16">
        <v>2019</v>
      </c>
      <c r="G1084" s="6">
        <v>10670600</v>
      </c>
      <c r="H1084" s="6">
        <v>0</v>
      </c>
      <c r="I1084" s="6">
        <v>10670600</v>
      </c>
    </row>
    <row r="1085" spans="1:9" x14ac:dyDescent="0.25">
      <c r="A1085" t="s">
        <v>368</v>
      </c>
      <c r="B1085" s="16" t="str">
        <f>"59282"</f>
        <v>59282</v>
      </c>
      <c r="C1085" t="s">
        <v>10</v>
      </c>
      <c r="D1085" t="s">
        <v>377</v>
      </c>
      <c r="E1085" s="16" t="str">
        <f>"007"</f>
        <v>007</v>
      </c>
      <c r="F1085" s="16">
        <v>2019</v>
      </c>
      <c r="G1085" s="6">
        <v>7519900</v>
      </c>
      <c r="H1085" s="6">
        <v>319500</v>
      </c>
      <c r="I1085" s="6">
        <v>7200400</v>
      </c>
    </row>
    <row r="1086" spans="1:9" x14ac:dyDescent="0.25">
      <c r="A1086" t="s">
        <v>378</v>
      </c>
      <c r="B1086" s="16" t="str">
        <f>"55106"</f>
        <v>55106</v>
      </c>
      <c r="C1086" t="s">
        <v>11</v>
      </c>
      <c r="D1086" t="s">
        <v>379</v>
      </c>
      <c r="E1086" s="16" t="str">
        <f>"005"</f>
        <v>005</v>
      </c>
      <c r="F1086" s="16">
        <v>1995</v>
      </c>
      <c r="G1086" s="6">
        <v>3258100</v>
      </c>
      <c r="H1086" s="6">
        <v>22500</v>
      </c>
      <c r="I1086" s="6">
        <v>3235600</v>
      </c>
    </row>
    <row r="1087" spans="1:9" x14ac:dyDescent="0.25">
      <c r="A1087" t="s">
        <v>378</v>
      </c>
      <c r="B1087" s="16" t="str">
        <f>"55106"</f>
        <v>55106</v>
      </c>
      <c r="C1087" t="s">
        <v>11</v>
      </c>
      <c r="D1087" t="s">
        <v>379</v>
      </c>
      <c r="E1087" s="16" t="str">
        <f>"006"</f>
        <v>006</v>
      </c>
      <c r="F1087" s="16">
        <v>2005</v>
      </c>
      <c r="G1087" s="6">
        <v>16038800</v>
      </c>
      <c r="H1087" s="6">
        <v>12224500</v>
      </c>
      <c r="I1087" s="6">
        <v>3814300</v>
      </c>
    </row>
    <row r="1088" spans="1:9" x14ac:dyDescent="0.25">
      <c r="A1088" t="s">
        <v>378</v>
      </c>
      <c r="B1088" s="16" t="str">
        <f>"55106"</f>
        <v>55106</v>
      </c>
      <c r="C1088" t="s">
        <v>11</v>
      </c>
      <c r="D1088" t="s">
        <v>379</v>
      </c>
      <c r="E1088" s="16" t="str">
        <f>"007"</f>
        <v>007</v>
      </c>
      <c r="F1088" s="16">
        <v>2007</v>
      </c>
      <c r="G1088" s="6">
        <v>14399400</v>
      </c>
      <c r="H1088" s="6">
        <v>5002200</v>
      </c>
      <c r="I1088" s="6">
        <v>9397200</v>
      </c>
    </row>
    <row r="1089" spans="1:9" x14ac:dyDescent="0.25">
      <c r="A1089" t="s">
        <v>378</v>
      </c>
      <c r="B1089" s="16" t="str">
        <f>"55136"</f>
        <v>55136</v>
      </c>
      <c r="C1089" t="s">
        <v>11</v>
      </c>
      <c r="D1089" t="s">
        <v>380</v>
      </c>
      <c r="E1089" s="16" t="str">
        <f>"005"</f>
        <v>005</v>
      </c>
      <c r="F1089" s="16">
        <v>1995</v>
      </c>
      <c r="G1089" s="6">
        <v>13234200</v>
      </c>
      <c r="H1089" s="6">
        <v>142600</v>
      </c>
      <c r="I1089" s="6">
        <v>13091600</v>
      </c>
    </row>
    <row r="1090" spans="1:9" x14ac:dyDescent="0.25">
      <c r="A1090" t="s">
        <v>378</v>
      </c>
      <c r="B1090" s="16" t="str">
        <f>"55236"</f>
        <v>55236</v>
      </c>
      <c r="C1090" t="s">
        <v>10</v>
      </c>
      <c r="D1090" t="s">
        <v>381</v>
      </c>
      <c r="E1090" s="16" t="str">
        <f>"005"</f>
        <v>005</v>
      </c>
      <c r="F1090" s="16">
        <v>2017</v>
      </c>
      <c r="G1090" s="6">
        <v>64510300</v>
      </c>
      <c r="H1090" s="6">
        <v>6322400</v>
      </c>
      <c r="I1090" s="6">
        <v>58187900</v>
      </c>
    </row>
    <row r="1091" spans="1:9" x14ac:dyDescent="0.25">
      <c r="A1091" t="s">
        <v>378</v>
      </c>
      <c r="B1091" s="16" t="str">
        <f>"55236"</f>
        <v>55236</v>
      </c>
      <c r="C1091" t="s">
        <v>10</v>
      </c>
      <c r="D1091" t="s">
        <v>381</v>
      </c>
      <c r="E1091" s="16" t="str">
        <f>"006"</f>
        <v>006</v>
      </c>
      <c r="F1091" s="16">
        <v>2018</v>
      </c>
      <c r="G1091" s="6">
        <v>122974700</v>
      </c>
      <c r="H1091" s="6">
        <v>97875200</v>
      </c>
      <c r="I1091" s="6">
        <v>25099500</v>
      </c>
    </row>
    <row r="1092" spans="1:9" x14ac:dyDescent="0.25">
      <c r="A1092" t="s">
        <v>378</v>
      </c>
      <c r="B1092" s="16" t="str">
        <f t="shared" ref="B1092:B1097" si="43">"55261"</f>
        <v>55261</v>
      </c>
      <c r="C1092" t="s">
        <v>10</v>
      </c>
      <c r="D1092" t="s">
        <v>382</v>
      </c>
      <c r="E1092" s="16" t="str">
        <f>"005"</f>
        <v>005</v>
      </c>
      <c r="F1092" s="16">
        <v>1987</v>
      </c>
      <c r="G1092" s="6">
        <v>20617700</v>
      </c>
      <c r="H1092" s="6">
        <v>77900</v>
      </c>
      <c r="I1092" s="6">
        <v>20539800</v>
      </c>
    </row>
    <row r="1093" spans="1:9" x14ac:dyDescent="0.25">
      <c r="A1093" t="s">
        <v>378</v>
      </c>
      <c r="B1093" s="16" t="str">
        <f t="shared" si="43"/>
        <v>55261</v>
      </c>
      <c r="C1093" t="s">
        <v>10</v>
      </c>
      <c r="D1093" t="s">
        <v>382</v>
      </c>
      <c r="E1093" s="16" t="str">
        <f>"006"</f>
        <v>006</v>
      </c>
      <c r="F1093" s="16">
        <v>1995</v>
      </c>
      <c r="G1093" s="6">
        <v>29801000</v>
      </c>
      <c r="H1093" s="6">
        <v>228500</v>
      </c>
      <c r="I1093" s="6">
        <v>29572500</v>
      </c>
    </row>
    <row r="1094" spans="1:9" x14ac:dyDescent="0.25">
      <c r="A1094" t="s">
        <v>378</v>
      </c>
      <c r="B1094" s="16" t="str">
        <f t="shared" si="43"/>
        <v>55261</v>
      </c>
      <c r="C1094" t="s">
        <v>10</v>
      </c>
      <c r="D1094" t="s">
        <v>382</v>
      </c>
      <c r="E1094" s="16" t="str">
        <f>"007"</f>
        <v>007</v>
      </c>
      <c r="F1094" s="16">
        <v>2003</v>
      </c>
      <c r="G1094" s="6">
        <v>6880000</v>
      </c>
      <c r="H1094" s="6">
        <v>2557800</v>
      </c>
      <c r="I1094" s="6">
        <v>4322200</v>
      </c>
    </row>
    <row r="1095" spans="1:9" x14ac:dyDescent="0.25">
      <c r="A1095" t="s">
        <v>378</v>
      </c>
      <c r="B1095" s="16" t="str">
        <f t="shared" si="43"/>
        <v>55261</v>
      </c>
      <c r="C1095" t="s">
        <v>10</v>
      </c>
      <c r="D1095" t="s">
        <v>382</v>
      </c>
      <c r="E1095" s="16" t="str">
        <f>"008"</f>
        <v>008</v>
      </c>
      <c r="F1095" s="16">
        <v>2005</v>
      </c>
      <c r="G1095" s="6">
        <v>33092100</v>
      </c>
      <c r="H1095" s="6">
        <v>15731300</v>
      </c>
      <c r="I1095" s="6">
        <v>17360800</v>
      </c>
    </row>
    <row r="1096" spans="1:9" x14ac:dyDescent="0.25">
      <c r="A1096" t="s">
        <v>378</v>
      </c>
      <c r="B1096" s="16" t="str">
        <f t="shared" si="43"/>
        <v>55261</v>
      </c>
      <c r="C1096" t="s">
        <v>10</v>
      </c>
      <c r="D1096" t="s">
        <v>382</v>
      </c>
      <c r="E1096" s="16" t="str">
        <f>"009"</f>
        <v>009</v>
      </c>
      <c r="F1096" s="16">
        <v>2008</v>
      </c>
      <c r="G1096" s="6">
        <v>8140200</v>
      </c>
      <c r="H1096" s="6">
        <v>6476100</v>
      </c>
      <c r="I1096" s="6">
        <v>1664100</v>
      </c>
    </row>
    <row r="1097" spans="1:9" x14ac:dyDescent="0.25">
      <c r="A1097" t="s">
        <v>378</v>
      </c>
      <c r="B1097" s="16" t="str">
        <f t="shared" si="43"/>
        <v>55261</v>
      </c>
      <c r="C1097" t="s">
        <v>10</v>
      </c>
      <c r="D1097" t="s">
        <v>382</v>
      </c>
      <c r="E1097" s="16" t="str">
        <f>"010"</f>
        <v>010</v>
      </c>
      <c r="F1097" s="16">
        <v>2014</v>
      </c>
      <c r="G1097" s="6">
        <v>9790800</v>
      </c>
      <c r="H1097" s="6">
        <v>3853800</v>
      </c>
      <c r="I1097" s="6">
        <v>5937000</v>
      </c>
    </row>
    <row r="1098" spans="1:9" x14ac:dyDescent="0.25">
      <c r="A1098" t="s">
        <v>378</v>
      </c>
      <c r="B1098" s="16" t="str">
        <f t="shared" ref="B1098:B1103" si="44">"55276"</f>
        <v>55276</v>
      </c>
      <c r="C1098" t="s">
        <v>10</v>
      </c>
      <c r="D1098" t="s">
        <v>303</v>
      </c>
      <c r="E1098" s="16" t="str">
        <f>"005"</f>
        <v>005</v>
      </c>
      <c r="F1098" s="16">
        <v>1994</v>
      </c>
      <c r="G1098" s="6">
        <v>27114100</v>
      </c>
      <c r="H1098" s="6">
        <v>467400</v>
      </c>
      <c r="I1098" s="6">
        <v>26646700</v>
      </c>
    </row>
    <row r="1099" spans="1:9" x14ac:dyDescent="0.25">
      <c r="A1099" t="s">
        <v>378</v>
      </c>
      <c r="B1099" s="16" t="str">
        <f t="shared" si="44"/>
        <v>55276</v>
      </c>
      <c r="C1099" t="s">
        <v>10</v>
      </c>
      <c r="D1099" t="s">
        <v>303</v>
      </c>
      <c r="E1099" s="16" t="str">
        <f>"010"</f>
        <v>010</v>
      </c>
      <c r="F1099" s="16">
        <v>2014</v>
      </c>
      <c r="G1099" s="6">
        <v>38998600</v>
      </c>
      <c r="H1099" s="6">
        <v>133300</v>
      </c>
      <c r="I1099" s="6">
        <v>38865300</v>
      </c>
    </row>
    <row r="1100" spans="1:9" x14ac:dyDescent="0.25">
      <c r="A1100" t="s">
        <v>378</v>
      </c>
      <c r="B1100" s="16" t="str">
        <f t="shared" si="44"/>
        <v>55276</v>
      </c>
      <c r="C1100" t="s">
        <v>10</v>
      </c>
      <c r="D1100" t="s">
        <v>303</v>
      </c>
      <c r="E1100" s="16" t="str">
        <f>"011"</f>
        <v>011</v>
      </c>
      <c r="F1100" s="16">
        <v>2016</v>
      </c>
      <c r="G1100" s="6">
        <v>8238400</v>
      </c>
      <c r="H1100" s="6">
        <v>7860500</v>
      </c>
      <c r="I1100" s="6">
        <v>377900</v>
      </c>
    </row>
    <row r="1101" spans="1:9" x14ac:dyDescent="0.25">
      <c r="A1101" t="s">
        <v>378</v>
      </c>
      <c r="B1101" s="16" t="str">
        <f t="shared" si="44"/>
        <v>55276</v>
      </c>
      <c r="C1101" t="s">
        <v>10</v>
      </c>
      <c r="D1101" t="s">
        <v>303</v>
      </c>
      <c r="E1101" s="16" t="str">
        <f>"012"</f>
        <v>012</v>
      </c>
      <c r="F1101" s="16">
        <v>2016</v>
      </c>
      <c r="G1101" s="6">
        <v>2189100</v>
      </c>
      <c r="H1101" s="6">
        <v>0</v>
      </c>
      <c r="I1101" s="6">
        <v>2189100</v>
      </c>
    </row>
    <row r="1102" spans="1:9" x14ac:dyDescent="0.25">
      <c r="A1102" t="s">
        <v>378</v>
      </c>
      <c r="B1102" s="16" t="str">
        <f t="shared" si="44"/>
        <v>55276</v>
      </c>
      <c r="C1102" t="s">
        <v>10</v>
      </c>
      <c r="D1102" t="s">
        <v>303</v>
      </c>
      <c r="E1102" s="16" t="str">
        <f>"013"</f>
        <v>013</v>
      </c>
      <c r="F1102" s="16">
        <v>2018</v>
      </c>
      <c r="G1102" s="6">
        <v>10585400</v>
      </c>
      <c r="H1102" s="6">
        <v>6703500</v>
      </c>
      <c r="I1102" s="6">
        <v>3881900</v>
      </c>
    </row>
    <row r="1103" spans="1:9" x14ac:dyDescent="0.25">
      <c r="A1103" t="s">
        <v>378</v>
      </c>
      <c r="B1103" s="16" t="str">
        <f t="shared" si="44"/>
        <v>55276</v>
      </c>
      <c r="C1103" t="s">
        <v>10</v>
      </c>
      <c r="D1103" t="s">
        <v>303</v>
      </c>
      <c r="E1103" s="16" t="str">
        <f>"016"</f>
        <v>016</v>
      </c>
      <c r="F1103" s="16">
        <v>2020</v>
      </c>
      <c r="G1103" s="6">
        <v>2800</v>
      </c>
      <c r="H1103" s="6">
        <v>3600</v>
      </c>
      <c r="I1103" s="6">
        <v>-800</v>
      </c>
    </row>
    <row r="1104" spans="1:9" x14ac:dyDescent="0.25">
      <c r="A1104" t="s">
        <v>378</v>
      </c>
      <c r="B1104" s="16" t="str">
        <f>"55176"</f>
        <v>55176</v>
      </c>
      <c r="C1104" t="s">
        <v>11</v>
      </c>
      <c r="D1104" t="s">
        <v>383</v>
      </c>
      <c r="E1104" s="16" t="str">
        <f>"002"</f>
        <v>002</v>
      </c>
      <c r="F1104" s="16">
        <v>2020</v>
      </c>
      <c r="G1104" s="6">
        <v>2472400</v>
      </c>
      <c r="H1104" s="6">
        <v>41200</v>
      </c>
      <c r="I1104" s="6">
        <v>2431200</v>
      </c>
    </row>
    <row r="1105" spans="1:9" x14ac:dyDescent="0.25">
      <c r="A1105" t="s">
        <v>378</v>
      </c>
      <c r="B1105" s="16" t="str">
        <f>"55176"</f>
        <v>55176</v>
      </c>
      <c r="C1105" t="s">
        <v>11</v>
      </c>
      <c r="D1105" t="s">
        <v>383</v>
      </c>
      <c r="E1105" s="16" t="str">
        <f>"003"</f>
        <v>003</v>
      </c>
      <c r="F1105" s="16">
        <v>2020</v>
      </c>
      <c r="G1105" s="6">
        <v>1787000</v>
      </c>
      <c r="H1105" s="6">
        <v>49800</v>
      </c>
      <c r="I1105" s="6">
        <v>1737200</v>
      </c>
    </row>
    <row r="1106" spans="1:9" x14ac:dyDescent="0.25">
      <c r="A1106" t="s">
        <v>378</v>
      </c>
      <c r="B1106" s="16" t="str">
        <f>"55181"</f>
        <v>55181</v>
      </c>
      <c r="C1106" t="s">
        <v>11</v>
      </c>
      <c r="D1106" t="s">
        <v>384</v>
      </c>
      <c r="E1106" s="16" t="str">
        <f>"002"</f>
        <v>002</v>
      </c>
      <c r="F1106" s="16">
        <v>1996</v>
      </c>
      <c r="G1106" s="6">
        <v>36345900</v>
      </c>
      <c r="H1106" s="6">
        <v>1858400</v>
      </c>
      <c r="I1106" s="6">
        <v>34487500</v>
      </c>
    </row>
    <row r="1107" spans="1:9" x14ac:dyDescent="0.25">
      <c r="A1107" t="s">
        <v>378</v>
      </c>
      <c r="B1107" s="16" t="str">
        <f>"55181"</f>
        <v>55181</v>
      </c>
      <c r="C1107" t="s">
        <v>11</v>
      </c>
      <c r="D1107" t="s">
        <v>384</v>
      </c>
      <c r="E1107" s="16" t="str">
        <f>"003"</f>
        <v>003</v>
      </c>
      <c r="F1107" s="16">
        <v>2005</v>
      </c>
      <c r="G1107" s="6">
        <v>1517700</v>
      </c>
      <c r="H1107" s="6">
        <v>1135500</v>
      </c>
      <c r="I1107" s="6">
        <v>382200</v>
      </c>
    </row>
    <row r="1108" spans="1:9" x14ac:dyDescent="0.25">
      <c r="A1108" t="s">
        <v>378</v>
      </c>
      <c r="B1108" s="16" t="str">
        <f>"55181"</f>
        <v>55181</v>
      </c>
      <c r="C1108" t="s">
        <v>11</v>
      </c>
      <c r="D1108" t="s">
        <v>384</v>
      </c>
      <c r="E1108" s="16" t="str">
        <f>"004"</f>
        <v>004</v>
      </c>
      <c r="F1108" s="16">
        <v>2008</v>
      </c>
      <c r="G1108" s="6">
        <v>5892000</v>
      </c>
      <c r="H1108" s="6">
        <v>1085700</v>
      </c>
      <c r="I1108" s="6">
        <v>4806300</v>
      </c>
    </row>
    <row r="1109" spans="1:9" x14ac:dyDescent="0.25">
      <c r="A1109" t="s">
        <v>378</v>
      </c>
      <c r="B1109" s="16" t="str">
        <f>"55181"</f>
        <v>55181</v>
      </c>
      <c r="C1109" t="s">
        <v>11</v>
      </c>
      <c r="D1109" t="s">
        <v>384</v>
      </c>
      <c r="E1109" s="16" t="str">
        <f>"005"</f>
        <v>005</v>
      </c>
      <c r="F1109" s="16">
        <v>2020</v>
      </c>
      <c r="G1109" s="6">
        <v>329300</v>
      </c>
      <c r="H1109" s="6">
        <v>801700</v>
      </c>
      <c r="I1109" s="6">
        <v>-472400</v>
      </c>
    </row>
    <row r="1110" spans="1:9" x14ac:dyDescent="0.25">
      <c r="A1110" t="s">
        <v>378</v>
      </c>
      <c r="B1110" s="16" t="str">
        <f>"55192"</f>
        <v>55192</v>
      </c>
      <c r="C1110" t="s">
        <v>11</v>
      </c>
      <c r="D1110" t="s">
        <v>385</v>
      </c>
      <c r="E1110" s="16" t="str">
        <f>"003"</f>
        <v>003</v>
      </c>
      <c r="F1110" s="16">
        <v>1995</v>
      </c>
      <c r="G1110" s="6">
        <v>24607700</v>
      </c>
      <c r="H1110" s="6">
        <v>1001000</v>
      </c>
      <c r="I1110" s="6">
        <v>23606700</v>
      </c>
    </row>
    <row r="1111" spans="1:9" x14ac:dyDescent="0.25">
      <c r="A1111" t="s">
        <v>378</v>
      </c>
      <c r="B1111" s="16" t="str">
        <f>"55192"</f>
        <v>55192</v>
      </c>
      <c r="C1111" t="s">
        <v>11</v>
      </c>
      <c r="D1111" t="s">
        <v>385</v>
      </c>
      <c r="E1111" s="16" t="str">
        <f>"004"</f>
        <v>004</v>
      </c>
      <c r="F1111" s="16">
        <v>2005</v>
      </c>
      <c r="G1111" s="6">
        <v>886200</v>
      </c>
      <c r="H1111" s="6">
        <v>193600</v>
      </c>
      <c r="I1111" s="6">
        <v>692600</v>
      </c>
    </row>
    <row r="1112" spans="1:9" x14ac:dyDescent="0.25">
      <c r="A1112" t="s">
        <v>180</v>
      </c>
      <c r="B1112" s="16" t="str">
        <f t="shared" ref="B1112:B1119" si="45">"60251"</f>
        <v>60251</v>
      </c>
      <c r="C1112" t="s">
        <v>10</v>
      </c>
      <c r="D1112" t="s">
        <v>386</v>
      </c>
      <c r="E1112" s="16" t="str">
        <f>"005"</f>
        <v>005</v>
      </c>
      <c r="F1112" s="16">
        <v>1989</v>
      </c>
      <c r="G1112" s="6">
        <v>7877200</v>
      </c>
      <c r="H1112" s="6">
        <v>5187900</v>
      </c>
      <c r="I1112" s="6">
        <v>2689300</v>
      </c>
    </row>
    <row r="1113" spans="1:9" x14ac:dyDescent="0.25">
      <c r="A1113" t="s">
        <v>180</v>
      </c>
      <c r="B1113" s="16" t="str">
        <f t="shared" si="45"/>
        <v>60251</v>
      </c>
      <c r="C1113" t="s">
        <v>10</v>
      </c>
      <c r="D1113" t="s">
        <v>386</v>
      </c>
      <c r="E1113" s="16" t="str">
        <f>"006"</f>
        <v>006</v>
      </c>
      <c r="F1113" s="16">
        <v>1996</v>
      </c>
      <c r="G1113" s="6">
        <v>4628600</v>
      </c>
      <c r="H1113" s="6">
        <v>1417600</v>
      </c>
      <c r="I1113" s="6">
        <v>3211000</v>
      </c>
    </row>
    <row r="1114" spans="1:9" x14ac:dyDescent="0.25">
      <c r="A1114" t="s">
        <v>180</v>
      </c>
      <c r="B1114" s="16" t="str">
        <f t="shared" si="45"/>
        <v>60251</v>
      </c>
      <c r="C1114" t="s">
        <v>10</v>
      </c>
      <c r="D1114" t="s">
        <v>386</v>
      </c>
      <c r="E1114" s="16" t="str">
        <f>"007"</f>
        <v>007</v>
      </c>
      <c r="F1114" s="16">
        <v>1997</v>
      </c>
      <c r="G1114" s="6">
        <v>2956200</v>
      </c>
      <c r="H1114" s="6">
        <v>1488900</v>
      </c>
      <c r="I1114" s="6">
        <v>1467300</v>
      </c>
    </row>
    <row r="1115" spans="1:9" x14ac:dyDescent="0.25">
      <c r="A1115" t="s">
        <v>180</v>
      </c>
      <c r="B1115" s="16" t="str">
        <f t="shared" si="45"/>
        <v>60251</v>
      </c>
      <c r="C1115" t="s">
        <v>10</v>
      </c>
      <c r="D1115" t="s">
        <v>386</v>
      </c>
      <c r="E1115" s="16" t="str">
        <f>"008"</f>
        <v>008</v>
      </c>
      <c r="F1115" s="16">
        <v>1997</v>
      </c>
      <c r="G1115" s="6">
        <v>2307800</v>
      </c>
      <c r="H1115" s="6">
        <v>695900</v>
      </c>
      <c r="I1115" s="6">
        <v>1611900</v>
      </c>
    </row>
    <row r="1116" spans="1:9" x14ac:dyDescent="0.25">
      <c r="A1116" t="s">
        <v>180</v>
      </c>
      <c r="B1116" s="16" t="str">
        <f t="shared" si="45"/>
        <v>60251</v>
      </c>
      <c r="C1116" t="s">
        <v>10</v>
      </c>
      <c r="D1116" t="s">
        <v>386</v>
      </c>
      <c r="E1116" s="16" t="str">
        <f>"010"</f>
        <v>010</v>
      </c>
      <c r="F1116" s="16">
        <v>1999</v>
      </c>
      <c r="G1116" s="6">
        <v>2883400</v>
      </c>
      <c r="H1116" s="6">
        <v>240200</v>
      </c>
      <c r="I1116" s="6">
        <v>2643200</v>
      </c>
    </row>
    <row r="1117" spans="1:9" x14ac:dyDescent="0.25">
      <c r="A1117" t="s">
        <v>180</v>
      </c>
      <c r="B1117" s="16" t="str">
        <f t="shared" si="45"/>
        <v>60251</v>
      </c>
      <c r="C1117" t="s">
        <v>10</v>
      </c>
      <c r="D1117" t="s">
        <v>386</v>
      </c>
      <c r="E1117" s="16" t="str">
        <f>"011"</f>
        <v>011</v>
      </c>
      <c r="F1117" s="16">
        <v>1999</v>
      </c>
      <c r="G1117" s="6">
        <v>4208500</v>
      </c>
      <c r="H1117" s="6">
        <v>1184000</v>
      </c>
      <c r="I1117" s="6">
        <v>3024500</v>
      </c>
    </row>
    <row r="1118" spans="1:9" x14ac:dyDescent="0.25">
      <c r="A1118" t="s">
        <v>180</v>
      </c>
      <c r="B1118" s="16" t="str">
        <f t="shared" si="45"/>
        <v>60251</v>
      </c>
      <c r="C1118" t="s">
        <v>10</v>
      </c>
      <c r="D1118" t="s">
        <v>386</v>
      </c>
      <c r="E1118" s="16" t="str">
        <f>"012"</f>
        <v>012</v>
      </c>
      <c r="F1118" s="16">
        <v>2000</v>
      </c>
      <c r="G1118" s="6">
        <v>31133400</v>
      </c>
      <c r="H1118" s="6">
        <v>2687700</v>
      </c>
      <c r="I1118" s="6">
        <v>28445700</v>
      </c>
    </row>
    <row r="1119" spans="1:9" x14ac:dyDescent="0.25">
      <c r="A1119" t="s">
        <v>180</v>
      </c>
      <c r="B1119" s="16" t="str">
        <f t="shared" si="45"/>
        <v>60251</v>
      </c>
      <c r="C1119" t="s">
        <v>10</v>
      </c>
      <c r="D1119" t="s">
        <v>386</v>
      </c>
      <c r="E1119" s="16" t="str">
        <f>"013"</f>
        <v>013</v>
      </c>
      <c r="F1119" s="16">
        <v>2005</v>
      </c>
      <c r="G1119" s="6">
        <v>16874300</v>
      </c>
      <c r="H1119" s="6">
        <v>3382000</v>
      </c>
      <c r="I1119" s="6">
        <v>13492300</v>
      </c>
    </row>
    <row r="1120" spans="1:9" x14ac:dyDescent="0.25">
      <c r="A1120" t="s">
        <v>180</v>
      </c>
      <c r="B1120" s="16" t="str">
        <f>"60176"</f>
        <v>60176</v>
      </c>
      <c r="C1120" t="s">
        <v>11</v>
      </c>
      <c r="D1120" t="s">
        <v>387</v>
      </c>
      <c r="E1120" s="16" t="str">
        <f>"001"</f>
        <v>001</v>
      </c>
      <c r="F1120" s="16">
        <v>1995</v>
      </c>
      <c r="G1120" s="6">
        <v>2721500</v>
      </c>
      <c r="H1120" s="6">
        <v>796200</v>
      </c>
      <c r="I1120" s="6">
        <v>1925300</v>
      </c>
    </row>
    <row r="1121" spans="1:9" x14ac:dyDescent="0.25">
      <c r="A1121" t="s">
        <v>180</v>
      </c>
      <c r="B1121" s="16" t="str">
        <f>"60181"</f>
        <v>60181</v>
      </c>
      <c r="C1121" t="s">
        <v>11</v>
      </c>
      <c r="D1121" t="s">
        <v>388</v>
      </c>
      <c r="E1121" s="16" t="str">
        <f>"001"</f>
        <v>001</v>
      </c>
      <c r="F1121" s="16">
        <v>2013</v>
      </c>
      <c r="G1121" s="6">
        <v>1807800</v>
      </c>
      <c r="H1121" s="6">
        <v>1003000</v>
      </c>
      <c r="I1121" s="6">
        <v>804800</v>
      </c>
    </row>
    <row r="1122" spans="1:9" x14ac:dyDescent="0.25">
      <c r="A1122" t="s">
        <v>389</v>
      </c>
      <c r="B1122" s="16" t="str">
        <f>"61201"</f>
        <v>61201</v>
      </c>
      <c r="C1122" t="s">
        <v>10</v>
      </c>
      <c r="D1122" t="s">
        <v>390</v>
      </c>
      <c r="E1122" s="16" t="str">
        <f>"003"</f>
        <v>003</v>
      </c>
      <c r="F1122" s="16">
        <v>1994</v>
      </c>
      <c r="G1122" s="6">
        <v>21292800</v>
      </c>
      <c r="H1122" s="6">
        <v>180100</v>
      </c>
      <c r="I1122" s="6">
        <v>21112700</v>
      </c>
    </row>
    <row r="1123" spans="1:9" x14ac:dyDescent="0.25">
      <c r="A1123" t="s">
        <v>389</v>
      </c>
      <c r="B1123" s="16" t="str">
        <f>"61201"</f>
        <v>61201</v>
      </c>
      <c r="C1123" t="s">
        <v>10</v>
      </c>
      <c r="D1123" t="s">
        <v>390</v>
      </c>
      <c r="E1123" s="16" t="str">
        <f>"004"</f>
        <v>004</v>
      </c>
      <c r="F1123" s="16">
        <v>1994</v>
      </c>
      <c r="G1123" s="6">
        <v>25509400</v>
      </c>
      <c r="H1123" s="6">
        <v>587100</v>
      </c>
      <c r="I1123" s="6">
        <v>24922300</v>
      </c>
    </row>
    <row r="1124" spans="1:9" x14ac:dyDescent="0.25">
      <c r="A1124" t="s">
        <v>389</v>
      </c>
      <c r="B1124" s="16" t="str">
        <f>"61206"</f>
        <v>61206</v>
      </c>
      <c r="C1124" t="s">
        <v>10</v>
      </c>
      <c r="D1124" t="s">
        <v>391</v>
      </c>
      <c r="E1124" s="16" t="str">
        <f>"004"</f>
        <v>004</v>
      </c>
      <c r="F1124" s="16">
        <v>2007</v>
      </c>
      <c r="G1124" s="6">
        <v>4753700</v>
      </c>
      <c r="H1124" s="6">
        <v>17900</v>
      </c>
      <c r="I1124" s="6">
        <v>4735800</v>
      </c>
    </row>
    <row r="1125" spans="1:9" x14ac:dyDescent="0.25">
      <c r="A1125" t="s">
        <v>389</v>
      </c>
      <c r="B1125" s="16" t="str">
        <f>"61206"</f>
        <v>61206</v>
      </c>
      <c r="C1125" t="s">
        <v>10</v>
      </c>
      <c r="D1125" t="s">
        <v>391</v>
      </c>
      <c r="E1125" s="16" t="str">
        <f>"005"</f>
        <v>005</v>
      </c>
      <c r="F1125" s="16">
        <v>2008</v>
      </c>
      <c r="G1125" s="6">
        <v>2932800</v>
      </c>
      <c r="H1125" s="6">
        <v>54100</v>
      </c>
      <c r="I1125" s="6">
        <v>2878700</v>
      </c>
    </row>
    <row r="1126" spans="1:9" x14ac:dyDescent="0.25">
      <c r="A1126" t="s">
        <v>389</v>
      </c>
      <c r="B1126" s="16" t="str">
        <f>"61206"</f>
        <v>61206</v>
      </c>
      <c r="C1126" t="s">
        <v>10</v>
      </c>
      <c r="D1126" t="s">
        <v>391</v>
      </c>
      <c r="E1126" s="16" t="str">
        <f>"006"</f>
        <v>006</v>
      </c>
      <c r="F1126" s="16">
        <v>2015</v>
      </c>
      <c r="G1126" s="6">
        <v>3812400</v>
      </c>
      <c r="H1126" s="6">
        <v>3300800</v>
      </c>
      <c r="I1126" s="6">
        <v>511600</v>
      </c>
    </row>
    <row r="1127" spans="1:9" x14ac:dyDescent="0.25">
      <c r="A1127" t="s">
        <v>389</v>
      </c>
      <c r="B1127" s="16" t="str">
        <f>"61206"</f>
        <v>61206</v>
      </c>
      <c r="C1127" t="s">
        <v>10</v>
      </c>
      <c r="D1127" t="s">
        <v>391</v>
      </c>
      <c r="E1127" s="16" t="str">
        <f>"007"</f>
        <v>007</v>
      </c>
      <c r="F1127" s="16">
        <v>2015</v>
      </c>
      <c r="G1127" s="6">
        <v>2895700</v>
      </c>
      <c r="H1127" s="6">
        <v>1725000</v>
      </c>
      <c r="I1127" s="6">
        <v>1170700</v>
      </c>
    </row>
    <row r="1128" spans="1:9" x14ac:dyDescent="0.25">
      <c r="A1128" t="s">
        <v>389</v>
      </c>
      <c r="B1128" s="16" t="str">
        <f>"61231"</f>
        <v>61231</v>
      </c>
      <c r="C1128" t="s">
        <v>10</v>
      </c>
      <c r="D1128" t="s">
        <v>392</v>
      </c>
      <c r="E1128" s="16" t="str">
        <f>"002"</f>
        <v>002</v>
      </c>
      <c r="F1128" s="16">
        <v>2001</v>
      </c>
      <c r="G1128" s="6">
        <v>13110400</v>
      </c>
      <c r="H1128" s="6">
        <v>1038600</v>
      </c>
      <c r="I1128" s="6">
        <v>12071800</v>
      </c>
    </row>
    <row r="1129" spans="1:9" x14ac:dyDescent="0.25">
      <c r="A1129" t="s">
        <v>389</v>
      </c>
      <c r="B1129" s="16" t="str">
        <f>"61241"</f>
        <v>61241</v>
      </c>
      <c r="C1129" t="s">
        <v>10</v>
      </c>
      <c r="D1129" t="s">
        <v>393</v>
      </c>
      <c r="E1129" s="16" t="str">
        <f>"002"</f>
        <v>002</v>
      </c>
      <c r="F1129" s="16">
        <v>2006</v>
      </c>
      <c r="G1129" s="6">
        <v>13038800</v>
      </c>
      <c r="H1129" s="6">
        <v>2007200</v>
      </c>
      <c r="I1129" s="6">
        <v>11031600</v>
      </c>
    </row>
    <row r="1130" spans="1:9" x14ac:dyDescent="0.25">
      <c r="A1130" t="s">
        <v>389</v>
      </c>
      <c r="B1130" s="16" t="str">
        <f>"61241"</f>
        <v>61241</v>
      </c>
      <c r="C1130" t="s">
        <v>10</v>
      </c>
      <c r="D1130" t="s">
        <v>393</v>
      </c>
      <c r="E1130" s="16" t="str">
        <f>"003"</f>
        <v>003</v>
      </c>
      <c r="F1130" s="16">
        <v>2020</v>
      </c>
      <c r="G1130" s="6">
        <v>6574100</v>
      </c>
      <c r="H1130" s="6">
        <v>3783300</v>
      </c>
      <c r="I1130" s="6">
        <v>2790800</v>
      </c>
    </row>
    <row r="1131" spans="1:9" x14ac:dyDescent="0.25">
      <c r="A1131" t="s">
        <v>389</v>
      </c>
      <c r="B1131" s="16" t="str">
        <f>"61265"</f>
        <v>61265</v>
      </c>
      <c r="C1131" t="s">
        <v>10</v>
      </c>
      <c r="D1131" t="s">
        <v>394</v>
      </c>
      <c r="E1131" s="16" t="str">
        <f>"002"</f>
        <v>002</v>
      </c>
      <c r="F1131" s="16">
        <v>1994</v>
      </c>
      <c r="G1131" s="6">
        <v>38483800</v>
      </c>
      <c r="H1131" s="6">
        <v>358000</v>
      </c>
      <c r="I1131" s="6">
        <v>38125800</v>
      </c>
    </row>
    <row r="1132" spans="1:9" x14ac:dyDescent="0.25">
      <c r="A1132" t="s">
        <v>389</v>
      </c>
      <c r="B1132" s="16" t="str">
        <f>"61265"</f>
        <v>61265</v>
      </c>
      <c r="C1132" t="s">
        <v>10</v>
      </c>
      <c r="D1132" t="s">
        <v>394</v>
      </c>
      <c r="E1132" s="16" t="str">
        <f>"003"</f>
        <v>003</v>
      </c>
      <c r="F1132" s="16">
        <v>2009</v>
      </c>
      <c r="G1132" s="6">
        <v>2837200</v>
      </c>
      <c r="H1132" s="6">
        <v>2470500</v>
      </c>
      <c r="I1132" s="6">
        <v>366700</v>
      </c>
    </row>
    <row r="1133" spans="1:9" x14ac:dyDescent="0.25">
      <c r="A1133" t="s">
        <v>389</v>
      </c>
      <c r="B1133" s="16" t="str">
        <f>"61181"</f>
        <v>61181</v>
      </c>
      <c r="C1133" t="s">
        <v>11</v>
      </c>
      <c r="D1133" t="s">
        <v>395</v>
      </c>
      <c r="E1133" s="16" t="str">
        <f>"001"</f>
        <v>001</v>
      </c>
      <c r="F1133" s="16">
        <v>2009</v>
      </c>
      <c r="G1133" s="6">
        <v>9400</v>
      </c>
      <c r="H1133" s="6">
        <v>5600</v>
      </c>
      <c r="I1133" s="6">
        <v>3800</v>
      </c>
    </row>
    <row r="1134" spans="1:9" x14ac:dyDescent="0.25">
      <c r="A1134" t="s">
        <v>389</v>
      </c>
      <c r="B1134" s="16" t="str">
        <f>"61186"</f>
        <v>61186</v>
      </c>
      <c r="C1134" t="s">
        <v>11</v>
      </c>
      <c r="D1134" t="s">
        <v>389</v>
      </c>
      <c r="E1134" s="16" t="str">
        <f>"001"</f>
        <v>001</v>
      </c>
      <c r="F1134" s="16">
        <v>1997</v>
      </c>
      <c r="G1134" s="6">
        <v>5338300</v>
      </c>
      <c r="H1134" s="6">
        <v>2003400</v>
      </c>
      <c r="I1134" s="6">
        <v>3334900</v>
      </c>
    </row>
    <row r="1135" spans="1:9" x14ac:dyDescent="0.25">
      <c r="A1135" s="12" t="s">
        <v>389</v>
      </c>
      <c r="B1135" s="17" t="str">
        <f>"61291"</f>
        <v>61291</v>
      </c>
      <c r="C1135" s="12" t="s">
        <v>10</v>
      </c>
      <c r="D1135" s="12" t="s">
        <v>396</v>
      </c>
      <c r="E1135" s="17" t="str">
        <f>"002"</f>
        <v>002</v>
      </c>
      <c r="F1135" s="17">
        <v>2006</v>
      </c>
      <c r="G1135" s="13">
        <v>6411900</v>
      </c>
      <c r="H1135" s="13">
        <v>989100</v>
      </c>
      <c r="I1135" s="13">
        <v>5422800</v>
      </c>
    </row>
    <row r="1136" spans="1:9" s="5" customFormat="1" x14ac:dyDescent="0.25">
      <c r="A1136" s="11" t="s">
        <v>389</v>
      </c>
      <c r="B1136" s="18" t="str">
        <f>"61291"</f>
        <v>61291</v>
      </c>
      <c r="C1136" s="11" t="s">
        <v>10</v>
      </c>
      <c r="D1136" s="11" t="s">
        <v>396</v>
      </c>
      <c r="E1136" s="18" t="str">
        <f>"003"</f>
        <v>003</v>
      </c>
      <c r="F1136" s="18">
        <v>2006</v>
      </c>
      <c r="G1136" s="14">
        <v>20738000</v>
      </c>
      <c r="H1136" s="13">
        <v>7706000</v>
      </c>
      <c r="I1136" s="13">
        <v>13032000</v>
      </c>
    </row>
    <row r="1137" spans="1:17" x14ac:dyDescent="0.25">
      <c r="A1137" t="s">
        <v>397</v>
      </c>
      <c r="B1137" s="16" t="str">
        <f>"62116"</f>
        <v>62116</v>
      </c>
      <c r="C1137" t="s">
        <v>11</v>
      </c>
      <c r="D1137" t="s">
        <v>86</v>
      </c>
      <c r="E1137" s="16" t="str">
        <f>"001"</f>
        <v>001</v>
      </c>
      <c r="F1137" s="16">
        <v>2001</v>
      </c>
      <c r="G1137" s="8">
        <v>737500</v>
      </c>
      <c r="H1137" s="6">
        <v>340200</v>
      </c>
      <c r="I1137" s="6">
        <v>397300</v>
      </c>
    </row>
    <row r="1138" spans="1:17" x14ac:dyDescent="0.25">
      <c r="A1138" t="s">
        <v>397</v>
      </c>
      <c r="B1138" s="16" t="str">
        <f>"62236"</f>
        <v>62236</v>
      </c>
      <c r="C1138" t="s">
        <v>10</v>
      </c>
      <c r="D1138" t="s">
        <v>398</v>
      </c>
      <c r="E1138" s="16" t="str">
        <f>"002"</f>
        <v>002</v>
      </c>
      <c r="F1138" s="16">
        <v>1993</v>
      </c>
      <c r="G1138" s="6">
        <v>16215400</v>
      </c>
      <c r="H1138" s="6">
        <v>483600</v>
      </c>
      <c r="I1138" s="6">
        <v>15731800</v>
      </c>
      <c r="O1138" s="6"/>
    </row>
    <row r="1139" spans="1:17" x14ac:dyDescent="0.25">
      <c r="A1139" t="s">
        <v>397</v>
      </c>
      <c r="B1139" s="16" t="str">
        <f>"62236"</f>
        <v>62236</v>
      </c>
      <c r="C1139" t="s">
        <v>10</v>
      </c>
      <c r="D1139" t="s">
        <v>398</v>
      </c>
      <c r="E1139" s="16" t="str">
        <f>"004"</f>
        <v>004</v>
      </c>
      <c r="F1139" s="16">
        <v>1998</v>
      </c>
      <c r="G1139" s="6">
        <v>15624200</v>
      </c>
      <c r="H1139" s="6">
        <v>2715800</v>
      </c>
      <c r="I1139" s="6">
        <v>12908400</v>
      </c>
      <c r="O1139" s="5"/>
      <c r="P1139" s="5"/>
      <c r="Q1139" s="5"/>
    </row>
    <row r="1140" spans="1:17" x14ac:dyDescent="0.25">
      <c r="A1140" t="s">
        <v>397</v>
      </c>
      <c r="B1140" s="16" t="str">
        <f>"62146"</f>
        <v>62146</v>
      </c>
      <c r="C1140" t="s">
        <v>11</v>
      </c>
      <c r="D1140" t="s">
        <v>399</v>
      </c>
      <c r="E1140" s="16" t="str">
        <f>"001"</f>
        <v>001</v>
      </c>
      <c r="F1140" s="16">
        <v>2003</v>
      </c>
      <c r="G1140" s="6">
        <v>11370600</v>
      </c>
      <c r="H1140" s="6">
        <v>118300</v>
      </c>
      <c r="I1140" s="6">
        <v>11252300</v>
      </c>
      <c r="O1140" s="7"/>
    </row>
    <row r="1141" spans="1:17" x14ac:dyDescent="0.25">
      <c r="A1141" t="s">
        <v>397</v>
      </c>
      <c r="B1141" s="16" t="str">
        <f>"62165"</f>
        <v>62165</v>
      </c>
      <c r="C1141" t="s">
        <v>11</v>
      </c>
      <c r="D1141" t="s">
        <v>400</v>
      </c>
      <c r="E1141" s="16" t="str">
        <f>"001"</f>
        <v>001</v>
      </c>
      <c r="F1141" s="16">
        <v>1998</v>
      </c>
      <c r="G1141" s="6">
        <v>3680900</v>
      </c>
      <c r="H1141" s="6">
        <v>486500</v>
      </c>
      <c r="I1141" s="6">
        <v>3194400</v>
      </c>
    </row>
    <row r="1142" spans="1:17" x14ac:dyDescent="0.25">
      <c r="A1142" t="s">
        <v>397</v>
      </c>
      <c r="B1142" s="16" t="str">
        <f>"62165"</f>
        <v>62165</v>
      </c>
      <c r="C1142" t="s">
        <v>11</v>
      </c>
      <c r="D1142" t="s">
        <v>400</v>
      </c>
      <c r="E1142" s="16" t="str">
        <f>"002"</f>
        <v>002</v>
      </c>
      <c r="F1142" s="16">
        <v>2020</v>
      </c>
      <c r="G1142" s="6">
        <v>882300</v>
      </c>
      <c r="H1142" s="6">
        <v>668000</v>
      </c>
      <c r="I1142" s="6">
        <v>214300</v>
      </c>
    </row>
    <row r="1143" spans="1:17" x14ac:dyDescent="0.25">
      <c r="A1143" t="s">
        <v>397</v>
      </c>
      <c r="B1143" s="16" t="str">
        <f>"62186"</f>
        <v>62186</v>
      </c>
      <c r="C1143" t="s">
        <v>11</v>
      </c>
      <c r="D1143" t="s">
        <v>333</v>
      </c>
      <c r="E1143" s="16" t="str">
        <f>"004"</f>
        <v>004</v>
      </c>
      <c r="F1143" s="16">
        <v>2007</v>
      </c>
      <c r="G1143" s="6">
        <v>5603500</v>
      </c>
      <c r="H1143" s="6">
        <v>319500</v>
      </c>
      <c r="I1143" s="6">
        <v>5284000</v>
      </c>
    </row>
    <row r="1144" spans="1:17" x14ac:dyDescent="0.25">
      <c r="A1144" t="s">
        <v>397</v>
      </c>
      <c r="B1144" s="16" t="str">
        <f>"62186"</f>
        <v>62186</v>
      </c>
      <c r="C1144" t="s">
        <v>11</v>
      </c>
      <c r="D1144" t="s">
        <v>333</v>
      </c>
      <c r="E1144" s="16" t="str">
        <f>"005"</f>
        <v>005</v>
      </c>
      <c r="F1144" s="16">
        <v>2019</v>
      </c>
      <c r="G1144" s="6">
        <v>1475800</v>
      </c>
      <c r="H1144" s="6">
        <v>1059900</v>
      </c>
      <c r="I1144" s="6">
        <v>415900</v>
      </c>
    </row>
    <row r="1145" spans="1:17" x14ac:dyDescent="0.25">
      <c r="A1145" t="s">
        <v>397</v>
      </c>
      <c r="B1145" s="16" t="str">
        <f t="shared" ref="B1145:B1150" si="46">"62286"</f>
        <v>62286</v>
      </c>
      <c r="C1145" t="s">
        <v>10</v>
      </c>
      <c r="D1145" t="s">
        <v>401</v>
      </c>
      <c r="E1145" s="16" t="str">
        <f>"002"</f>
        <v>002</v>
      </c>
      <c r="F1145" s="16">
        <v>1994</v>
      </c>
      <c r="G1145" s="6">
        <v>1401700</v>
      </c>
      <c r="H1145" s="6">
        <v>355500</v>
      </c>
      <c r="I1145" s="6">
        <v>1046200</v>
      </c>
    </row>
    <row r="1146" spans="1:17" x14ac:dyDescent="0.25">
      <c r="A1146" t="s">
        <v>397</v>
      </c>
      <c r="B1146" s="16" t="str">
        <f t="shared" si="46"/>
        <v>62286</v>
      </c>
      <c r="C1146" t="s">
        <v>10</v>
      </c>
      <c r="D1146" t="s">
        <v>401</v>
      </c>
      <c r="E1146" s="16" t="str">
        <f>"003"</f>
        <v>003</v>
      </c>
      <c r="F1146" s="16">
        <v>1995</v>
      </c>
      <c r="G1146" s="6">
        <v>18061300</v>
      </c>
      <c r="H1146" s="6">
        <v>3810600</v>
      </c>
      <c r="I1146" s="6">
        <v>14250700</v>
      </c>
    </row>
    <row r="1147" spans="1:17" x14ac:dyDescent="0.25">
      <c r="A1147" t="s">
        <v>397</v>
      </c>
      <c r="B1147" s="16" t="str">
        <f t="shared" si="46"/>
        <v>62286</v>
      </c>
      <c r="C1147" t="s">
        <v>10</v>
      </c>
      <c r="D1147" t="s">
        <v>401</v>
      </c>
      <c r="E1147" s="16" t="str">
        <f>"004"</f>
        <v>004</v>
      </c>
      <c r="F1147" s="16">
        <v>1999</v>
      </c>
      <c r="G1147" s="6">
        <v>3714700</v>
      </c>
      <c r="H1147" s="6">
        <v>293000</v>
      </c>
      <c r="I1147" s="6">
        <v>3421700</v>
      </c>
    </row>
    <row r="1148" spans="1:17" x14ac:dyDescent="0.25">
      <c r="A1148" t="s">
        <v>397</v>
      </c>
      <c r="B1148" s="16" t="str">
        <f t="shared" si="46"/>
        <v>62286</v>
      </c>
      <c r="C1148" t="s">
        <v>10</v>
      </c>
      <c r="D1148" t="s">
        <v>401</v>
      </c>
      <c r="E1148" s="16" t="str">
        <f>"005"</f>
        <v>005</v>
      </c>
      <c r="F1148" s="16">
        <v>2006</v>
      </c>
      <c r="G1148" s="6">
        <v>3146700</v>
      </c>
      <c r="H1148" s="6">
        <v>279600</v>
      </c>
      <c r="I1148" s="6">
        <v>2867100</v>
      </c>
    </row>
    <row r="1149" spans="1:17" x14ac:dyDescent="0.25">
      <c r="A1149" t="s">
        <v>397</v>
      </c>
      <c r="B1149" s="16" t="str">
        <f t="shared" si="46"/>
        <v>62286</v>
      </c>
      <c r="C1149" t="s">
        <v>10</v>
      </c>
      <c r="D1149" t="s">
        <v>401</v>
      </c>
      <c r="E1149" s="16" t="str">
        <f>"006"</f>
        <v>006</v>
      </c>
      <c r="F1149" s="16">
        <v>2015</v>
      </c>
      <c r="G1149" s="6">
        <v>21833900</v>
      </c>
      <c r="H1149" s="6">
        <v>13024300</v>
      </c>
      <c r="I1149" s="6">
        <v>8809600</v>
      </c>
    </row>
    <row r="1150" spans="1:17" x14ac:dyDescent="0.25">
      <c r="A1150" t="s">
        <v>397</v>
      </c>
      <c r="B1150" s="16" t="str">
        <f t="shared" si="46"/>
        <v>62286</v>
      </c>
      <c r="C1150" t="s">
        <v>10</v>
      </c>
      <c r="D1150" t="s">
        <v>401</v>
      </c>
      <c r="E1150" s="16" t="str">
        <f>"007"</f>
        <v>007</v>
      </c>
      <c r="F1150" s="16">
        <v>2019</v>
      </c>
      <c r="G1150" s="6">
        <v>8056000</v>
      </c>
      <c r="H1150" s="6">
        <v>5761300</v>
      </c>
      <c r="I1150" s="6">
        <v>2294700</v>
      </c>
    </row>
    <row r="1151" spans="1:17" x14ac:dyDescent="0.25">
      <c r="A1151" t="s">
        <v>397</v>
      </c>
      <c r="B1151" s="16" t="str">
        <f>"62291"</f>
        <v>62291</v>
      </c>
      <c r="C1151" t="s">
        <v>10</v>
      </c>
      <c r="D1151" t="s">
        <v>402</v>
      </c>
      <c r="E1151" s="16" t="str">
        <f>"002"</f>
        <v>002</v>
      </c>
      <c r="F1151" s="16">
        <v>2007</v>
      </c>
      <c r="G1151" s="6">
        <v>15303300</v>
      </c>
      <c r="H1151" s="6">
        <v>6226700</v>
      </c>
      <c r="I1151" s="6">
        <v>9076600</v>
      </c>
    </row>
    <row r="1152" spans="1:17" x14ac:dyDescent="0.25">
      <c r="A1152" t="s">
        <v>397</v>
      </c>
      <c r="B1152" s="16" t="str">
        <f>"62291"</f>
        <v>62291</v>
      </c>
      <c r="C1152" t="s">
        <v>10</v>
      </c>
      <c r="D1152" t="s">
        <v>402</v>
      </c>
      <c r="E1152" s="16" t="str">
        <f>"003"</f>
        <v>003</v>
      </c>
      <c r="F1152" s="16">
        <v>2008</v>
      </c>
      <c r="G1152" s="6">
        <v>17689100</v>
      </c>
      <c r="H1152" s="6">
        <v>6591700</v>
      </c>
      <c r="I1152" s="6">
        <v>11097400</v>
      </c>
    </row>
    <row r="1153" spans="1:10" x14ac:dyDescent="0.25">
      <c r="A1153" t="s">
        <v>403</v>
      </c>
      <c r="B1153" s="16" t="str">
        <f>"63221"</f>
        <v>63221</v>
      </c>
      <c r="C1153" t="s">
        <v>10</v>
      </c>
      <c r="D1153" t="s">
        <v>404</v>
      </c>
      <c r="E1153" s="16" t="str">
        <f>"002"</f>
        <v>002</v>
      </c>
      <c r="F1153" s="16">
        <v>2007</v>
      </c>
      <c r="G1153" s="6">
        <v>13021700</v>
      </c>
      <c r="H1153" s="6">
        <v>4062400</v>
      </c>
      <c r="I1153" s="6">
        <v>8959300</v>
      </c>
    </row>
    <row r="1154" spans="1:10" x14ac:dyDescent="0.25">
      <c r="A1154" t="s">
        <v>403</v>
      </c>
      <c r="B1154" s="16" t="str">
        <f>"63221"</f>
        <v>63221</v>
      </c>
      <c r="C1154" t="s">
        <v>10</v>
      </c>
      <c r="D1154" t="s">
        <v>404</v>
      </c>
      <c r="E1154" s="16" t="str">
        <f>"003"</f>
        <v>003</v>
      </c>
      <c r="F1154" s="16">
        <v>2007</v>
      </c>
      <c r="G1154" s="6">
        <v>21353200</v>
      </c>
      <c r="H1154" s="6">
        <v>8138700</v>
      </c>
      <c r="I1154" s="6">
        <v>13214500</v>
      </c>
    </row>
    <row r="1155" spans="1:10" x14ac:dyDescent="0.25">
      <c r="A1155" t="s">
        <v>405</v>
      </c>
      <c r="B1155" s="16" t="str">
        <f>"64115"</f>
        <v>64115</v>
      </c>
      <c r="C1155" t="s">
        <v>11</v>
      </c>
      <c r="D1155" t="s">
        <v>406</v>
      </c>
      <c r="E1155" s="16" t="str">
        <f>"001"</f>
        <v>001</v>
      </c>
      <c r="F1155" s="16">
        <v>2020</v>
      </c>
      <c r="G1155" s="6">
        <v>295000</v>
      </c>
      <c r="H1155" s="6">
        <v>202800</v>
      </c>
      <c r="I1155" s="6">
        <v>92200</v>
      </c>
    </row>
    <row r="1156" spans="1:10" x14ac:dyDescent="0.25">
      <c r="A1156" t="s">
        <v>405</v>
      </c>
      <c r="B1156" s="16" t="str">
        <f>"64206"</f>
        <v>64206</v>
      </c>
      <c r="C1156" t="s">
        <v>10</v>
      </c>
      <c r="D1156" t="s">
        <v>407</v>
      </c>
      <c r="E1156" s="16" t="str">
        <f>"005"</f>
        <v>005</v>
      </c>
      <c r="F1156" s="16">
        <v>2015</v>
      </c>
      <c r="G1156" s="6">
        <v>9172100</v>
      </c>
      <c r="H1156" s="6">
        <v>123900</v>
      </c>
      <c r="I1156" s="6">
        <v>9048200</v>
      </c>
    </row>
    <row r="1157" spans="1:10" x14ac:dyDescent="0.25">
      <c r="A1157" t="s">
        <v>405</v>
      </c>
      <c r="B1157" s="16" t="str">
        <f>"64116"</f>
        <v>64116</v>
      </c>
      <c r="C1157" t="s">
        <v>11</v>
      </c>
      <c r="D1157" t="s">
        <v>408</v>
      </c>
      <c r="E1157" s="16" t="str">
        <f>"003"</f>
        <v>003</v>
      </c>
      <c r="F1157" s="16">
        <v>2015</v>
      </c>
      <c r="G1157" s="6">
        <v>9422100</v>
      </c>
      <c r="H1157" s="6">
        <v>2174600</v>
      </c>
      <c r="I1157" s="6">
        <v>7247500</v>
      </c>
    </row>
    <row r="1158" spans="1:10" x14ac:dyDescent="0.25">
      <c r="A1158" t="s">
        <v>405</v>
      </c>
      <c r="B1158" s="16" t="str">
        <f>"64216"</f>
        <v>64216</v>
      </c>
      <c r="C1158" t="s">
        <v>10</v>
      </c>
      <c r="D1158" t="s">
        <v>409</v>
      </c>
      <c r="E1158" s="16" t="str">
        <f>"004"</f>
        <v>004</v>
      </c>
      <c r="F1158" s="16">
        <v>2003</v>
      </c>
      <c r="G1158" s="6">
        <v>73467500</v>
      </c>
      <c r="H1158" s="6">
        <v>22997800</v>
      </c>
      <c r="I1158" s="6">
        <v>50469700</v>
      </c>
    </row>
    <row r="1159" spans="1:10" x14ac:dyDescent="0.25">
      <c r="A1159" t="s">
        <v>405</v>
      </c>
      <c r="B1159" s="16" t="str">
        <f>"64216"</f>
        <v>64216</v>
      </c>
      <c r="C1159" t="s">
        <v>10</v>
      </c>
      <c r="D1159" t="s">
        <v>409</v>
      </c>
      <c r="E1159" s="16" t="str">
        <f>"005"</f>
        <v>005</v>
      </c>
      <c r="F1159" s="16">
        <v>2012</v>
      </c>
      <c r="G1159" s="6">
        <v>31180400</v>
      </c>
      <c r="H1159" s="6">
        <v>21830800</v>
      </c>
      <c r="I1159" s="6">
        <v>9349600</v>
      </c>
    </row>
    <row r="1160" spans="1:10" x14ac:dyDescent="0.25">
      <c r="A1160" t="s">
        <v>405</v>
      </c>
      <c r="B1160" s="16" t="str">
        <f>"64121"</f>
        <v>64121</v>
      </c>
      <c r="C1160" t="s">
        <v>11</v>
      </c>
      <c r="D1160" t="s">
        <v>410</v>
      </c>
      <c r="E1160" s="16" t="str">
        <f>"003"</f>
        <v>003</v>
      </c>
      <c r="F1160" s="16">
        <v>1999</v>
      </c>
      <c r="G1160" s="6">
        <v>35894200</v>
      </c>
      <c r="H1160" s="6">
        <v>196800</v>
      </c>
      <c r="I1160" s="6">
        <v>35697400</v>
      </c>
    </row>
    <row r="1161" spans="1:10" x14ac:dyDescent="0.25">
      <c r="A1161" t="s">
        <v>405</v>
      </c>
      <c r="B1161" s="16" t="str">
        <f>"64121"</f>
        <v>64121</v>
      </c>
      <c r="C1161" t="s">
        <v>11</v>
      </c>
      <c r="D1161" t="s">
        <v>410</v>
      </c>
      <c r="E1161" s="16" t="str">
        <f>"004"</f>
        <v>004</v>
      </c>
      <c r="F1161" s="16">
        <v>2018</v>
      </c>
      <c r="G1161" s="6">
        <v>2610300</v>
      </c>
      <c r="H1161" s="6">
        <v>1792100</v>
      </c>
      <c r="I1161" s="6">
        <v>818200</v>
      </c>
    </row>
    <row r="1162" spans="1:10" x14ac:dyDescent="0.25">
      <c r="A1162" t="s">
        <v>405</v>
      </c>
      <c r="B1162" s="16" t="str">
        <f>"64221"</f>
        <v>64221</v>
      </c>
      <c r="C1162" t="s">
        <v>10</v>
      </c>
      <c r="D1162" t="s">
        <v>411</v>
      </c>
      <c r="E1162" s="16" t="str">
        <f>"004"</f>
        <v>004</v>
      </c>
      <c r="F1162" s="16">
        <v>2017</v>
      </c>
      <c r="G1162" s="6">
        <v>15935900</v>
      </c>
      <c r="H1162" s="6">
        <v>3533700</v>
      </c>
      <c r="I1162" s="6">
        <v>12402200</v>
      </c>
    </row>
    <row r="1163" spans="1:10" x14ac:dyDescent="0.25">
      <c r="A1163" t="s">
        <v>405</v>
      </c>
      <c r="B1163" s="16" t="str">
        <f>"64126"</f>
        <v>64126</v>
      </c>
      <c r="C1163" t="s">
        <v>11</v>
      </c>
      <c r="D1163" t="s">
        <v>412</v>
      </c>
      <c r="E1163" s="16" t="str">
        <f>"001"</f>
        <v>001</v>
      </c>
      <c r="F1163" s="16">
        <v>2001</v>
      </c>
      <c r="G1163" s="6">
        <v>143477200</v>
      </c>
      <c r="H1163" s="6">
        <v>30220400</v>
      </c>
      <c r="I1163" s="6">
        <v>113256800</v>
      </c>
    </row>
    <row r="1164" spans="1:10" x14ac:dyDescent="0.25">
      <c r="A1164" s="12" t="s">
        <v>405</v>
      </c>
      <c r="B1164" s="17" t="str">
        <f>"64153"</f>
        <v>64153</v>
      </c>
      <c r="C1164" s="12" t="s">
        <v>11</v>
      </c>
      <c r="D1164" s="12" t="s">
        <v>413</v>
      </c>
      <c r="E1164" s="17" t="str">
        <f>"005"</f>
        <v>005</v>
      </c>
      <c r="F1164" s="17">
        <v>2018</v>
      </c>
      <c r="G1164" s="13">
        <v>40775000</v>
      </c>
      <c r="H1164" s="13">
        <v>315200</v>
      </c>
      <c r="I1164" s="13">
        <v>40459800</v>
      </c>
      <c r="J1164" s="10"/>
    </row>
    <row r="1165" spans="1:10" x14ac:dyDescent="0.25">
      <c r="A1165" t="s">
        <v>405</v>
      </c>
      <c r="B1165" s="16" t="str">
        <f>"64181"</f>
        <v>64181</v>
      </c>
      <c r="C1165" t="s">
        <v>11</v>
      </c>
      <c r="D1165" t="s">
        <v>414</v>
      </c>
      <c r="E1165" s="16" t="str">
        <f>"004"</f>
        <v>004</v>
      </c>
      <c r="F1165" s="16">
        <v>2007</v>
      </c>
      <c r="G1165" s="6">
        <v>1108100</v>
      </c>
      <c r="H1165" s="6">
        <v>1067100</v>
      </c>
      <c r="I1165" s="6">
        <v>41000</v>
      </c>
    </row>
    <row r="1166" spans="1:10" x14ac:dyDescent="0.25">
      <c r="A1166" t="s">
        <v>405</v>
      </c>
      <c r="B1166" s="16" t="str">
        <f>"64191"</f>
        <v>64191</v>
      </c>
      <c r="C1166" t="s">
        <v>11</v>
      </c>
      <c r="D1166" t="s">
        <v>405</v>
      </c>
      <c r="E1166" s="16" t="str">
        <f>"001"</f>
        <v>001</v>
      </c>
      <c r="F1166" s="16">
        <v>2011</v>
      </c>
      <c r="G1166" s="6">
        <v>8571800</v>
      </c>
      <c r="H1166" s="6">
        <v>6963900</v>
      </c>
      <c r="I1166" s="6">
        <v>1607900</v>
      </c>
    </row>
    <row r="1167" spans="1:10" x14ac:dyDescent="0.25">
      <c r="A1167" t="s">
        <v>405</v>
      </c>
      <c r="B1167" s="16" t="str">
        <f>"64291"</f>
        <v>64291</v>
      </c>
      <c r="C1167" t="s">
        <v>10</v>
      </c>
      <c r="D1167" t="s">
        <v>188</v>
      </c>
      <c r="E1167" s="16" t="str">
        <f>"004"</f>
        <v>004</v>
      </c>
      <c r="F1167" s="16">
        <v>1990</v>
      </c>
      <c r="G1167" s="6">
        <v>86539700</v>
      </c>
      <c r="H1167" s="6">
        <v>21477100</v>
      </c>
      <c r="I1167" s="6">
        <v>65062600</v>
      </c>
    </row>
    <row r="1168" spans="1:10" x14ac:dyDescent="0.25">
      <c r="A1168" t="s">
        <v>27</v>
      </c>
      <c r="B1168" s="16" t="str">
        <f>"65106"</f>
        <v>65106</v>
      </c>
      <c r="C1168" t="s">
        <v>11</v>
      </c>
      <c r="D1168" t="s">
        <v>415</v>
      </c>
      <c r="E1168" s="16" t="str">
        <f>"001"</f>
        <v>001</v>
      </c>
      <c r="F1168" s="16">
        <v>2004</v>
      </c>
      <c r="G1168" s="6">
        <v>4907300</v>
      </c>
      <c r="H1168" s="6">
        <v>1905000</v>
      </c>
      <c r="I1168" s="6">
        <v>3002300</v>
      </c>
    </row>
    <row r="1169" spans="1:9" x14ac:dyDescent="0.25">
      <c r="A1169" t="s">
        <v>27</v>
      </c>
      <c r="B1169" s="16" t="str">
        <f>"65106"</f>
        <v>65106</v>
      </c>
      <c r="C1169" t="s">
        <v>11</v>
      </c>
      <c r="D1169" t="s">
        <v>415</v>
      </c>
      <c r="E1169" s="16" t="str">
        <f>"002"</f>
        <v>002</v>
      </c>
      <c r="F1169" s="16">
        <v>2005</v>
      </c>
      <c r="G1169" s="6">
        <v>4063300</v>
      </c>
      <c r="H1169" s="6">
        <v>2174300</v>
      </c>
      <c r="I1169" s="6">
        <v>1889000</v>
      </c>
    </row>
    <row r="1170" spans="1:9" x14ac:dyDescent="0.25">
      <c r="A1170" t="s">
        <v>27</v>
      </c>
      <c r="B1170" s="16" t="str">
        <f>"65151"</f>
        <v>65151</v>
      </c>
      <c r="C1170" t="s">
        <v>11</v>
      </c>
      <c r="D1170" t="s">
        <v>416</v>
      </c>
      <c r="E1170" s="16" t="str">
        <f>"003"</f>
        <v>003</v>
      </c>
      <c r="F1170" s="16">
        <v>2010</v>
      </c>
      <c r="G1170" s="6">
        <v>1129400</v>
      </c>
      <c r="H1170" s="6">
        <v>84900</v>
      </c>
      <c r="I1170" s="6">
        <v>1044500</v>
      </c>
    </row>
    <row r="1171" spans="1:9" x14ac:dyDescent="0.25">
      <c r="A1171" t="s">
        <v>27</v>
      </c>
      <c r="B1171" s="16" t="str">
        <f>"65151"</f>
        <v>65151</v>
      </c>
      <c r="C1171" t="s">
        <v>11</v>
      </c>
      <c r="D1171" t="s">
        <v>416</v>
      </c>
      <c r="E1171" s="16" t="str">
        <f>"004"</f>
        <v>004</v>
      </c>
      <c r="F1171" s="16">
        <v>2019</v>
      </c>
      <c r="G1171" s="6">
        <v>333900</v>
      </c>
      <c r="H1171" s="6">
        <v>267400</v>
      </c>
      <c r="I1171" s="6">
        <v>66500</v>
      </c>
    </row>
    <row r="1172" spans="1:9" x14ac:dyDescent="0.25">
      <c r="A1172" t="s">
        <v>27</v>
      </c>
      <c r="B1172" s="16" t="str">
        <f>"65281"</f>
        <v>65281</v>
      </c>
      <c r="C1172" t="s">
        <v>10</v>
      </c>
      <c r="D1172" t="s">
        <v>417</v>
      </c>
      <c r="E1172" s="16" t="str">
        <f>"003"</f>
        <v>003</v>
      </c>
      <c r="F1172" s="16">
        <v>1996</v>
      </c>
      <c r="G1172" s="6">
        <v>17080100</v>
      </c>
      <c r="H1172" s="6">
        <v>618700</v>
      </c>
      <c r="I1172" s="6">
        <v>16461400</v>
      </c>
    </row>
    <row r="1173" spans="1:9" x14ac:dyDescent="0.25">
      <c r="A1173" t="s">
        <v>27</v>
      </c>
      <c r="B1173" s="16" t="str">
        <f>"65281"</f>
        <v>65281</v>
      </c>
      <c r="C1173" t="s">
        <v>10</v>
      </c>
      <c r="D1173" t="s">
        <v>417</v>
      </c>
      <c r="E1173" s="16" t="str">
        <f>"004"</f>
        <v>004</v>
      </c>
      <c r="F1173" s="16">
        <v>2003</v>
      </c>
      <c r="G1173" s="6">
        <v>11236700</v>
      </c>
      <c r="H1173" s="6">
        <v>178000</v>
      </c>
      <c r="I1173" s="6">
        <v>11058700</v>
      </c>
    </row>
    <row r="1174" spans="1:9" x14ac:dyDescent="0.25">
      <c r="A1174" t="s">
        <v>418</v>
      </c>
      <c r="B1174" s="16" t="str">
        <f>"66131"</f>
        <v>66131</v>
      </c>
      <c r="C1174" t="s">
        <v>11</v>
      </c>
      <c r="D1174" t="s">
        <v>419</v>
      </c>
      <c r="E1174" s="16" t="str">
        <f>"006"</f>
        <v>006</v>
      </c>
      <c r="F1174" s="16">
        <v>2014</v>
      </c>
      <c r="G1174" s="6">
        <v>33460500</v>
      </c>
      <c r="H1174" s="6">
        <v>2796400</v>
      </c>
      <c r="I1174" s="6">
        <v>30664100</v>
      </c>
    </row>
    <row r="1175" spans="1:9" x14ac:dyDescent="0.25">
      <c r="A1175" t="s">
        <v>418</v>
      </c>
      <c r="B1175" s="16" t="str">
        <f>"66131"</f>
        <v>66131</v>
      </c>
      <c r="C1175" t="s">
        <v>11</v>
      </c>
      <c r="D1175" t="s">
        <v>419</v>
      </c>
      <c r="E1175" s="16" t="str">
        <f>"007"</f>
        <v>007</v>
      </c>
      <c r="F1175" s="16">
        <v>2018</v>
      </c>
      <c r="G1175" s="6">
        <v>13656100</v>
      </c>
      <c r="H1175" s="6">
        <v>9329900</v>
      </c>
      <c r="I1175" s="6">
        <v>4326200</v>
      </c>
    </row>
    <row r="1176" spans="1:9" x14ac:dyDescent="0.25">
      <c r="A1176" t="s">
        <v>418</v>
      </c>
      <c r="B1176" s="16" t="str">
        <f>"66131"</f>
        <v>66131</v>
      </c>
      <c r="C1176" t="s">
        <v>11</v>
      </c>
      <c r="D1176" t="s">
        <v>419</v>
      </c>
      <c r="E1176" s="16" t="str">
        <f>"008"</f>
        <v>008</v>
      </c>
      <c r="F1176" s="16">
        <v>2018</v>
      </c>
      <c r="G1176" s="6">
        <v>103199700</v>
      </c>
      <c r="H1176" s="6">
        <v>640700</v>
      </c>
      <c r="I1176" s="6">
        <v>102559000</v>
      </c>
    </row>
    <row r="1177" spans="1:9" x14ac:dyDescent="0.25">
      <c r="A1177" t="s">
        <v>418</v>
      </c>
      <c r="B1177" s="16" t="str">
        <f>"66236"</f>
        <v>66236</v>
      </c>
      <c r="C1177" t="s">
        <v>10</v>
      </c>
      <c r="D1177" t="s">
        <v>119</v>
      </c>
      <c r="E1177" s="16" t="str">
        <f>"006"</f>
        <v>006</v>
      </c>
      <c r="F1177" s="16">
        <v>2008</v>
      </c>
      <c r="G1177" s="6">
        <v>1891300</v>
      </c>
      <c r="H1177" s="6">
        <v>1100000</v>
      </c>
      <c r="I1177" s="6">
        <v>791300</v>
      </c>
    </row>
    <row r="1178" spans="1:9" x14ac:dyDescent="0.25">
      <c r="A1178" t="s">
        <v>418</v>
      </c>
      <c r="B1178" s="16" t="str">
        <f>"66236"</f>
        <v>66236</v>
      </c>
      <c r="C1178" t="s">
        <v>10</v>
      </c>
      <c r="D1178" t="s">
        <v>119</v>
      </c>
      <c r="E1178" s="16" t="str">
        <f>"007"</f>
        <v>007</v>
      </c>
      <c r="F1178" s="16">
        <v>2011</v>
      </c>
      <c r="G1178" s="6">
        <v>2676800</v>
      </c>
      <c r="H1178" s="6">
        <v>3600</v>
      </c>
      <c r="I1178" s="6">
        <v>2673200</v>
      </c>
    </row>
    <row r="1179" spans="1:9" x14ac:dyDescent="0.25">
      <c r="A1179" t="s">
        <v>418</v>
      </c>
      <c r="B1179" s="16" t="str">
        <f>"66236"</f>
        <v>66236</v>
      </c>
      <c r="C1179" t="s">
        <v>10</v>
      </c>
      <c r="D1179" t="s">
        <v>119</v>
      </c>
      <c r="E1179" s="16" t="str">
        <f>"008"</f>
        <v>008</v>
      </c>
      <c r="F1179" s="16">
        <v>2013</v>
      </c>
      <c r="G1179" s="6">
        <v>12672500</v>
      </c>
      <c r="H1179" s="6">
        <v>6047400</v>
      </c>
      <c r="I1179" s="6">
        <v>6625100</v>
      </c>
    </row>
    <row r="1180" spans="1:9" x14ac:dyDescent="0.25">
      <c r="A1180" t="s">
        <v>418</v>
      </c>
      <c r="B1180" s="16" t="str">
        <f>"66236"</f>
        <v>66236</v>
      </c>
      <c r="C1180" t="s">
        <v>10</v>
      </c>
      <c r="D1180" t="s">
        <v>119</v>
      </c>
      <c r="E1180" s="16" t="str">
        <f>"010"</f>
        <v>010</v>
      </c>
      <c r="F1180" s="16">
        <v>2017</v>
      </c>
      <c r="G1180" s="6">
        <v>22524700</v>
      </c>
      <c r="H1180" s="6">
        <v>4791600</v>
      </c>
      <c r="I1180" s="6">
        <v>17733100</v>
      </c>
    </row>
    <row r="1181" spans="1:9" x14ac:dyDescent="0.25">
      <c r="A1181" t="s">
        <v>418</v>
      </c>
      <c r="B1181" s="16" t="str">
        <f>"66236"</f>
        <v>66236</v>
      </c>
      <c r="C1181" t="s">
        <v>10</v>
      </c>
      <c r="D1181" t="s">
        <v>119</v>
      </c>
      <c r="E1181" s="16" t="str">
        <f>"011"</f>
        <v>011</v>
      </c>
      <c r="F1181" s="16">
        <v>2017</v>
      </c>
      <c r="G1181" s="6">
        <v>18728300</v>
      </c>
      <c r="H1181" s="6">
        <v>11588700</v>
      </c>
      <c r="I1181" s="6">
        <v>7139600</v>
      </c>
    </row>
    <row r="1182" spans="1:9" x14ac:dyDescent="0.25">
      <c r="A1182" t="s">
        <v>418</v>
      </c>
      <c r="B1182" s="16" t="str">
        <f>"66141"</f>
        <v>66141</v>
      </c>
      <c r="C1182" t="s">
        <v>11</v>
      </c>
      <c r="D1182" t="s">
        <v>176</v>
      </c>
      <c r="E1182" s="16" t="str">
        <f>"004"</f>
        <v>004</v>
      </c>
      <c r="F1182" s="16">
        <v>1995</v>
      </c>
      <c r="G1182" s="6">
        <v>50199500</v>
      </c>
      <c r="H1182" s="6">
        <v>645700</v>
      </c>
      <c r="I1182" s="6">
        <v>49553800</v>
      </c>
    </row>
    <row r="1183" spans="1:9" x14ac:dyDescent="0.25">
      <c r="A1183" t="s">
        <v>418</v>
      </c>
      <c r="B1183" s="16" t="str">
        <f>"66141"</f>
        <v>66141</v>
      </c>
      <c r="C1183" t="s">
        <v>11</v>
      </c>
      <c r="D1183" t="s">
        <v>176</v>
      </c>
      <c r="E1183" s="16" t="str">
        <f>"005"</f>
        <v>005</v>
      </c>
      <c r="F1183" s="16">
        <v>2014</v>
      </c>
      <c r="G1183" s="6">
        <v>7288700</v>
      </c>
      <c r="H1183" s="6">
        <v>933100</v>
      </c>
      <c r="I1183" s="6">
        <v>6355600</v>
      </c>
    </row>
    <row r="1184" spans="1:9" x14ac:dyDescent="0.25">
      <c r="A1184" t="s">
        <v>418</v>
      </c>
      <c r="B1184" s="16" t="str">
        <f>"66141"</f>
        <v>66141</v>
      </c>
      <c r="C1184" t="s">
        <v>11</v>
      </c>
      <c r="D1184" t="s">
        <v>176</v>
      </c>
      <c r="E1184" s="16" t="str">
        <f>"006"</f>
        <v>006</v>
      </c>
      <c r="F1184" s="16">
        <v>2018</v>
      </c>
      <c r="G1184" s="6">
        <v>9102400</v>
      </c>
      <c r="H1184" s="6">
        <v>474900</v>
      </c>
      <c r="I1184" s="6">
        <v>8627500</v>
      </c>
    </row>
    <row r="1185" spans="1:9" x14ac:dyDescent="0.25">
      <c r="A1185" t="s">
        <v>418</v>
      </c>
      <c r="B1185" s="16" t="str">
        <f>"66141"</f>
        <v>66141</v>
      </c>
      <c r="C1185" t="s">
        <v>11</v>
      </c>
      <c r="D1185" t="s">
        <v>176</v>
      </c>
      <c r="E1185" s="16" t="str">
        <f>"007"</f>
        <v>007</v>
      </c>
      <c r="F1185" s="16">
        <v>2019</v>
      </c>
      <c r="G1185" s="6">
        <v>5694000</v>
      </c>
      <c r="H1185" s="6">
        <v>6460400</v>
      </c>
      <c r="I1185" s="6">
        <v>-766400</v>
      </c>
    </row>
    <row r="1186" spans="1:9" x14ac:dyDescent="0.25">
      <c r="A1186" t="s">
        <v>418</v>
      </c>
      <c r="B1186" s="16" t="str">
        <f>"66142"</f>
        <v>66142</v>
      </c>
      <c r="C1186" t="s">
        <v>11</v>
      </c>
      <c r="D1186" t="s">
        <v>420</v>
      </c>
      <c r="E1186" s="16" t="str">
        <f>"002"</f>
        <v>002</v>
      </c>
      <c r="F1186" s="16">
        <v>2005</v>
      </c>
      <c r="G1186" s="6">
        <v>32664600</v>
      </c>
      <c r="H1186" s="6">
        <v>2868700</v>
      </c>
      <c r="I1186" s="6">
        <v>29795900</v>
      </c>
    </row>
    <row r="1187" spans="1:9" x14ac:dyDescent="0.25">
      <c r="A1187" t="s">
        <v>418</v>
      </c>
      <c r="B1187" s="16" t="str">
        <f>"66181"</f>
        <v>66181</v>
      </c>
      <c r="C1187" t="s">
        <v>11</v>
      </c>
      <c r="D1187" t="s">
        <v>421</v>
      </c>
      <c r="E1187" s="16" t="str">
        <f>"004"</f>
        <v>004</v>
      </c>
      <c r="F1187" s="16">
        <v>2015</v>
      </c>
      <c r="G1187" s="6">
        <v>18705500</v>
      </c>
      <c r="H1187" s="6">
        <v>3546200</v>
      </c>
      <c r="I1187" s="6">
        <v>15159300</v>
      </c>
    </row>
    <row r="1188" spans="1:9" x14ac:dyDescent="0.25">
      <c r="A1188" t="s">
        <v>418</v>
      </c>
      <c r="B1188" s="16" t="str">
        <f>"66181"</f>
        <v>66181</v>
      </c>
      <c r="C1188" t="s">
        <v>11</v>
      </c>
      <c r="D1188" t="s">
        <v>421</v>
      </c>
      <c r="E1188" s="16" t="str">
        <f>"005"</f>
        <v>005</v>
      </c>
      <c r="F1188" s="16">
        <v>2016</v>
      </c>
      <c r="G1188" s="6">
        <v>5548400</v>
      </c>
      <c r="H1188" s="6">
        <v>784400</v>
      </c>
      <c r="I1188" s="6">
        <v>4764000</v>
      </c>
    </row>
    <row r="1189" spans="1:9" x14ac:dyDescent="0.25">
      <c r="A1189" t="s">
        <v>418</v>
      </c>
      <c r="B1189" s="16" t="str">
        <f t="shared" ref="B1189:B1200" si="47">"66291"</f>
        <v>66291</v>
      </c>
      <c r="C1189" t="s">
        <v>10</v>
      </c>
      <c r="D1189" t="s">
        <v>422</v>
      </c>
      <c r="E1189" s="16" t="str">
        <f>"003"</f>
        <v>003</v>
      </c>
      <c r="F1189" s="16">
        <v>1995</v>
      </c>
      <c r="G1189" s="6">
        <v>36297400</v>
      </c>
      <c r="H1189" s="6">
        <v>4817700</v>
      </c>
      <c r="I1189" s="6">
        <v>31479700</v>
      </c>
    </row>
    <row r="1190" spans="1:9" x14ac:dyDescent="0.25">
      <c r="A1190" t="s">
        <v>418</v>
      </c>
      <c r="B1190" s="16" t="str">
        <f t="shared" si="47"/>
        <v>66291</v>
      </c>
      <c r="C1190" t="s">
        <v>10</v>
      </c>
      <c r="D1190" t="s">
        <v>422</v>
      </c>
      <c r="E1190" s="16" t="str">
        <f>"004"</f>
        <v>004</v>
      </c>
      <c r="F1190" s="16">
        <v>1997</v>
      </c>
      <c r="G1190" s="6">
        <v>83000700</v>
      </c>
      <c r="H1190" s="6">
        <v>829900</v>
      </c>
      <c r="I1190" s="6">
        <v>82170800</v>
      </c>
    </row>
    <row r="1191" spans="1:9" x14ac:dyDescent="0.25">
      <c r="A1191" t="s">
        <v>418</v>
      </c>
      <c r="B1191" s="16" t="str">
        <f t="shared" si="47"/>
        <v>66291</v>
      </c>
      <c r="C1191" t="s">
        <v>10</v>
      </c>
      <c r="D1191" t="s">
        <v>422</v>
      </c>
      <c r="E1191" s="16" t="str">
        <f>"005"</f>
        <v>005</v>
      </c>
      <c r="F1191" s="16">
        <v>1998</v>
      </c>
      <c r="G1191" s="6">
        <v>16659200</v>
      </c>
      <c r="H1191" s="6">
        <v>1793400</v>
      </c>
      <c r="I1191" s="6">
        <v>14865800</v>
      </c>
    </row>
    <row r="1192" spans="1:9" x14ac:dyDescent="0.25">
      <c r="A1192" t="s">
        <v>418</v>
      </c>
      <c r="B1192" s="16" t="str">
        <f t="shared" si="47"/>
        <v>66291</v>
      </c>
      <c r="C1192" t="s">
        <v>10</v>
      </c>
      <c r="D1192" t="s">
        <v>422</v>
      </c>
      <c r="E1192" s="16" t="str">
        <f>"006"</f>
        <v>006</v>
      </c>
      <c r="F1192" s="16">
        <v>1999</v>
      </c>
      <c r="G1192" s="6">
        <v>67735600</v>
      </c>
      <c r="H1192" s="6">
        <v>4303400</v>
      </c>
      <c r="I1192" s="6">
        <v>63432200</v>
      </c>
    </row>
    <row r="1193" spans="1:9" x14ac:dyDescent="0.25">
      <c r="A1193" t="s">
        <v>418</v>
      </c>
      <c r="B1193" s="16" t="str">
        <f t="shared" si="47"/>
        <v>66291</v>
      </c>
      <c r="C1193" t="s">
        <v>10</v>
      </c>
      <c r="D1193" t="s">
        <v>422</v>
      </c>
      <c r="E1193" s="16" t="str">
        <f>"007"</f>
        <v>007</v>
      </c>
      <c r="F1193" s="16">
        <v>1999</v>
      </c>
      <c r="G1193" s="6">
        <v>32155400</v>
      </c>
      <c r="H1193" s="6">
        <v>20976800</v>
      </c>
      <c r="I1193" s="6">
        <v>11178600</v>
      </c>
    </row>
    <row r="1194" spans="1:9" x14ac:dyDescent="0.25">
      <c r="A1194" t="s">
        <v>418</v>
      </c>
      <c r="B1194" s="16" t="str">
        <f t="shared" si="47"/>
        <v>66291</v>
      </c>
      <c r="C1194" t="s">
        <v>10</v>
      </c>
      <c r="D1194" t="s">
        <v>422</v>
      </c>
      <c r="E1194" s="16" t="str">
        <f>"008"</f>
        <v>008</v>
      </c>
      <c r="F1194" s="16">
        <v>1999</v>
      </c>
      <c r="G1194" s="6">
        <v>1432700</v>
      </c>
      <c r="H1194" s="6">
        <v>66200</v>
      </c>
      <c r="I1194" s="6">
        <v>1366500</v>
      </c>
    </row>
    <row r="1195" spans="1:9" x14ac:dyDescent="0.25">
      <c r="A1195" t="s">
        <v>418</v>
      </c>
      <c r="B1195" s="16" t="str">
        <f t="shared" si="47"/>
        <v>66291</v>
      </c>
      <c r="C1195" t="s">
        <v>10</v>
      </c>
      <c r="D1195" t="s">
        <v>422</v>
      </c>
      <c r="E1195" s="16" t="str">
        <f>"009"</f>
        <v>009</v>
      </c>
      <c r="F1195" s="16">
        <v>2003</v>
      </c>
      <c r="G1195" s="6">
        <v>5824500</v>
      </c>
      <c r="H1195" s="6">
        <v>4144200</v>
      </c>
      <c r="I1195" s="6">
        <v>1680300</v>
      </c>
    </row>
    <row r="1196" spans="1:9" x14ac:dyDescent="0.25">
      <c r="A1196" t="s">
        <v>418</v>
      </c>
      <c r="B1196" s="16" t="str">
        <f t="shared" si="47"/>
        <v>66291</v>
      </c>
      <c r="C1196" t="s">
        <v>10</v>
      </c>
      <c r="D1196" t="s">
        <v>422</v>
      </c>
      <c r="E1196" s="16" t="str">
        <f>"010"</f>
        <v>010</v>
      </c>
      <c r="F1196" s="16">
        <v>2004</v>
      </c>
      <c r="G1196" s="6">
        <v>46356500</v>
      </c>
      <c r="H1196" s="6">
        <v>6593500</v>
      </c>
      <c r="I1196" s="6">
        <v>39763000</v>
      </c>
    </row>
    <row r="1197" spans="1:9" x14ac:dyDescent="0.25">
      <c r="A1197" t="s">
        <v>418</v>
      </c>
      <c r="B1197" s="16" t="str">
        <f t="shared" si="47"/>
        <v>66291</v>
      </c>
      <c r="C1197" t="s">
        <v>10</v>
      </c>
      <c r="D1197" t="s">
        <v>422</v>
      </c>
      <c r="E1197" s="16" t="str">
        <f>"011"</f>
        <v>011</v>
      </c>
      <c r="F1197" s="16">
        <v>2005</v>
      </c>
      <c r="G1197" s="6">
        <v>29854300</v>
      </c>
      <c r="H1197" s="6">
        <v>9623000</v>
      </c>
      <c r="I1197" s="6">
        <v>20231300</v>
      </c>
    </row>
    <row r="1198" spans="1:9" x14ac:dyDescent="0.25">
      <c r="A1198" t="s">
        <v>418</v>
      </c>
      <c r="B1198" s="16" t="str">
        <f t="shared" si="47"/>
        <v>66291</v>
      </c>
      <c r="C1198" t="s">
        <v>10</v>
      </c>
      <c r="D1198" t="s">
        <v>422</v>
      </c>
      <c r="E1198" s="16" t="str">
        <f>"012"</f>
        <v>012</v>
      </c>
      <c r="F1198" s="16">
        <v>2008</v>
      </c>
      <c r="G1198" s="6">
        <v>43800700</v>
      </c>
      <c r="H1198" s="6">
        <v>11804500</v>
      </c>
      <c r="I1198" s="6">
        <v>31996200</v>
      </c>
    </row>
    <row r="1199" spans="1:9" x14ac:dyDescent="0.25">
      <c r="A1199" t="s">
        <v>418</v>
      </c>
      <c r="B1199" s="16" t="str">
        <f t="shared" si="47"/>
        <v>66291</v>
      </c>
      <c r="C1199" t="s">
        <v>10</v>
      </c>
      <c r="D1199" t="s">
        <v>422</v>
      </c>
      <c r="E1199" s="16" t="str">
        <f>"013"</f>
        <v>013</v>
      </c>
      <c r="F1199" s="16">
        <v>2011</v>
      </c>
      <c r="G1199" s="6">
        <v>5515000</v>
      </c>
      <c r="H1199" s="6">
        <v>3634200</v>
      </c>
      <c r="I1199" s="6">
        <v>1880800</v>
      </c>
    </row>
    <row r="1200" spans="1:9" x14ac:dyDescent="0.25">
      <c r="A1200" t="s">
        <v>418</v>
      </c>
      <c r="B1200" s="16" t="str">
        <f t="shared" si="47"/>
        <v>66291</v>
      </c>
      <c r="C1200" t="s">
        <v>10</v>
      </c>
      <c r="D1200" t="s">
        <v>422</v>
      </c>
      <c r="E1200" s="16" t="str">
        <f>"014"</f>
        <v>014</v>
      </c>
      <c r="F1200" s="16">
        <v>2020</v>
      </c>
      <c r="G1200" s="6">
        <v>3688600</v>
      </c>
      <c r="H1200" s="6">
        <v>21800</v>
      </c>
      <c r="I1200" s="6">
        <v>3666800</v>
      </c>
    </row>
    <row r="1201" spans="1:12" x14ac:dyDescent="0.25">
      <c r="A1201" t="s">
        <v>423</v>
      </c>
      <c r="B1201" s="16" t="str">
        <f>"67106"</f>
        <v>67106</v>
      </c>
      <c r="C1201" t="s">
        <v>11</v>
      </c>
      <c r="D1201" t="s">
        <v>424</v>
      </c>
      <c r="E1201" s="16" t="str">
        <f>"001"</f>
        <v>001</v>
      </c>
      <c r="F1201" s="16">
        <v>2013</v>
      </c>
      <c r="G1201" s="6">
        <v>15433600</v>
      </c>
      <c r="H1201" s="6">
        <v>14680600</v>
      </c>
      <c r="I1201" s="6">
        <v>753000</v>
      </c>
    </row>
    <row r="1202" spans="1:12" x14ac:dyDescent="0.25">
      <c r="A1202" t="s">
        <v>423</v>
      </c>
      <c r="B1202" s="16" t="str">
        <f>"67002"</f>
        <v>67002</v>
      </c>
      <c r="C1202" t="s">
        <v>13</v>
      </c>
      <c r="D1202" t="s">
        <v>425</v>
      </c>
      <c r="E1202" s="16" t="str">
        <f>"001A"</f>
        <v>001A</v>
      </c>
      <c r="F1202" s="16">
        <v>2014</v>
      </c>
      <c r="G1202" s="6">
        <v>318986500</v>
      </c>
      <c r="H1202" s="6">
        <v>65986900</v>
      </c>
      <c r="I1202" s="6">
        <v>252999600</v>
      </c>
    </row>
    <row r="1203" spans="1:12" x14ac:dyDescent="0.25">
      <c r="A1203" t="s">
        <v>423</v>
      </c>
      <c r="B1203" s="16" t="str">
        <f>"67206"</f>
        <v>67206</v>
      </c>
      <c r="C1203" t="s">
        <v>10</v>
      </c>
      <c r="D1203" t="s">
        <v>425</v>
      </c>
      <c r="E1203" s="16" t="str">
        <f>"004"</f>
        <v>004</v>
      </c>
      <c r="F1203" s="16">
        <v>2015</v>
      </c>
      <c r="G1203" s="6">
        <v>2095500</v>
      </c>
      <c r="H1203" s="6">
        <v>158800</v>
      </c>
      <c r="I1203" s="6">
        <v>1936700</v>
      </c>
    </row>
    <row r="1204" spans="1:12" x14ac:dyDescent="0.25">
      <c r="A1204" t="s">
        <v>423</v>
      </c>
      <c r="B1204" s="16" t="str">
        <f>"67206"</f>
        <v>67206</v>
      </c>
      <c r="C1204" t="s">
        <v>10</v>
      </c>
      <c r="D1204" t="s">
        <v>425</v>
      </c>
      <c r="E1204" s="16" t="str">
        <f>"005"</f>
        <v>005</v>
      </c>
      <c r="F1204" s="16">
        <v>2015</v>
      </c>
      <c r="G1204" s="6">
        <v>130663800</v>
      </c>
      <c r="H1204" s="6">
        <v>1407000</v>
      </c>
      <c r="I1204" s="6">
        <v>129256800</v>
      </c>
    </row>
    <row r="1205" spans="1:12" x14ac:dyDescent="0.25">
      <c r="A1205" t="s">
        <v>423</v>
      </c>
      <c r="B1205" s="16" t="str">
        <f>"67206"</f>
        <v>67206</v>
      </c>
      <c r="C1205" t="s">
        <v>10</v>
      </c>
      <c r="D1205" t="s">
        <v>425</v>
      </c>
      <c r="E1205" s="16" t="str">
        <f>"006"</f>
        <v>006</v>
      </c>
      <c r="F1205" s="16">
        <v>2016</v>
      </c>
      <c r="G1205" s="6">
        <v>47292600</v>
      </c>
      <c r="H1205" s="6">
        <v>15792400</v>
      </c>
      <c r="I1205" s="6">
        <v>31500200</v>
      </c>
    </row>
    <row r="1206" spans="1:12" x14ac:dyDescent="0.25">
      <c r="A1206" t="s">
        <v>423</v>
      </c>
      <c r="B1206" s="16" t="str">
        <f>"67206"</f>
        <v>67206</v>
      </c>
      <c r="C1206" t="s">
        <v>10</v>
      </c>
      <c r="D1206" t="s">
        <v>425</v>
      </c>
      <c r="E1206" s="16" t="str">
        <f>"007"</f>
        <v>007</v>
      </c>
      <c r="F1206" s="16">
        <v>2018</v>
      </c>
      <c r="G1206" s="6">
        <v>23302100</v>
      </c>
      <c r="H1206" s="6">
        <v>660600</v>
      </c>
      <c r="I1206" s="6">
        <v>22641500</v>
      </c>
    </row>
    <row r="1207" spans="1:12" x14ac:dyDescent="0.25">
      <c r="A1207" t="s">
        <v>423</v>
      </c>
      <c r="B1207" s="16" t="str">
        <f>"67206"</f>
        <v>67206</v>
      </c>
      <c r="C1207" t="s">
        <v>10</v>
      </c>
      <c r="D1207" t="s">
        <v>425</v>
      </c>
      <c r="E1207" s="16" t="str">
        <f>"008"</f>
        <v>008</v>
      </c>
      <c r="F1207" s="16">
        <v>2018</v>
      </c>
      <c r="G1207" s="6">
        <v>66584200</v>
      </c>
      <c r="H1207" s="6">
        <v>26528200</v>
      </c>
      <c r="I1207" s="6">
        <v>40056000</v>
      </c>
      <c r="K1207" s="7"/>
    </row>
    <row r="1208" spans="1:12" x14ac:dyDescent="0.25">
      <c r="A1208" t="s">
        <v>423</v>
      </c>
      <c r="B1208" s="16" t="str">
        <f>"67216"</f>
        <v>67216</v>
      </c>
      <c r="C1208" t="s">
        <v>10</v>
      </c>
      <c r="D1208" t="s">
        <v>426</v>
      </c>
      <c r="E1208" s="16" t="str">
        <f>"004"</f>
        <v>004</v>
      </c>
      <c r="F1208" s="16">
        <v>2012</v>
      </c>
      <c r="G1208" s="6">
        <v>16343100</v>
      </c>
      <c r="H1208" s="6">
        <v>8097000</v>
      </c>
      <c r="I1208" s="6">
        <v>8246100</v>
      </c>
    </row>
    <row r="1209" spans="1:12" x14ac:dyDescent="0.25">
      <c r="A1209" t="s">
        <v>423</v>
      </c>
      <c r="B1209" s="16" t="str">
        <f>"67122"</f>
        <v>67122</v>
      </c>
      <c r="C1209" t="s">
        <v>11</v>
      </c>
      <c r="D1209" t="s">
        <v>427</v>
      </c>
      <c r="E1209" s="16" t="str">
        <f>"002"</f>
        <v>002</v>
      </c>
      <c r="F1209" s="16">
        <v>2004</v>
      </c>
      <c r="G1209" s="6">
        <v>70421300</v>
      </c>
      <c r="H1209" s="6">
        <v>33435800</v>
      </c>
      <c r="I1209" s="6">
        <v>36985500</v>
      </c>
    </row>
    <row r="1210" spans="1:12" x14ac:dyDescent="0.25">
      <c r="A1210" t="s">
        <v>423</v>
      </c>
      <c r="B1210" s="16" t="str">
        <f>"67136"</f>
        <v>67136</v>
      </c>
      <c r="C1210" t="s">
        <v>11</v>
      </c>
      <c r="D1210" t="s">
        <v>428</v>
      </c>
      <c r="E1210" s="16" t="str">
        <f>"004"</f>
        <v>004</v>
      </c>
      <c r="F1210" s="16">
        <v>2008</v>
      </c>
      <c r="G1210" s="6">
        <v>2736300</v>
      </c>
      <c r="H1210" s="6">
        <v>1018300</v>
      </c>
      <c r="I1210" s="6">
        <v>1718000</v>
      </c>
    </row>
    <row r="1211" spans="1:12" x14ac:dyDescent="0.25">
      <c r="A1211" t="s">
        <v>423</v>
      </c>
      <c r="B1211" s="16" t="str">
        <f>"67136"</f>
        <v>67136</v>
      </c>
      <c r="C1211" t="s">
        <v>11</v>
      </c>
      <c r="D1211" t="s">
        <v>428</v>
      </c>
      <c r="E1211" s="16" t="str">
        <f>"005"</f>
        <v>005</v>
      </c>
      <c r="F1211" s="16">
        <v>2011</v>
      </c>
      <c r="G1211" s="6">
        <v>1621600</v>
      </c>
      <c r="H1211" s="6">
        <v>353800</v>
      </c>
      <c r="I1211" s="6">
        <v>1267800</v>
      </c>
      <c r="L1211" s="7"/>
    </row>
    <row r="1212" spans="1:12" x14ac:dyDescent="0.25">
      <c r="A1212" t="s">
        <v>423</v>
      </c>
      <c r="B1212" s="16" t="str">
        <f>"67136"</f>
        <v>67136</v>
      </c>
      <c r="C1212" t="s">
        <v>11</v>
      </c>
      <c r="D1212" t="s">
        <v>428</v>
      </c>
      <c r="E1212" s="16" t="str">
        <f>"006"</f>
        <v>006</v>
      </c>
      <c r="F1212" s="16">
        <v>2015</v>
      </c>
      <c r="G1212" s="6">
        <v>14027300</v>
      </c>
      <c r="H1212" s="6">
        <v>1330300</v>
      </c>
      <c r="I1212" s="6">
        <v>12697000</v>
      </c>
      <c r="L1212" s="6"/>
    </row>
    <row r="1213" spans="1:12" x14ac:dyDescent="0.25">
      <c r="A1213" s="12" t="s">
        <v>423</v>
      </c>
      <c r="B1213" s="17" t="str">
        <f>"67147"</f>
        <v>67147</v>
      </c>
      <c r="C1213" s="12" t="s">
        <v>11</v>
      </c>
      <c r="D1213" s="12" t="s">
        <v>429</v>
      </c>
      <c r="E1213" s="17" t="str">
        <f>"001"</f>
        <v>001</v>
      </c>
      <c r="F1213" s="17">
        <v>2018</v>
      </c>
      <c r="G1213" s="14">
        <v>23739700</v>
      </c>
      <c r="H1213" s="14">
        <v>7653200</v>
      </c>
      <c r="I1213" s="14">
        <v>16086500</v>
      </c>
      <c r="J1213" s="11"/>
      <c r="L1213" s="7"/>
    </row>
    <row r="1214" spans="1:12" x14ac:dyDescent="0.25">
      <c r="A1214" s="12" t="s">
        <v>423</v>
      </c>
      <c r="B1214" s="17" t="str">
        <f>"67147"</f>
        <v>67147</v>
      </c>
      <c r="C1214" s="12" t="s">
        <v>11</v>
      </c>
      <c r="D1214" s="12" t="s">
        <v>429</v>
      </c>
      <c r="E1214" s="17" t="str">
        <f>"002"</f>
        <v>002</v>
      </c>
      <c r="F1214" s="17">
        <v>2018</v>
      </c>
      <c r="G1214" s="13">
        <v>13658900</v>
      </c>
      <c r="H1214" s="13">
        <v>9756600</v>
      </c>
      <c r="I1214" s="13">
        <v>3902300</v>
      </c>
      <c r="J1214" s="12"/>
    </row>
    <row r="1215" spans="1:12" x14ac:dyDescent="0.25">
      <c r="A1215" t="s">
        <v>423</v>
      </c>
      <c r="B1215" s="16" t="str">
        <f>"67010"</f>
        <v>67010</v>
      </c>
      <c r="C1215" t="s">
        <v>13</v>
      </c>
      <c r="D1215" t="s">
        <v>430</v>
      </c>
      <c r="E1215" s="16" t="str">
        <f>"001A"</f>
        <v>001A</v>
      </c>
      <c r="F1215" s="16">
        <v>2019</v>
      </c>
      <c r="G1215" s="6">
        <v>2276500</v>
      </c>
      <c r="H1215" s="6">
        <v>899100</v>
      </c>
      <c r="I1215" s="6">
        <v>1377400</v>
      </c>
    </row>
    <row r="1216" spans="1:12" x14ac:dyDescent="0.25">
      <c r="A1216" t="s">
        <v>423</v>
      </c>
      <c r="B1216" s="16" t="str">
        <f t="shared" ref="B1216:B1224" si="48">"67151"</f>
        <v>67151</v>
      </c>
      <c r="C1216" t="s">
        <v>11</v>
      </c>
      <c r="D1216" t="s">
        <v>431</v>
      </c>
      <c r="E1216" s="16" t="str">
        <f>"006"</f>
        <v>006</v>
      </c>
      <c r="F1216" s="16">
        <v>2006</v>
      </c>
      <c r="G1216" s="6">
        <v>76102800</v>
      </c>
      <c r="H1216" s="6">
        <v>47828000</v>
      </c>
      <c r="I1216" s="6">
        <v>28274800</v>
      </c>
    </row>
    <row r="1217" spans="1:9" x14ac:dyDescent="0.25">
      <c r="A1217" t="s">
        <v>423</v>
      </c>
      <c r="B1217" s="16" t="str">
        <f t="shared" si="48"/>
        <v>67151</v>
      </c>
      <c r="C1217" t="s">
        <v>11</v>
      </c>
      <c r="D1217" t="s">
        <v>431</v>
      </c>
      <c r="E1217" s="16" t="str">
        <f>"007"</f>
        <v>007</v>
      </c>
      <c r="F1217" s="16">
        <v>2008</v>
      </c>
      <c r="G1217" s="6">
        <v>28741100</v>
      </c>
      <c r="H1217" s="6">
        <v>1028100</v>
      </c>
      <c r="I1217" s="6">
        <v>27713000</v>
      </c>
    </row>
    <row r="1218" spans="1:9" x14ac:dyDescent="0.25">
      <c r="A1218" t="s">
        <v>423</v>
      </c>
      <c r="B1218" s="16" t="str">
        <f t="shared" si="48"/>
        <v>67151</v>
      </c>
      <c r="C1218" t="s">
        <v>11</v>
      </c>
      <c r="D1218" t="s">
        <v>431</v>
      </c>
      <c r="E1218" s="16" t="str">
        <f>"008"</f>
        <v>008</v>
      </c>
      <c r="F1218" s="16">
        <v>2008</v>
      </c>
      <c r="G1218" s="6">
        <v>120262700</v>
      </c>
      <c r="H1218" s="6">
        <v>9017600</v>
      </c>
      <c r="I1218" s="6">
        <v>111245100</v>
      </c>
    </row>
    <row r="1219" spans="1:9" x14ac:dyDescent="0.25">
      <c r="A1219" t="s">
        <v>423</v>
      </c>
      <c r="B1219" s="16" t="str">
        <f t="shared" si="48"/>
        <v>67151</v>
      </c>
      <c r="C1219" t="s">
        <v>11</v>
      </c>
      <c r="D1219" t="s">
        <v>431</v>
      </c>
      <c r="E1219" s="16" t="str">
        <f>"009"</f>
        <v>009</v>
      </c>
      <c r="F1219" s="16">
        <v>2010</v>
      </c>
      <c r="G1219" s="6">
        <v>142025600</v>
      </c>
      <c r="H1219" s="6">
        <v>104705400</v>
      </c>
      <c r="I1219" s="6">
        <v>37320200</v>
      </c>
    </row>
    <row r="1220" spans="1:9" x14ac:dyDescent="0.25">
      <c r="A1220" t="s">
        <v>423</v>
      </c>
      <c r="B1220" s="16" t="str">
        <f t="shared" si="48"/>
        <v>67151</v>
      </c>
      <c r="C1220" t="s">
        <v>11</v>
      </c>
      <c r="D1220" t="s">
        <v>431</v>
      </c>
      <c r="E1220" s="16" t="str">
        <f>"010"</f>
        <v>010</v>
      </c>
      <c r="F1220" s="16">
        <v>2011</v>
      </c>
      <c r="G1220" s="6">
        <v>91697000</v>
      </c>
      <c r="H1220" s="6">
        <v>46196100</v>
      </c>
      <c r="I1220" s="6">
        <v>45500900</v>
      </c>
    </row>
    <row r="1221" spans="1:9" x14ac:dyDescent="0.25">
      <c r="A1221" t="s">
        <v>423</v>
      </c>
      <c r="B1221" s="16" t="str">
        <f t="shared" si="48"/>
        <v>67151</v>
      </c>
      <c r="C1221" t="s">
        <v>11</v>
      </c>
      <c r="D1221" t="s">
        <v>431</v>
      </c>
      <c r="E1221" s="16" t="str">
        <f>"011"</f>
        <v>011</v>
      </c>
      <c r="F1221" s="16">
        <v>2011</v>
      </c>
      <c r="G1221" s="6">
        <v>15256500</v>
      </c>
      <c r="H1221" s="6">
        <v>11953600</v>
      </c>
      <c r="I1221" s="6">
        <v>3302900</v>
      </c>
    </row>
    <row r="1222" spans="1:9" x14ac:dyDescent="0.25">
      <c r="A1222" t="s">
        <v>423</v>
      </c>
      <c r="B1222" s="16" t="str">
        <f t="shared" si="48"/>
        <v>67151</v>
      </c>
      <c r="C1222" t="s">
        <v>11</v>
      </c>
      <c r="D1222" t="s">
        <v>431</v>
      </c>
      <c r="E1222" s="16" t="str">
        <f>"012"</f>
        <v>012</v>
      </c>
      <c r="F1222" s="16">
        <v>2014</v>
      </c>
      <c r="G1222" s="6">
        <v>35870900</v>
      </c>
      <c r="H1222" s="6">
        <v>5083400</v>
      </c>
      <c r="I1222" s="6">
        <v>30787500</v>
      </c>
    </row>
    <row r="1223" spans="1:9" x14ac:dyDescent="0.25">
      <c r="A1223" t="s">
        <v>423</v>
      </c>
      <c r="B1223" s="16" t="str">
        <f t="shared" si="48"/>
        <v>67151</v>
      </c>
      <c r="C1223" t="s">
        <v>11</v>
      </c>
      <c r="D1223" t="s">
        <v>431</v>
      </c>
      <c r="E1223" s="16" t="str">
        <f>"013"</f>
        <v>013</v>
      </c>
      <c r="F1223" s="16">
        <v>2019</v>
      </c>
      <c r="G1223" s="6">
        <v>33842700</v>
      </c>
      <c r="H1223" s="6">
        <v>2688200</v>
      </c>
      <c r="I1223" s="6">
        <v>31154500</v>
      </c>
    </row>
    <row r="1224" spans="1:9" x14ac:dyDescent="0.25">
      <c r="A1224" t="s">
        <v>423</v>
      </c>
      <c r="B1224" s="16" t="str">
        <f t="shared" si="48"/>
        <v>67151</v>
      </c>
      <c r="C1224" t="s">
        <v>11</v>
      </c>
      <c r="D1224" t="s">
        <v>431</v>
      </c>
      <c r="E1224" s="16" t="str">
        <f>"014"</f>
        <v>014</v>
      </c>
      <c r="F1224" s="16">
        <v>2019</v>
      </c>
      <c r="G1224" s="6">
        <v>15704100</v>
      </c>
      <c r="H1224" s="6">
        <v>9779500</v>
      </c>
      <c r="I1224" s="6">
        <v>5924600</v>
      </c>
    </row>
    <row r="1225" spans="1:9" x14ac:dyDescent="0.25">
      <c r="A1225" t="s">
        <v>423</v>
      </c>
      <c r="B1225" s="16" t="str">
        <f>"67153"</f>
        <v>67153</v>
      </c>
      <c r="C1225" t="s">
        <v>11</v>
      </c>
      <c r="D1225" t="s">
        <v>413</v>
      </c>
      <c r="E1225" s="16" t="str">
        <f>"003"</f>
        <v>003</v>
      </c>
      <c r="F1225" s="16">
        <v>2003</v>
      </c>
      <c r="G1225" s="6">
        <v>54210800</v>
      </c>
      <c r="H1225" s="6">
        <v>2389500</v>
      </c>
      <c r="I1225" s="6">
        <v>51821300</v>
      </c>
    </row>
    <row r="1226" spans="1:9" x14ac:dyDescent="0.25">
      <c r="A1226" t="s">
        <v>423</v>
      </c>
      <c r="B1226" s="16" t="str">
        <f>"67153"</f>
        <v>67153</v>
      </c>
      <c r="C1226" t="s">
        <v>11</v>
      </c>
      <c r="D1226" t="s">
        <v>413</v>
      </c>
      <c r="E1226" s="16" t="str">
        <f>"004"</f>
        <v>004</v>
      </c>
      <c r="F1226" s="16">
        <v>2017</v>
      </c>
      <c r="G1226" s="6">
        <v>22980200</v>
      </c>
      <c r="H1226" s="6">
        <v>6368000</v>
      </c>
      <c r="I1226" s="6">
        <v>16612200</v>
      </c>
    </row>
    <row r="1227" spans="1:9" x14ac:dyDescent="0.25">
      <c r="A1227" t="s">
        <v>423</v>
      </c>
      <c r="B1227" s="16" t="str">
        <f>"67251"</f>
        <v>67251</v>
      </c>
      <c r="C1227" t="s">
        <v>10</v>
      </c>
      <c r="D1227" t="s">
        <v>432</v>
      </c>
      <c r="E1227" s="16" t="str">
        <f>"010"</f>
        <v>010</v>
      </c>
      <c r="F1227" s="16">
        <v>2008</v>
      </c>
      <c r="G1227" s="6">
        <v>75502100</v>
      </c>
      <c r="H1227" s="6">
        <v>1150600</v>
      </c>
      <c r="I1227" s="6">
        <v>74351500</v>
      </c>
    </row>
    <row r="1228" spans="1:9" x14ac:dyDescent="0.25">
      <c r="A1228" t="s">
        <v>423</v>
      </c>
      <c r="B1228" s="16" t="str">
        <f>"67251"</f>
        <v>67251</v>
      </c>
      <c r="C1228" t="s">
        <v>10</v>
      </c>
      <c r="D1228" t="s">
        <v>432</v>
      </c>
      <c r="E1228" s="16" t="str">
        <f>"011"</f>
        <v>011</v>
      </c>
      <c r="F1228" s="16">
        <v>2016</v>
      </c>
      <c r="G1228" s="6">
        <v>33330100</v>
      </c>
      <c r="H1228" s="6">
        <v>2400</v>
      </c>
      <c r="I1228" s="6">
        <v>33327700</v>
      </c>
    </row>
    <row r="1229" spans="1:9" x14ac:dyDescent="0.25">
      <c r="A1229" t="s">
        <v>423</v>
      </c>
      <c r="B1229" s="16" t="str">
        <f>"67261"</f>
        <v>67261</v>
      </c>
      <c r="C1229" t="s">
        <v>10</v>
      </c>
      <c r="D1229" t="s">
        <v>433</v>
      </c>
      <c r="E1229" s="16" t="str">
        <f>"003"</f>
        <v>003</v>
      </c>
      <c r="F1229" s="16">
        <v>2018</v>
      </c>
      <c r="G1229" s="6">
        <v>37359300</v>
      </c>
      <c r="H1229" s="6">
        <v>729000</v>
      </c>
      <c r="I1229" s="6">
        <v>36630300</v>
      </c>
    </row>
    <row r="1230" spans="1:9" x14ac:dyDescent="0.25">
      <c r="A1230" t="s">
        <v>423</v>
      </c>
      <c r="B1230" s="16" t="str">
        <f>"67261"</f>
        <v>67261</v>
      </c>
      <c r="C1230" t="s">
        <v>10</v>
      </c>
      <c r="D1230" t="s">
        <v>433</v>
      </c>
      <c r="E1230" s="16" t="str">
        <f>"004"</f>
        <v>004</v>
      </c>
      <c r="F1230" s="16">
        <v>2020</v>
      </c>
      <c r="G1230" s="6">
        <v>13944100</v>
      </c>
      <c r="H1230" s="6">
        <v>13234500</v>
      </c>
      <c r="I1230" s="6">
        <v>709600</v>
      </c>
    </row>
    <row r="1231" spans="1:9" x14ac:dyDescent="0.25">
      <c r="A1231" t="s">
        <v>423</v>
      </c>
      <c r="B1231" s="16" t="str">
        <f>"67265"</f>
        <v>67265</v>
      </c>
      <c r="C1231" t="s">
        <v>10</v>
      </c>
      <c r="D1231" t="s">
        <v>434</v>
      </c>
      <c r="E1231" s="16" t="str">
        <f>"004"</f>
        <v>004</v>
      </c>
      <c r="F1231" s="16">
        <v>2003</v>
      </c>
      <c r="G1231" s="6">
        <v>79908700</v>
      </c>
      <c r="H1231" s="6">
        <v>50424400</v>
      </c>
      <c r="I1231" s="6">
        <v>29484300</v>
      </c>
    </row>
    <row r="1232" spans="1:9" x14ac:dyDescent="0.25">
      <c r="A1232" t="s">
        <v>423</v>
      </c>
      <c r="B1232" s="16" t="str">
        <f>"67265"</f>
        <v>67265</v>
      </c>
      <c r="C1232" t="s">
        <v>10</v>
      </c>
      <c r="D1232" t="s">
        <v>434</v>
      </c>
      <c r="E1232" s="16" t="str">
        <f>"005"</f>
        <v>005</v>
      </c>
      <c r="F1232" s="16">
        <v>2017</v>
      </c>
      <c r="G1232" s="6">
        <v>42291400</v>
      </c>
      <c r="H1232" s="6">
        <v>6019700</v>
      </c>
      <c r="I1232" s="6">
        <v>36271700</v>
      </c>
    </row>
    <row r="1233" spans="1:9" x14ac:dyDescent="0.25">
      <c r="A1233" t="s">
        <v>423</v>
      </c>
      <c r="B1233" s="16" t="str">
        <f>"67265"</f>
        <v>67265</v>
      </c>
      <c r="C1233" t="s">
        <v>10</v>
      </c>
      <c r="D1233" t="s">
        <v>434</v>
      </c>
      <c r="E1233" s="16" t="str">
        <f>"006"</f>
        <v>006</v>
      </c>
      <c r="F1233" s="16">
        <v>2017</v>
      </c>
      <c r="G1233" s="6">
        <v>23762300</v>
      </c>
      <c r="H1233" s="6">
        <v>1801800</v>
      </c>
      <c r="I1233" s="6">
        <v>21960500</v>
      </c>
    </row>
    <row r="1234" spans="1:9" x14ac:dyDescent="0.25">
      <c r="A1234" t="s">
        <v>423</v>
      </c>
      <c r="B1234" s="16" t="str">
        <f>"67171"</f>
        <v>67171</v>
      </c>
      <c r="C1234" t="s">
        <v>11</v>
      </c>
      <c r="D1234" t="s">
        <v>435</v>
      </c>
      <c r="E1234" s="16" t="str">
        <f>"002"</f>
        <v>002</v>
      </c>
      <c r="F1234" s="16">
        <v>2014</v>
      </c>
      <c r="G1234" s="6">
        <v>18142000</v>
      </c>
      <c r="H1234" s="6">
        <v>8659300</v>
      </c>
      <c r="I1234" s="6">
        <v>9482700</v>
      </c>
    </row>
    <row r="1235" spans="1:9" x14ac:dyDescent="0.25">
      <c r="A1235" t="s">
        <v>423</v>
      </c>
      <c r="B1235" s="16" t="str">
        <f>"67181"</f>
        <v>67181</v>
      </c>
      <c r="C1235" t="s">
        <v>11</v>
      </c>
      <c r="D1235" t="s">
        <v>436</v>
      </c>
      <c r="E1235" s="16" t="str">
        <f>"006"</f>
        <v>006</v>
      </c>
      <c r="F1235" s="16">
        <v>2013</v>
      </c>
      <c r="G1235" s="6">
        <v>73795100</v>
      </c>
      <c r="H1235" s="6">
        <v>24103600</v>
      </c>
      <c r="I1235" s="6">
        <v>49691500</v>
      </c>
    </row>
    <row r="1236" spans="1:9" x14ac:dyDescent="0.25">
      <c r="A1236" t="s">
        <v>423</v>
      </c>
      <c r="B1236" s="16" t="str">
        <f>"67181"</f>
        <v>67181</v>
      </c>
      <c r="C1236" t="s">
        <v>11</v>
      </c>
      <c r="D1236" t="s">
        <v>436</v>
      </c>
      <c r="E1236" s="16" t="str">
        <f>"007"</f>
        <v>007</v>
      </c>
      <c r="F1236" s="16">
        <v>2018</v>
      </c>
      <c r="G1236" s="6">
        <v>6747100</v>
      </c>
      <c r="H1236" s="6">
        <v>240600</v>
      </c>
      <c r="I1236" s="6">
        <v>6506500</v>
      </c>
    </row>
    <row r="1237" spans="1:9" x14ac:dyDescent="0.25">
      <c r="A1237" t="s">
        <v>423</v>
      </c>
      <c r="B1237" s="16" t="str">
        <f>"67186"</f>
        <v>67186</v>
      </c>
      <c r="C1237" t="s">
        <v>11</v>
      </c>
      <c r="D1237" t="s">
        <v>397</v>
      </c>
      <c r="E1237" s="16" t="str">
        <f>"001"</f>
        <v>001</v>
      </c>
      <c r="F1237" s="16">
        <v>2020</v>
      </c>
      <c r="G1237" s="6">
        <v>0</v>
      </c>
      <c r="H1237" s="6">
        <v>0</v>
      </c>
      <c r="I1237" s="6">
        <v>0</v>
      </c>
    </row>
    <row r="1238" spans="1:9" x14ac:dyDescent="0.25">
      <c r="A1238" t="s">
        <v>423</v>
      </c>
      <c r="B1238" s="16" t="str">
        <f>"67191"</f>
        <v>67191</v>
      </c>
      <c r="C1238" t="s">
        <v>11</v>
      </c>
      <c r="D1238" t="s">
        <v>437</v>
      </c>
      <c r="E1238" s="16" t="str">
        <f>"001"</f>
        <v>001</v>
      </c>
      <c r="F1238" s="16">
        <v>2006</v>
      </c>
      <c r="G1238" s="6">
        <v>67172900</v>
      </c>
      <c r="H1238" s="6">
        <v>24568300</v>
      </c>
      <c r="I1238" s="6">
        <v>42604600</v>
      </c>
    </row>
    <row r="1239" spans="1:9" x14ac:dyDescent="0.25">
      <c r="A1239" t="s">
        <v>423</v>
      </c>
      <c r="B1239" s="16" t="str">
        <f>"67195"</f>
        <v>67195</v>
      </c>
      <c r="C1239" t="s">
        <v>11</v>
      </c>
      <c r="D1239" t="s">
        <v>423</v>
      </c>
      <c r="E1239" s="16" t="str">
        <f>"001"</f>
        <v>001</v>
      </c>
      <c r="F1239" s="16">
        <v>2020</v>
      </c>
      <c r="G1239" s="6">
        <v>22581200</v>
      </c>
      <c r="H1239" s="6">
        <v>21785100</v>
      </c>
      <c r="I1239" s="6">
        <v>796100</v>
      </c>
    </row>
    <row r="1240" spans="1:9" x14ac:dyDescent="0.25">
      <c r="A1240" t="s">
        <v>423</v>
      </c>
      <c r="B1240" s="16" t="str">
        <f t="shared" ref="B1240:B1256" si="49">"67291"</f>
        <v>67291</v>
      </c>
      <c r="C1240" t="s">
        <v>10</v>
      </c>
      <c r="D1240" t="s">
        <v>423</v>
      </c>
      <c r="E1240" s="16" t="str">
        <f>"011"</f>
        <v>011</v>
      </c>
      <c r="F1240" s="16">
        <v>1997</v>
      </c>
      <c r="G1240" s="6">
        <v>110624600</v>
      </c>
      <c r="H1240" s="6">
        <v>37524600</v>
      </c>
      <c r="I1240" s="6">
        <v>73100000</v>
      </c>
    </row>
    <row r="1241" spans="1:9" x14ac:dyDescent="0.25">
      <c r="A1241" t="s">
        <v>423</v>
      </c>
      <c r="B1241" s="16" t="str">
        <f t="shared" si="49"/>
        <v>67291</v>
      </c>
      <c r="C1241" t="s">
        <v>10</v>
      </c>
      <c r="D1241" t="s">
        <v>423</v>
      </c>
      <c r="E1241" s="16" t="str">
        <f>"012"</f>
        <v>012</v>
      </c>
      <c r="F1241" s="16">
        <v>2001</v>
      </c>
      <c r="G1241" s="6">
        <v>23585100</v>
      </c>
      <c r="H1241" s="6">
        <v>107700</v>
      </c>
      <c r="I1241" s="6">
        <v>23477400</v>
      </c>
    </row>
    <row r="1242" spans="1:9" x14ac:dyDescent="0.25">
      <c r="A1242" t="s">
        <v>423</v>
      </c>
      <c r="B1242" s="16" t="str">
        <f t="shared" si="49"/>
        <v>67291</v>
      </c>
      <c r="C1242" t="s">
        <v>10</v>
      </c>
      <c r="D1242" t="s">
        <v>423</v>
      </c>
      <c r="E1242" s="16" t="str">
        <f>"013"</f>
        <v>013</v>
      </c>
      <c r="F1242" s="16">
        <v>2003</v>
      </c>
      <c r="G1242" s="6">
        <v>4813700</v>
      </c>
      <c r="H1242" s="6">
        <v>481800</v>
      </c>
      <c r="I1242" s="6">
        <v>4331900</v>
      </c>
    </row>
    <row r="1243" spans="1:9" x14ac:dyDescent="0.25">
      <c r="A1243" t="s">
        <v>423</v>
      </c>
      <c r="B1243" s="16" t="str">
        <f t="shared" si="49"/>
        <v>67291</v>
      </c>
      <c r="C1243" t="s">
        <v>10</v>
      </c>
      <c r="D1243" t="s">
        <v>423</v>
      </c>
      <c r="E1243" s="16" t="str">
        <f>"014"</f>
        <v>014</v>
      </c>
      <c r="F1243" s="16">
        <v>2003</v>
      </c>
      <c r="G1243" s="6">
        <v>110000200</v>
      </c>
      <c r="H1243" s="6">
        <v>9889800</v>
      </c>
      <c r="I1243" s="6">
        <v>100110400</v>
      </c>
    </row>
    <row r="1244" spans="1:9" x14ac:dyDescent="0.25">
      <c r="A1244" t="s">
        <v>423</v>
      </c>
      <c r="B1244" s="16" t="str">
        <f t="shared" si="49"/>
        <v>67291</v>
      </c>
      <c r="C1244" t="s">
        <v>10</v>
      </c>
      <c r="D1244" t="s">
        <v>423</v>
      </c>
      <c r="E1244" s="16" t="str">
        <f>"017"</f>
        <v>017</v>
      </c>
      <c r="F1244" s="16">
        <v>2007</v>
      </c>
      <c r="G1244" s="6">
        <v>102959900</v>
      </c>
      <c r="H1244" s="6">
        <v>57329000</v>
      </c>
      <c r="I1244" s="6">
        <v>45630900</v>
      </c>
    </row>
    <row r="1245" spans="1:9" x14ac:dyDescent="0.25">
      <c r="A1245" t="s">
        <v>423</v>
      </c>
      <c r="B1245" s="16" t="str">
        <f t="shared" si="49"/>
        <v>67291</v>
      </c>
      <c r="C1245" t="s">
        <v>10</v>
      </c>
      <c r="D1245" t="s">
        <v>423</v>
      </c>
      <c r="E1245" s="16" t="str">
        <f>"018"</f>
        <v>018</v>
      </c>
      <c r="F1245" s="16">
        <v>2009</v>
      </c>
      <c r="G1245" s="6">
        <v>9736700</v>
      </c>
      <c r="H1245" s="6">
        <v>704300</v>
      </c>
      <c r="I1245" s="6">
        <v>9032400</v>
      </c>
    </row>
    <row r="1246" spans="1:9" x14ac:dyDescent="0.25">
      <c r="A1246" t="s">
        <v>423</v>
      </c>
      <c r="B1246" s="16" t="str">
        <f t="shared" si="49"/>
        <v>67291</v>
      </c>
      <c r="C1246" t="s">
        <v>10</v>
      </c>
      <c r="D1246" t="s">
        <v>423</v>
      </c>
      <c r="E1246" s="16" t="str">
        <f>"019"</f>
        <v>019</v>
      </c>
      <c r="F1246" s="16">
        <v>2010</v>
      </c>
      <c r="G1246" s="6">
        <v>31913200</v>
      </c>
      <c r="H1246" s="6">
        <v>13626400</v>
      </c>
      <c r="I1246" s="6">
        <v>18286800</v>
      </c>
    </row>
    <row r="1247" spans="1:9" x14ac:dyDescent="0.25">
      <c r="A1247" t="s">
        <v>423</v>
      </c>
      <c r="B1247" s="16" t="str">
        <f t="shared" si="49"/>
        <v>67291</v>
      </c>
      <c r="C1247" t="s">
        <v>10</v>
      </c>
      <c r="D1247" t="s">
        <v>423</v>
      </c>
      <c r="E1247" s="16" t="str">
        <f>"020"</f>
        <v>020</v>
      </c>
      <c r="F1247" s="16">
        <v>2010</v>
      </c>
      <c r="G1247" s="6">
        <v>27522700</v>
      </c>
      <c r="H1247" s="6">
        <v>22346100</v>
      </c>
      <c r="I1247" s="6">
        <v>5176600</v>
      </c>
    </row>
    <row r="1248" spans="1:9" x14ac:dyDescent="0.25">
      <c r="A1248" t="s">
        <v>423</v>
      </c>
      <c r="B1248" s="16" t="str">
        <f t="shared" si="49"/>
        <v>67291</v>
      </c>
      <c r="C1248" t="s">
        <v>10</v>
      </c>
      <c r="D1248" t="s">
        <v>423</v>
      </c>
      <c r="E1248" s="16" t="str">
        <f>"021"</f>
        <v>021</v>
      </c>
      <c r="F1248" s="16">
        <v>2012</v>
      </c>
      <c r="G1248" s="6">
        <v>42537800</v>
      </c>
      <c r="H1248" s="6">
        <v>11343900</v>
      </c>
      <c r="I1248" s="6">
        <v>31193900</v>
      </c>
    </row>
    <row r="1249" spans="1:9" x14ac:dyDescent="0.25">
      <c r="A1249" t="s">
        <v>423</v>
      </c>
      <c r="B1249" s="16" t="str">
        <f t="shared" si="49"/>
        <v>67291</v>
      </c>
      <c r="C1249" t="s">
        <v>10</v>
      </c>
      <c r="D1249" t="s">
        <v>423</v>
      </c>
      <c r="E1249" s="16" t="str">
        <f>"022"</f>
        <v>022</v>
      </c>
      <c r="F1249" s="16">
        <v>2013</v>
      </c>
      <c r="G1249" s="6">
        <v>84967600</v>
      </c>
      <c r="H1249" s="6">
        <v>38400500</v>
      </c>
      <c r="I1249" s="6">
        <v>46567100</v>
      </c>
    </row>
    <row r="1250" spans="1:9" x14ac:dyDescent="0.25">
      <c r="A1250" t="s">
        <v>423</v>
      </c>
      <c r="B1250" s="16" t="str">
        <f t="shared" si="49"/>
        <v>67291</v>
      </c>
      <c r="C1250" t="s">
        <v>10</v>
      </c>
      <c r="D1250" t="s">
        <v>423</v>
      </c>
      <c r="E1250" s="16" t="str">
        <f>"023"</f>
        <v>023</v>
      </c>
      <c r="F1250" s="16">
        <v>2014</v>
      </c>
      <c r="G1250" s="6">
        <v>12786800</v>
      </c>
      <c r="H1250" s="6">
        <v>4300600</v>
      </c>
      <c r="I1250" s="6">
        <v>8486200</v>
      </c>
    </row>
    <row r="1251" spans="1:9" x14ac:dyDescent="0.25">
      <c r="A1251" t="s">
        <v>423</v>
      </c>
      <c r="B1251" s="16" t="str">
        <f t="shared" si="49"/>
        <v>67291</v>
      </c>
      <c r="C1251" t="s">
        <v>10</v>
      </c>
      <c r="D1251" t="s">
        <v>423</v>
      </c>
      <c r="E1251" s="16" t="str">
        <f>"024"</f>
        <v>024</v>
      </c>
      <c r="F1251" s="16">
        <v>2018</v>
      </c>
      <c r="G1251" s="6">
        <v>16212600</v>
      </c>
      <c r="H1251" s="6">
        <v>10345200</v>
      </c>
      <c r="I1251" s="6">
        <v>5867400</v>
      </c>
    </row>
    <row r="1252" spans="1:9" x14ac:dyDescent="0.25">
      <c r="A1252" t="s">
        <v>423</v>
      </c>
      <c r="B1252" s="16" t="str">
        <f t="shared" si="49"/>
        <v>67291</v>
      </c>
      <c r="C1252" t="s">
        <v>10</v>
      </c>
      <c r="D1252" t="s">
        <v>423</v>
      </c>
      <c r="E1252" s="16" t="str">
        <f>"025"</f>
        <v>025</v>
      </c>
      <c r="F1252" s="16">
        <v>2015</v>
      </c>
      <c r="G1252" s="6">
        <v>22833700</v>
      </c>
      <c r="H1252" s="6">
        <v>6226600</v>
      </c>
      <c r="I1252" s="6">
        <v>16607100</v>
      </c>
    </row>
    <row r="1253" spans="1:9" x14ac:dyDescent="0.25">
      <c r="A1253" t="s">
        <v>423</v>
      </c>
      <c r="B1253" s="16" t="str">
        <f t="shared" si="49"/>
        <v>67291</v>
      </c>
      <c r="C1253" t="s">
        <v>10</v>
      </c>
      <c r="D1253" t="s">
        <v>423</v>
      </c>
      <c r="E1253" s="16" t="str">
        <f>"026"</f>
        <v>026</v>
      </c>
      <c r="F1253" s="16">
        <v>2019</v>
      </c>
      <c r="G1253" s="6">
        <v>6225300</v>
      </c>
      <c r="H1253" s="6">
        <v>5222900</v>
      </c>
      <c r="I1253" s="6">
        <v>1002400</v>
      </c>
    </row>
    <row r="1254" spans="1:9" x14ac:dyDescent="0.25">
      <c r="A1254" t="s">
        <v>423</v>
      </c>
      <c r="B1254" s="16" t="str">
        <f t="shared" si="49"/>
        <v>67291</v>
      </c>
      <c r="C1254" t="s">
        <v>10</v>
      </c>
      <c r="D1254" t="s">
        <v>423</v>
      </c>
      <c r="E1254" s="16" t="str">
        <f>"027"</f>
        <v>027</v>
      </c>
      <c r="F1254" s="16">
        <v>2020</v>
      </c>
      <c r="G1254" s="6">
        <v>11218000</v>
      </c>
      <c r="H1254" s="6">
        <v>2874400</v>
      </c>
      <c r="I1254" s="6">
        <v>8343600</v>
      </c>
    </row>
    <row r="1255" spans="1:9" x14ac:dyDescent="0.25">
      <c r="A1255" t="s">
        <v>423</v>
      </c>
      <c r="B1255" s="16" t="str">
        <f t="shared" si="49"/>
        <v>67291</v>
      </c>
      <c r="C1255" t="s">
        <v>10</v>
      </c>
      <c r="D1255" t="s">
        <v>423</v>
      </c>
      <c r="E1255" s="16" t="str">
        <f>"028"</f>
        <v>028</v>
      </c>
      <c r="F1255" s="16">
        <v>2020</v>
      </c>
      <c r="G1255" s="6">
        <v>1258800</v>
      </c>
      <c r="H1255" s="6">
        <v>1155100</v>
      </c>
      <c r="I1255" s="6">
        <v>103700</v>
      </c>
    </row>
    <row r="1256" spans="1:9" x14ac:dyDescent="0.25">
      <c r="A1256" t="s">
        <v>423</v>
      </c>
      <c r="B1256" s="16" t="str">
        <f t="shared" si="49"/>
        <v>67291</v>
      </c>
      <c r="C1256" t="s">
        <v>10</v>
      </c>
      <c r="D1256" t="s">
        <v>423</v>
      </c>
      <c r="E1256" s="16" t="str">
        <f>"029"</f>
        <v>029</v>
      </c>
      <c r="F1256" s="16">
        <v>2020</v>
      </c>
      <c r="G1256" s="6">
        <v>1316500</v>
      </c>
      <c r="H1256" s="6">
        <v>1207300</v>
      </c>
      <c r="I1256" s="6">
        <v>109200</v>
      </c>
    </row>
    <row r="1257" spans="1:9" x14ac:dyDescent="0.25">
      <c r="A1257" t="s">
        <v>438</v>
      </c>
      <c r="B1257" s="16" t="str">
        <f>"68211"</f>
        <v>68211</v>
      </c>
      <c r="C1257" t="s">
        <v>10</v>
      </c>
      <c r="D1257" t="s">
        <v>439</v>
      </c>
      <c r="E1257" s="16" t="str">
        <f>"008"</f>
        <v>008</v>
      </c>
      <c r="F1257" s="16">
        <v>2018</v>
      </c>
      <c r="G1257" s="6">
        <v>4427000</v>
      </c>
      <c r="H1257" s="6">
        <v>781200</v>
      </c>
      <c r="I1257" s="6">
        <v>3645800</v>
      </c>
    </row>
    <row r="1258" spans="1:9" x14ac:dyDescent="0.25">
      <c r="A1258" t="s">
        <v>438</v>
      </c>
      <c r="B1258" s="16" t="str">
        <f>"68211"</f>
        <v>68211</v>
      </c>
      <c r="C1258" t="s">
        <v>10</v>
      </c>
      <c r="D1258" t="s">
        <v>439</v>
      </c>
      <c r="E1258" s="16" t="str">
        <f>"009"</f>
        <v>009</v>
      </c>
      <c r="F1258" s="16">
        <v>2018</v>
      </c>
      <c r="G1258" s="6">
        <v>7060100</v>
      </c>
      <c r="H1258" s="6">
        <v>4630300</v>
      </c>
      <c r="I1258" s="6">
        <v>2429800</v>
      </c>
    </row>
    <row r="1259" spans="1:9" x14ac:dyDescent="0.25">
      <c r="A1259" t="s">
        <v>438</v>
      </c>
      <c r="B1259" s="16" t="str">
        <f>"68251"</f>
        <v>68251</v>
      </c>
      <c r="C1259" t="s">
        <v>10</v>
      </c>
      <c r="D1259" t="s">
        <v>440</v>
      </c>
      <c r="E1259" s="16" t="str">
        <f>"002"</f>
        <v>002</v>
      </c>
      <c r="F1259" s="16">
        <v>2016</v>
      </c>
      <c r="G1259" s="6">
        <v>5202400</v>
      </c>
      <c r="H1259" s="6">
        <v>2392700</v>
      </c>
      <c r="I1259" s="6">
        <v>2809700</v>
      </c>
    </row>
    <row r="1260" spans="1:9" x14ac:dyDescent="0.25">
      <c r="A1260" t="s">
        <v>438</v>
      </c>
      <c r="B1260" s="16" t="str">
        <f>"68251"</f>
        <v>68251</v>
      </c>
      <c r="C1260" t="s">
        <v>10</v>
      </c>
      <c r="D1260" t="s">
        <v>440</v>
      </c>
      <c r="E1260" s="16" t="str">
        <f>"003"</f>
        <v>003</v>
      </c>
      <c r="F1260" s="16">
        <v>2018</v>
      </c>
      <c r="G1260" s="6">
        <v>3253700</v>
      </c>
      <c r="H1260" s="6">
        <v>2362600</v>
      </c>
      <c r="I1260" s="6">
        <v>891100</v>
      </c>
    </row>
    <row r="1261" spans="1:9" x14ac:dyDescent="0.25">
      <c r="A1261" t="s">
        <v>438</v>
      </c>
      <c r="B1261" s="16" t="str">
        <f>"68028"</f>
        <v>68028</v>
      </c>
      <c r="C1261" t="s">
        <v>13</v>
      </c>
      <c r="D1261" t="s">
        <v>441</v>
      </c>
      <c r="E1261" s="16" t="str">
        <f>"001C"</f>
        <v>001C</v>
      </c>
      <c r="F1261" s="16">
        <v>2004</v>
      </c>
      <c r="G1261" s="6">
        <v>12000</v>
      </c>
      <c r="H1261" s="6">
        <v>0</v>
      </c>
      <c r="I1261" s="6">
        <v>12000</v>
      </c>
    </row>
    <row r="1262" spans="1:9" x14ac:dyDescent="0.25">
      <c r="A1262" t="s">
        <v>438</v>
      </c>
      <c r="B1262" s="16" t="str">
        <f t="shared" ref="B1262:B1267" si="50">"68291"</f>
        <v>68291</v>
      </c>
      <c r="C1262" t="s">
        <v>10</v>
      </c>
      <c r="D1262" t="s">
        <v>438</v>
      </c>
      <c r="E1262" s="16" t="str">
        <f>"003"</f>
        <v>003</v>
      </c>
      <c r="F1262" s="16">
        <v>2000</v>
      </c>
      <c r="G1262" s="6">
        <v>19448300</v>
      </c>
      <c r="H1262" s="6">
        <v>1912500</v>
      </c>
      <c r="I1262" s="6">
        <v>17535800</v>
      </c>
    </row>
    <row r="1263" spans="1:9" x14ac:dyDescent="0.25">
      <c r="A1263" t="s">
        <v>438</v>
      </c>
      <c r="B1263" s="16" t="str">
        <f t="shared" si="50"/>
        <v>68291</v>
      </c>
      <c r="C1263" t="s">
        <v>10</v>
      </c>
      <c r="D1263" t="s">
        <v>438</v>
      </c>
      <c r="E1263" s="16" t="str">
        <f>"004"</f>
        <v>004</v>
      </c>
      <c r="F1263" s="16">
        <v>2000</v>
      </c>
      <c r="G1263" s="6">
        <v>32925300</v>
      </c>
      <c r="H1263" s="6">
        <v>2901600</v>
      </c>
      <c r="I1263" s="6">
        <v>30023700</v>
      </c>
    </row>
    <row r="1264" spans="1:9" x14ac:dyDescent="0.25">
      <c r="A1264" t="s">
        <v>438</v>
      </c>
      <c r="B1264" s="16" t="str">
        <f t="shared" si="50"/>
        <v>68291</v>
      </c>
      <c r="C1264" t="s">
        <v>10</v>
      </c>
      <c r="D1264" t="s">
        <v>438</v>
      </c>
      <c r="E1264" s="16" t="str">
        <f>"006"</f>
        <v>006</v>
      </c>
      <c r="F1264" s="16">
        <v>2000</v>
      </c>
      <c r="G1264" s="6">
        <v>36335900</v>
      </c>
      <c r="H1264" s="6">
        <v>10906600</v>
      </c>
      <c r="I1264" s="6">
        <v>25429300</v>
      </c>
    </row>
    <row r="1265" spans="1:9" x14ac:dyDescent="0.25">
      <c r="A1265" t="s">
        <v>438</v>
      </c>
      <c r="B1265" s="16" t="str">
        <f t="shared" si="50"/>
        <v>68291</v>
      </c>
      <c r="C1265" t="s">
        <v>10</v>
      </c>
      <c r="D1265" t="s">
        <v>438</v>
      </c>
      <c r="E1265" s="16" t="str">
        <f>"008"</f>
        <v>008</v>
      </c>
      <c r="F1265" s="16">
        <v>2001</v>
      </c>
      <c r="G1265" s="6">
        <v>14425400</v>
      </c>
      <c r="H1265" s="6">
        <v>1772600</v>
      </c>
      <c r="I1265" s="6">
        <v>12652800</v>
      </c>
    </row>
    <row r="1266" spans="1:9" x14ac:dyDescent="0.25">
      <c r="A1266" t="s">
        <v>438</v>
      </c>
      <c r="B1266" s="16" t="str">
        <f t="shared" si="50"/>
        <v>68291</v>
      </c>
      <c r="C1266" t="s">
        <v>10</v>
      </c>
      <c r="D1266" t="s">
        <v>438</v>
      </c>
      <c r="E1266" s="16" t="str">
        <f>"009"</f>
        <v>009</v>
      </c>
      <c r="F1266" s="16">
        <v>2001</v>
      </c>
      <c r="G1266" s="6">
        <v>1749300</v>
      </c>
      <c r="H1266" s="6">
        <v>2208100</v>
      </c>
      <c r="I1266" s="6">
        <v>-458800</v>
      </c>
    </row>
    <row r="1267" spans="1:9" x14ac:dyDescent="0.25">
      <c r="A1267" t="s">
        <v>438</v>
      </c>
      <c r="B1267" s="16" t="str">
        <f t="shared" si="50"/>
        <v>68291</v>
      </c>
      <c r="C1267" t="s">
        <v>10</v>
      </c>
      <c r="D1267" t="s">
        <v>438</v>
      </c>
      <c r="E1267" s="16" t="str">
        <f>"010"</f>
        <v>010</v>
      </c>
      <c r="F1267" s="16">
        <v>2001</v>
      </c>
      <c r="G1267" s="6">
        <v>2896500</v>
      </c>
      <c r="H1267" s="6">
        <v>281800</v>
      </c>
      <c r="I1267" s="6">
        <v>2614700</v>
      </c>
    </row>
    <row r="1268" spans="1:9" x14ac:dyDescent="0.25">
      <c r="A1268" t="s">
        <v>438</v>
      </c>
      <c r="B1268" s="16" t="str">
        <f>"68042"</f>
        <v>68042</v>
      </c>
      <c r="C1268" t="s">
        <v>13</v>
      </c>
      <c r="D1268" t="s">
        <v>442</v>
      </c>
      <c r="E1268" s="16" t="str">
        <f>"001T"</f>
        <v>001T</v>
      </c>
      <c r="F1268" s="16">
        <v>2005</v>
      </c>
      <c r="G1268" s="6">
        <v>7429700</v>
      </c>
      <c r="H1268" s="6">
        <v>1668700</v>
      </c>
      <c r="I1268" s="6">
        <v>5761000</v>
      </c>
    </row>
    <row r="1269" spans="1:9" x14ac:dyDescent="0.25">
      <c r="A1269" t="s">
        <v>438</v>
      </c>
      <c r="B1269" s="16" t="str">
        <f>"68292"</f>
        <v>68292</v>
      </c>
      <c r="C1269" t="s">
        <v>10</v>
      </c>
      <c r="D1269" t="s">
        <v>442</v>
      </c>
      <c r="E1269" s="16" t="str">
        <f>"004"</f>
        <v>004</v>
      </c>
      <c r="F1269" s="16">
        <v>2001</v>
      </c>
      <c r="G1269" s="6">
        <v>6516300</v>
      </c>
      <c r="H1269" s="6">
        <v>458800</v>
      </c>
      <c r="I1269" s="6">
        <v>6057500</v>
      </c>
    </row>
    <row r="1270" spans="1:9" x14ac:dyDescent="0.25">
      <c r="A1270" t="s">
        <v>438</v>
      </c>
      <c r="B1270" s="16" t="str">
        <f>"68292"</f>
        <v>68292</v>
      </c>
      <c r="C1270" t="s">
        <v>10</v>
      </c>
      <c r="D1270" t="s">
        <v>442</v>
      </c>
      <c r="E1270" s="16" t="str">
        <f>"005"</f>
        <v>005</v>
      </c>
      <c r="F1270" s="16">
        <v>2007</v>
      </c>
      <c r="G1270" s="6">
        <v>2593200</v>
      </c>
      <c r="H1270" s="6">
        <v>1858800</v>
      </c>
      <c r="I1270" s="6">
        <v>734400</v>
      </c>
    </row>
    <row r="1271" spans="1:9" x14ac:dyDescent="0.25">
      <c r="A1271" t="s">
        <v>438</v>
      </c>
      <c r="B1271" s="16" t="str">
        <f>"68292"</f>
        <v>68292</v>
      </c>
      <c r="C1271" t="s">
        <v>10</v>
      </c>
      <c r="D1271" t="s">
        <v>442</v>
      </c>
      <c r="E1271" s="16" t="str">
        <f>"006"</f>
        <v>006</v>
      </c>
      <c r="F1271" s="16">
        <v>2015</v>
      </c>
      <c r="G1271" s="6">
        <v>10958100</v>
      </c>
      <c r="H1271" s="6">
        <v>6611000</v>
      </c>
      <c r="I1271" s="6">
        <v>4347100</v>
      </c>
    </row>
    <row r="1272" spans="1:9" x14ac:dyDescent="0.25">
      <c r="A1272" t="s">
        <v>438</v>
      </c>
      <c r="B1272" s="16" t="str">
        <f>"68292"</f>
        <v>68292</v>
      </c>
      <c r="C1272" t="s">
        <v>10</v>
      </c>
      <c r="D1272" t="s">
        <v>442</v>
      </c>
      <c r="E1272" s="16" t="str">
        <f>"007"</f>
        <v>007</v>
      </c>
      <c r="F1272" s="16">
        <v>2015</v>
      </c>
      <c r="G1272" s="6">
        <v>1504700</v>
      </c>
      <c r="H1272" s="6">
        <v>749700</v>
      </c>
      <c r="I1272" s="6">
        <v>755000</v>
      </c>
    </row>
    <row r="1273" spans="1:9" x14ac:dyDescent="0.25">
      <c r="A1273" t="s">
        <v>443</v>
      </c>
      <c r="B1273" s="16" t="str">
        <f>"69206"</f>
        <v>69206</v>
      </c>
      <c r="C1273" t="s">
        <v>10</v>
      </c>
      <c r="D1273" t="s">
        <v>167</v>
      </c>
      <c r="E1273" s="16" t="str">
        <f>"010"</f>
        <v>010</v>
      </c>
      <c r="F1273" s="16">
        <v>1993</v>
      </c>
      <c r="G1273" s="6">
        <v>8284300</v>
      </c>
      <c r="H1273" s="6">
        <v>49300</v>
      </c>
      <c r="I1273" s="6">
        <v>8235000</v>
      </c>
    </row>
    <row r="1274" spans="1:9" x14ac:dyDescent="0.25">
      <c r="A1274" t="s">
        <v>443</v>
      </c>
      <c r="B1274" s="16" t="str">
        <f>"69111"</f>
        <v>69111</v>
      </c>
      <c r="C1274" t="s">
        <v>11</v>
      </c>
      <c r="D1274" t="s">
        <v>444</v>
      </c>
      <c r="E1274" s="16" t="str">
        <f>"002"</f>
        <v>002</v>
      </c>
      <c r="F1274" s="16">
        <v>2005</v>
      </c>
      <c r="G1274" s="6">
        <v>5332800</v>
      </c>
      <c r="H1274" s="6">
        <v>1243100</v>
      </c>
      <c r="I1274" s="6">
        <v>4089700</v>
      </c>
    </row>
    <row r="1275" spans="1:9" x14ac:dyDescent="0.25">
      <c r="A1275" t="s">
        <v>443</v>
      </c>
      <c r="B1275" s="16" t="str">
        <f>"69136"</f>
        <v>69136</v>
      </c>
      <c r="C1275" t="s">
        <v>11</v>
      </c>
      <c r="D1275" t="s">
        <v>445</v>
      </c>
      <c r="E1275" s="16" t="str">
        <f>"001"</f>
        <v>001</v>
      </c>
      <c r="F1275" s="16">
        <v>2016</v>
      </c>
      <c r="G1275" s="6">
        <v>976600</v>
      </c>
      <c r="H1275" s="6">
        <v>473900</v>
      </c>
      <c r="I1275" s="6">
        <v>502700</v>
      </c>
    </row>
    <row r="1276" spans="1:9" x14ac:dyDescent="0.25">
      <c r="A1276" t="s">
        <v>443</v>
      </c>
      <c r="B1276" s="16" t="str">
        <f>"69171"</f>
        <v>69171</v>
      </c>
      <c r="C1276" t="s">
        <v>11</v>
      </c>
      <c r="D1276" t="s">
        <v>446</v>
      </c>
      <c r="E1276" s="16" t="str">
        <f>"001"</f>
        <v>001</v>
      </c>
      <c r="F1276" s="16">
        <v>2015</v>
      </c>
      <c r="G1276" s="6">
        <v>4271200</v>
      </c>
      <c r="H1276" s="6">
        <v>1952900</v>
      </c>
      <c r="I1276" s="6">
        <v>2318300</v>
      </c>
    </row>
    <row r="1277" spans="1:9" x14ac:dyDescent="0.25">
      <c r="A1277" t="s">
        <v>443</v>
      </c>
      <c r="B1277" s="16" t="str">
        <f>"69176"</f>
        <v>69176</v>
      </c>
      <c r="C1277" t="s">
        <v>11</v>
      </c>
      <c r="D1277" t="s">
        <v>447</v>
      </c>
      <c r="E1277" s="16" t="str">
        <f>"001"</f>
        <v>001</v>
      </c>
      <c r="F1277" s="16">
        <v>1997</v>
      </c>
      <c r="G1277" s="6">
        <v>12987000</v>
      </c>
      <c r="H1277" s="6">
        <v>1459000</v>
      </c>
      <c r="I1277" s="6">
        <v>11528000</v>
      </c>
    </row>
    <row r="1278" spans="1:9" x14ac:dyDescent="0.25">
      <c r="A1278" t="s">
        <v>443</v>
      </c>
      <c r="B1278" s="16" t="str">
        <f>"69176"</f>
        <v>69176</v>
      </c>
      <c r="C1278" t="s">
        <v>11</v>
      </c>
      <c r="D1278" t="s">
        <v>447</v>
      </c>
      <c r="E1278" s="16" t="str">
        <f>"002"</f>
        <v>002</v>
      </c>
      <c r="F1278" s="16">
        <v>1997</v>
      </c>
      <c r="G1278" s="6">
        <v>463600</v>
      </c>
      <c r="H1278" s="6">
        <v>46200</v>
      </c>
      <c r="I1278" s="6">
        <v>417400</v>
      </c>
    </row>
    <row r="1279" spans="1:9" x14ac:dyDescent="0.25">
      <c r="A1279" t="s">
        <v>443</v>
      </c>
      <c r="B1279" s="16" t="str">
        <f>"69291"</f>
        <v>69291</v>
      </c>
      <c r="C1279" t="s">
        <v>10</v>
      </c>
      <c r="D1279" t="s">
        <v>448</v>
      </c>
      <c r="E1279" s="16" t="str">
        <f>"001"</f>
        <v>001</v>
      </c>
      <c r="F1279" s="16">
        <v>1995</v>
      </c>
      <c r="G1279" s="6">
        <v>30561700</v>
      </c>
      <c r="H1279" s="6">
        <v>4137900</v>
      </c>
      <c r="I1279" s="6">
        <v>26423800</v>
      </c>
    </row>
    <row r="1280" spans="1:9" x14ac:dyDescent="0.25">
      <c r="A1280" t="s">
        <v>443</v>
      </c>
      <c r="B1280" s="16" t="str">
        <f>"69191"</f>
        <v>69191</v>
      </c>
      <c r="C1280" t="s">
        <v>11</v>
      </c>
      <c r="D1280" t="s">
        <v>449</v>
      </c>
      <c r="E1280" s="16" t="str">
        <f>"002"</f>
        <v>002</v>
      </c>
      <c r="F1280" s="16">
        <v>2000</v>
      </c>
      <c r="G1280" s="6">
        <v>2371000</v>
      </c>
      <c r="H1280" s="6">
        <v>1005000</v>
      </c>
      <c r="I1280" s="6">
        <v>1366000</v>
      </c>
    </row>
    <row r="1281" spans="1:9" x14ac:dyDescent="0.25">
      <c r="A1281" t="s">
        <v>443</v>
      </c>
      <c r="B1281" s="16" t="str">
        <f>"69191"</f>
        <v>69191</v>
      </c>
      <c r="C1281" t="s">
        <v>11</v>
      </c>
      <c r="D1281" t="s">
        <v>449</v>
      </c>
      <c r="E1281" s="16" t="str">
        <f>"003"</f>
        <v>003</v>
      </c>
      <c r="F1281" s="16">
        <v>2006</v>
      </c>
      <c r="G1281" s="6">
        <v>2590000</v>
      </c>
      <c r="H1281" s="6">
        <v>835600</v>
      </c>
      <c r="I1281" s="6">
        <v>1754400</v>
      </c>
    </row>
    <row r="1282" spans="1:9" x14ac:dyDescent="0.25">
      <c r="A1282" t="s">
        <v>450</v>
      </c>
      <c r="B1282" s="16" t="str">
        <f>"70201"</f>
        <v>70201</v>
      </c>
      <c r="C1282" t="s">
        <v>10</v>
      </c>
      <c r="D1282" t="s">
        <v>50</v>
      </c>
      <c r="E1282" s="16" t="str">
        <f>"007"</f>
        <v>007</v>
      </c>
      <c r="F1282" s="16">
        <v>2007</v>
      </c>
      <c r="G1282" s="6">
        <v>40712900</v>
      </c>
      <c r="H1282" s="6">
        <v>25657000</v>
      </c>
      <c r="I1282" s="6">
        <v>15055900</v>
      </c>
    </row>
    <row r="1283" spans="1:9" x14ac:dyDescent="0.25">
      <c r="A1283" t="s">
        <v>450</v>
      </c>
      <c r="B1283" s="16" t="str">
        <f>"70006"</f>
        <v>70006</v>
      </c>
      <c r="C1283" t="s">
        <v>13</v>
      </c>
      <c r="D1283" t="s">
        <v>309</v>
      </c>
      <c r="E1283" s="16" t="str">
        <f>"001A"</f>
        <v>001A</v>
      </c>
      <c r="F1283" s="16">
        <v>2019</v>
      </c>
      <c r="G1283" s="6">
        <v>54566400</v>
      </c>
      <c r="H1283" s="6">
        <v>49721700</v>
      </c>
      <c r="I1283" s="6">
        <v>4844700</v>
      </c>
    </row>
    <row r="1284" spans="1:9" x14ac:dyDescent="0.25">
      <c r="A1284" t="s">
        <v>450</v>
      </c>
      <c r="B1284" s="16" t="str">
        <f>"70121"</f>
        <v>70121</v>
      </c>
      <c r="C1284" t="s">
        <v>11</v>
      </c>
      <c r="D1284" t="s">
        <v>451</v>
      </c>
      <c r="E1284" s="16" t="str">
        <f>"001"</f>
        <v>001</v>
      </c>
      <c r="F1284" s="16">
        <v>2015</v>
      </c>
      <c r="G1284" s="6">
        <v>33278000</v>
      </c>
      <c r="H1284" s="6">
        <v>2732300</v>
      </c>
      <c r="I1284" s="6">
        <v>30545700</v>
      </c>
    </row>
    <row r="1285" spans="1:9" x14ac:dyDescent="0.25">
      <c r="A1285" t="s">
        <v>450</v>
      </c>
      <c r="B1285" s="16" t="str">
        <f>"70121"</f>
        <v>70121</v>
      </c>
      <c r="C1285" t="s">
        <v>11</v>
      </c>
      <c r="D1285" t="s">
        <v>451</v>
      </c>
      <c r="E1285" s="16" t="str">
        <f>"002"</f>
        <v>002</v>
      </c>
      <c r="F1285" s="16">
        <v>2016</v>
      </c>
      <c r="G1285" s="6">
        <v>53533200</v>
      </c>
      <c r="H1285" s="6">
        <v>30949800</v>
      </c>
      <c r="I1285" s="6">
        <v>22583400</v>
      </c>
    </row>
    <row r="1286" spans="1:9" x14ac:dyDescent="0.25">
      <c r="A1286" t="s">
        <v>450</v>
      </c>
      <c r="B1286" s="16" t="str">
        <f>"70121"</f>
        <v>70121</v>
      </c>
      <c r="C1286" t="s">
        <v>11</v>
      </c>
      <c r="D1286" t="s">
        <v>451</v>
      </c>
      <c r="E1286" s="16" t="str">
        <f>"003"</f>
        <v>003</v>
      </c>
      <c r="F1286" s="16">
        <v>2017</v>
      </c>
      <c r="G1286" s="6">
        <v>67342000</v>
      </c>
      <c r="H1286" s="6">
        <v>20000</v>
      </c>
      <c r="I1286" s="6">
        <v>67322000</v>
      </c>
    </row>
    <row r="1287" spans="1:9" x14ac:dyDescent="0.25">
      <c r="A1287" t="s">
        <v>450</v>
      </c>
      <c r="B1287" s="16" t="str">
        <f>"70121"</f>
        <v>70121</v>
      </c>
      <c r="C1287" t="s">
        <v>11</v>
      </c>
      <c r="D1287" t="s">
        <v>451</v>
      </c>
      <c r="E1287" s="16" t="str">
        <f>"004"</f>
        <v>004</v>
      </c>
      <c r="F1287" s="16">
        <v>2018</v>
      </c>
      <c r="G1287" s="6">
        <v>899600</v>
      </c>
      <c r="H1287" s="6">
        <v>542900</v>
      </c>
      <c r="I1287" s="6">
        <v>356700</v>
      </c>
    </row>
    <row r="1288" spans="1:9" x14ac:dyDescent="0.25">
      <c r="A1288" t="s">
        <v>450</v>
      </c>
      <c r="B1288" s="16" t="str">
        <f t="shared" ref="B1288:B1294" si="51">"70251"</f>
        <v>70251</v>
      </c>
      <c r="C1288" t="s">
        <v>10</v>
      </c>
      <c r="D1288" t="s">
        <v>56</v>
      </c>
      <c r="E1288" s="16" t="str">
        <f>"004"</f>
        <v>004</v>
      </c>
      <c r="F1288" s="16">
        <v>1997</v>
      </c>
      <c r="G1288" s="6">
        <v>7264600</v>
      </c>
      <c r="H1288" s="6">
        <v>4196000</v>
      </c>
      <c r="I1288" s="6">
        <v>3068600</v>
      </c>
    </row>
    <row r="1289" spans="1:9" x14ac:dyDescent="0.25">
      <c r="A1289" t="s">
        <v>450</v>
      </c>
      <c r="B1289" s="16" t="str">
        <f t="shared" si="51"/>
        <v>70251</v>
      </c>
      <c r="C1289" t="s">
        <v>10</v>
      </c>
      <c r="D1289" t="s">
        <v>56</v>
      </c>
      <c r="E1289" s="16" t="str">
        <f>"007"</f>
        <v>007</v>
      </c>
      <c r="F1289" s="16">
        <v>2003</v>
      </c>
      <c r="G1289" s="6">
        <v>5507900</v>
      </c>
      <c r="H1289" s="6">
        <v>687300</v>
      </c>
      <c r="I1289" s="6">
        <v>4820600</v>
      </c>
    </row>
    <row r="1290" spans="1:9" x14ac:dyDescent="0.25">
      <c r="A1290" t="s">
        <v>450</v>
      </c>
      <c r="B1290" s="16" t="str">
        <f t="shared" si="51"/>
        <v>70251</v>
      </c>
      <c r="C1290" t="s">
        <v>10</v>
      </c>
      <c r="D1290" t="s">
        <v>56</v>
      </c>
      <c r="E1290" s="16" t="str">
        <f>"008"</f>
        <v>008</v>
      </c>
      <c r="F1290" s="16">
        <v>2005</v>
      </c>
      <c r="G1290" s="6">
        <v>3740100</v>
      </c>
      <c r="H1290" s="6">
        <v>484500</v>
      </c>
      <c r="I1290" s="6">
        <v>3255600</v>
      </c>
    </row>
    <row r="1291" spans="1:9" x14ac:dyDescent="0.25">
      <c r="A1291" t="s">
        <v>450</v>
      </c>
      <c r="B1291" s="16" t="str">
        <f t="shared" si="51"/>
        <v>70251</v>
      </c>
      <c r="C1291" t="s">
        <v>10</v>
      </c>
      <c r="D1291" t="s">
        <v>56</v>
      </c>
      <c r="E1291" s="16" t="str">
        <f>"010"</f>
        <v>010</v>
      </c>
      <c r="F1291" s="16">
        <v>2006</v>
      </c>
      <c r="G1291" s="6">
        <v>12353900</v>
      </c>
      <c r="H1291" s="6">
        <v>9701900</v>
      </c>
      <c r="I1291" s="6">
        <v>2652000</v>
      </c>
    </row>
    <row r="1292" spans="1:9" x14ac:dyDescent="0.25">
      <c r="A1292" t="s">
        <v>450</v>
      </c>
      <c r="B1292" s="16" t="str">
        <f t="shared" si="51"/>
        <v>70251</v>
      </c>
      <c r="C1292" t="s">
        <v>10</v>
      </c>
      <c r="D1292" t="s">
        <v>56</v>
      </c>
      <c r="E1292" s="16" t="str">
        <f>"011"</f>
        <v>011</v>
      </c>
      <c r="F1292" s="16">
        <v>2007</v>
      </c>
      <c r="G1292" s="6">
        <v>3297300</v>
      </c>
      <c r="H1292" s="6">
        <v>284900</v>
      </c>
      <c r="I1292" s="6">
        <v>3012400</v>
      </c>
    </row>
    <row r="1293" spans="1:9" x14ac:dyDescent="0.25">
      <c r="A1293" t="s">
        <v>450</v>
      </c>
      <c r="B1293" s="16" t="str">
        <f t="shared" si="51"/>
        <v>70251</v>
      </c>
      <c r="C1293" t="s">
        <v>10</v>
      </c>
      <c r="D1293" t="s">
        <v>56</v>
      </c>
      <c r="E1293" s="16" t="str">
        <f>"013"</f>
        <v>013</v>
      </c>
      <c r="F1293" s="16">
        <v>2015</v>
      </c>
      <c r="G1293" s="6">
        <v>15556900</v>
      </c>
      <c r="H1293" s="6">
        <v>248200</v>
      </c>
      <c r="I1293" s="6">
        <v>15308700</v>
      </c>
    </row>
    <row r="1294" spans="1:9" x14ac:dyDescent="0.25">
      <c r="A1294" t="s">
        <v>450</v>
      </c>
      <c r="B1294" s="16" t="str">
        <f t="shared" si="51"/>
        <v>70251</v>
      </c>
      <c r="C1294" t="s">
        <v>10</v>
      </c>
      <c r="D1294" t="s">
        <v>56</v>
      </c>
      <c r="E1294" s="16" t="str">
        <f>"014"</f>
        <v>014</v>
      </c>
      <c r="F1294" s="16">
        <v>2019</v>
      </c>
      <c r="G1294" s="6">
        <v>3103200</v>
      </c>
      <c r="H1294" s="6">
        <v>5936500</v>
      </c>
      <c r="I1294" s="6">
        <v>-2833300</v>
      </c>
    </row>
    <row r="1295" spans="1:9" x14ac:dyDescent="0.25">
      <c r="A1295" t="s">
        <v>450</v>
      </c>
      <c r="B1295" s="16" t="str">
        <f t="shared" ref="B1295:B1301" si="52">"70261"</f>
        <v>70261</v>
      </c>
      <c r="C1295" t="s">
        <v>10</v>
      </c>
      <c r="D1295" t="s">
        <v>452</v>
      </c>
      <c r="E1295" s="16" t="str">
        <f>"005"</f>
        <v>005</v>
      </c>
      <c r="F1295" s="16">
        <v>1993</v>
      </c>
      <c r="G1295" s="6">
        <v>27287500</v>
      </c>
      <c r="H1295" s="6">
        <v>13458200</v>
      </c>
      <c r="I1295" s="6">
        <v>13829300</v>
      </c>
    </row>
    <row r="1296" spans="1:9" x14ac:dyDescent="0.25">
      <c r="A1296" t="s">
        <v>450</v>
      </c>
      <c r="B1296" s="16" t="str">
        <f t="shared" si="52"/>
        <v>70261</v>
      </c>
      <c r="C1296" t="s">
        <v>10</v>
      </c>
      <c r="D1296" t="s">
        <v>452</v>
      </c>
      <c r="E1296" s="16" t="str">
        <f>"006"</f>
        <v>006</v>
      </c>
      <c r="F1296" s="16">
        <v>1997</v>
      </c>
      <c r="G1296" s="6">
        <v>31300600</v>
      </c>
      <c r="H1296" s="6">
        <v>2869600</v>
      </c>
      <c r="I1296" s="6">
        <v>28431000</v>
      </c>
    </row>
    <row r="1297" spans="1:9" x14ac:dyDescent="0.25">
      <c r="A1297" t="s">
        <v>450</v>
      </c>
      <c r="B1297" s="16" t="str">
        <f t="shared" si="52"/>
        <v>70261</v>
      </c>
      <c r="C1297" t="s">
        <v>10</v>
      </c>
      <c r="D1297" t="s">
        <v>452</v>
      </c>
      <c r="E1297" s="16" t="str">
        <f>"007"</f>
        <v>007</v>
      </c>
      <c r="F1297" s="16">
        <v>2000</v>
      </c>
      <c r="G1297" s="6">
        <v>144569300</v>
      </c>
      <c r="H1297" s="6">
        <v>39226900</v>
      </c>
      <c r="I1297" s="6">
        <v>105342400</v>
      </c>
    </row>
    <row r="1298" spans="1:9" x14ac:dyDescent="0.25">
      <c r="A1298" t="s">
        <v>450</v>
      </c>
      <c r="B1298" s="16" t="str">
        <f t="shared" si="52"/>
        <v>70261</v>
      </c>
      <c r="C1298" t="s">
        <v>10</v>
      </c>
      <c r="D1298" t="s">
        <v>452</v>
      </c>
      <c r="E1298" s="16" t="str">
        <f>"008"</f>
        <v>008</v>
      </c>
      <c r="F1298" s="16">
        <v>2001</v>
      </c>
      <c r="G1298" s="6">
        <v>75970100</v>
      </c>
      <c r="H1298" s="6">
        <v>14743600</v>
      </c>
      <c r="I1298" s="6">
        <v>61226500</v>
      </c>
    </row>
    <row r="1299" spans="1:9" x14ac:dyDescent="0.25">
      <c r="A1299" t="s">
        <v>450</v>
      </c>
      <c r="B1299" s="16" t="str">
        <f t="shared" si="52"/>
        <v>70261</v>
      </c>
      <c r="C1299" t="s">
        <v>10</v>
      </c>
      <c r="D1299" t="s">
        <v>452</v>
      </c>
      <c r="E1299" s="16" t="str">
        <f>"009"</f>
        <v>009</v>
      </c>
      <c r="F1299" s="16">
        <v>2015</v>
      </c>
      <c r="G1299" s="6">
        <v>25974900</v>
      </c>
      <c r="H1299" s="6">
        <v>15959100</v>
      </c>
      <c r="I1299" s="6">
        <v>10015800</v>
      </c>
    </row>
    <row r="1300" spans="1:9" x14ac:dyDescent="0.25">
      <c r="A1300" t="s">
        <v>450</v>
      </c>
      <c r="B1300" s="16" t="str">
        <f t="shared" si="52"/>
        <v>70261</v>
      </c>
      <c r="C1300" t="s">
        <v>10</v>
      </c>
      <c r="D1300" t="s">
        <v>452</v>
      </c>
      <c r="E1300" s="16" t="str">
        <f>"010"</f>
        <v>010</v>
      </c>
      <c r="F1300" s="16">
        <v>2015</v>
      </c>
      <c r="G1300" s="6">
        <v>19907700</v>
      </c>
      <c r="H1300" s="6">
        <v>3681600</v>
      </c>
      <c r="I1300" s="6">
        <v>16226100</v>
      </c>
    </row>
    <row r="1301" spans="1:9" x14ac:dyDescent="0.25">
      <c r="A1301" t="s">
        <v>450</v>
      </c>
      <c r="B1301" s="16" t="str">
        <f t="shared" si="52"/>
        <v>70261</v>
      </c>
      <c r="C1301" t="s">
        <v>10</v>
      </c>
      <c r="D1301" t="s">
        <v>452</v>
      </c>
      <c r="E1301" s="16" t="str">
        <f>"011"</f>
        <v>011</v>
      </c>
      <c r="F1301" s="16">
        <v>2017</v>
      </c>
      <c r="G1301" s="6">
        <v>16946500</v>
      </c>
      <c r="H1301" s="6">
        <v>117700</v>
      </c>
      <c r="I1301" s="6">
        <v>16828800</v>
      </c>
    </row>
    <row r="1302" spans="1:9" x14ac:dyDescent="0.25">
      <c r="A1302" t="s">
        <v>450</v>
      </c>
      <c r="B1302" s="16" t="str">
        <f>"70265"</f>
        <v>70265</v>
      </c>
      <c r="C1302" t="s">
        <v>10</v>
      </c>
      <c r="D1302" t="s">
        <v>453</v>
      </c>
      <c r="E1302" s="16" t="str">
        <f>"007"</f>
        <v>007</v>
      </c>
      <c r="F1302" s="16">
        <v>2017</v>
      </c>
      <c r="G1302" s="6">
        <v>8524800</v>
      </c>
      <c r="H1302" s="6">
        <v>4351700</v>
      </c>
      <c r="I1302" s="6">
        <v>4173100</v>
      </c>
    </row>
    <row r="1303" spans="1:9" x14ac:dyDescent="0.25">
      <c r="A1303" t="s">
        <v>450</v>
      </c>
      <c r="B1303" s="16" t="str">
        <f t="shared" ref="B1303:B1329" si="53">"70266"</f>
        <v>70266</v>
      </c>
      <c r="C1303" t="s">
        <v>10</v>
      </c>
      <c r="D1303" t="s">
        <v>454</v>
      </c>
      <c r="E1303" s="16" t="str">
        <f>"012"</f>
        <v>012</v>
      </c>
      <c r="F1303" s="16">
        <v>1997</v>
      </c>
      <c r="G1303" s="6">
        <v>7208400</v>
      </c>
      <c r="H1303" s="6">
        <v>1715400</v>
      </c>
      <c r="I1303" s="6">
        <v>5493000</v>
      </c>
    </row>
    <row r="1304" spans="1:9" x14ac:dyDescent="0.25">
      <c r="A1304" t="s">
        <v>450</v>
      </c>
      <c r="B1304" s="16" t="str">
        <f t="shared" si="53"/>
        <v>70266</v>
      </c>
      <c r="C1304" t="s">
        <v>10</v>
      </c>
      <c r="D1304" t="s">
        <v>454</v>
      </c>
      <c r="E1304" s="16" t="str">
        <f>"013"</f>
        <v>013</v>
      </c>
      <c r="F1304" s="16">
        <v>1998</v>
      </c>
      <c r="G1304" s="6">
        <v>17754500</v>
      </c>
      <c r="H1304" s="6">
        <v>5869100</v>
      </c>
      <c r="I1304" s="6">
        <v>11885400</v>
      </c>
    </row>
    <row r="1305" spans="1:9" x14ac:dyDescent="0.25">
      <c r="A1305" t="s">
        <v>450</v>
      </c>
      <c r="B1305" s="16" t="str">
        <f t="shared" si="53"/>
        <v>70266</v>
      </c>
      <c r="C1305" t="s">
        <v>10</v>
      </c>
      <c r="D1305" t="s">
        <v>454</v>
      </c>
      <c r="E1305" s="16" t="str">
        <f>"014"</f>
        <v>014</v>
      </c>
      <c r="F1305" s="16">
        <v>2000</v>
      </c>
      <c r="G1305" s="6">
        <v>22975300</v>
      </c>
      <c r="H1305" s="6">
        <v>558400</v>
      </c>
      <c r="I1305" s="6">
        <v>22416900</v>
      </c>
    </row>
    <row r="1306" spans="1:9" x14ac:dyDescent="0.25">
      <c r="A1306" t="s">
        <v>450</v>
      </c>
      <c r="B1306" s="16" t="str">
        <f t="shared" si="53"/>
        <v>70266</v>
      </c>
      <c r="C1306" t="s">
        <v>10</v>
      </c>
      <c r="D1306" t="s">
        <v>454</v>
      </c>
      <c r="E1306" s="16" t="str">
        <f>"015"</f>
        <v>015</v>
      </c>
      <c r="F1306" s="16">
        <v>2001</v>
      </c>
      <c r="G1306" s="6">
        <v>9159900</v>
      </c>
      <c r="H1306" s="6">
        <v>564900</v>
      </c>
      <c r="I1306" s="6">
        <v>8595000</v>
      </c>
    </row>
    <row r="1307" spans="1:9" x14ac:dyDescent="0.25">
      <c r="A1307" t="s">
        <v>450</v>
      </c>
      <c r="B1307" s="16" t="str">
        <f t="shared" si="53"/>
        <v>70266</v>
      </c>
      <c r="C1307" t="s">
        <v>10</v>
      </c>
      <c r="D1307" t="s">
        <v>454</v>
      </c>
      <c r="E1307" s="16" t="str">
        <f>"016"</f>
        <v>016</v>
      </c>
      <c r="F1307" s="16">
        <v>2001</v>
      </c>
      <c r="G1307" s="6">
        <v>5692000</v>
      </c>
      <c r="H1307" s="6">
        <v>0</v>
      </c>
      <c r="I1307" s="6">
        <v>5692000</v>
      </c>
    </row>
    <row r="1308" spans="1:9" x14ac:dyDescent="0.25">
      <c r="A1308" t="s">
        <v>450</v>
      </c>
      <c r="B1308" s="16" t="str">
        <f t="shared" si="53"/>
        <v>70266</v>
      </c>
      <c r="C1308" t="s">
        <v>10</v>
      </c>
      <c r="D1308" t="s">
        <v>454</v>
      </c>
      <c r="E1308" s="16" t="str">
        <f>"017"</f>
        <v>017</v>
      </c>
      <c r="F1308" s="16">
        <v>2001</v>
      </c>
      <c r="G1308" s="6">
        <v>14169800</v>
      </c>
      <c r="H1308" s="6">
        <v>2210600</v>
      </c>
      <c r="I1308" s="6">
        <v>11959200</v>
      </c>
    </row>
    <row r="1309" spans="1:9" x14ac:dyDescent="0.25">
      <c r="A1309" t="s">
        <v>450</v>
      </c>
      <c r="B1309" s="16" t="str">
        <f t="shared" si="53"/>
        <v>70266</v>
      </c>
      <c r="C1309" t="s">
        <v>10</v>
      </c>
      <c r="D1309" t="s">
        <v>454</v>
      </c>
      <c r="E1309" s="16" t="str">
        <f>"018"</f>
        <v>018</v>
      </c>
      <c r="F1309" s="16">
        <v>2002</v>
      </c>
      <c r="G1309" s="6">
        <v>21501600</v>
      </c>
      <c r="H1309" s="6">
        <v>51300</v>
      </c>
      <c r="I1309" s="6">
        <v>21450300</v>
      </c>
    </row>
    <row r="1310" spans="1:9" x14ac:dyDescent="0.25">
      <c r="A1310" t="s">
        <v>450</v>
      </c>
      <c r="B1310" s="16" t="str">
        <f t="shared" si="53"/>
        <v>70266</v>
      </c>
      <c r="C1310" t="s">
        <v>10</v>
      </c>
      <c r="D1310" t="s">
        <v>454</v>
      </c>
      <c r="E1310" s="16" t="str">
        <f>"019"</f>
        <v>019</v>
      </c>
      <c r="F1310" s="16">
        <v>2003</v>
      </c>
      <c r="G1310" s="6">
        <v>10627200</v>
      </c>
      <c r="H1310" s="6">
        <v>104200</v>
      </c>
      <c r="I1310" s="6">
        <v>10523000</v>
      </c>
    </row>
    <row r="1311" spans="1:9" x14ac:dyDescent="0.25">
      <c r="A1311" t="s">
        <v>450</v>
      </c>
      <c r="B1311" s="16" t="str">
        <f t="shared" si="53"/>
        <v>70266</v>
      </c>
      <c r="C1311" t="s">
        <v>10</v>
      </c>
      <c r="D1311" t="s">
        <v>454</v>
      </c>
      <c r="E1311" s="16" t="str">
        <f>"020"</f>
        <v>020</v>
      </c>
      <c r="F1311" s="16">
        <v>2005</v>
      </c>
      <c r="G1311" s="6">
        <v>15821700</v>
      </c>
      <c r="H1311" s="6">
        <v>20815500</v>
      </c>
      <c r="I1311" s="6">
        <v>-4993800</v>
      </c>
    </row>
    <row r="1312" spans="1:9" x14ac:dyDescent="0.25">
      <c r="A1312" t="s">
        <v>450</v>
      </c>
      <c r="B1312" s="16" t="str">
        <f t="shared" si="53"/>
        <v>70266</v>
      </c>
      <c r="C1312" t="s">
        <v>10</v>
      </c>
      <c r="D1312" t="s">
        <v>454</v>
      </c>
      <c r="E1312" s="16" t="str">
        <f>"021"</f>
        <v>021</v>
      </c>
      <c r="F1312" s="16">
        <v>2006</v>
      </c>
      <c r="G1312" s="6">
        <v>21329700</v>
      </c>
      <c r="H1312" s="6">
        <v>1954900</v>
      </c>
      <c r="I1312" s="6">
        <v>19374800</v>
      </c>
    </row>
    <row r="1313" spans="1:9" x14ac:dyDescent="0.25">
      <c r="A1313" t="s">
        <v>450</v>
      </c>
      <c r="B1313" s="16" t="str">
        <f t="shared" si="53"/>
        <v>70266</v>
      </c>
      <c r="C1313" t="s">
        <v>10</v>
      </c>
      <c r="D1313" t="s">
        <v>454</v>
      </c>
      <c r="E1313" s="16" t="str">
        <f>"023"</f>
        <v>023</v>
      </c>
      <c r="F1313" s="16">
        <v>2009</v>
      </c>
      <c r="G1313" s="6">
        <v>1071700</v>
      </c>
      <c r="H1313" s="6">
        <v>233700</v>
      </c>
      <c r="I1313" s="6">
        <v>838000</v>
      </c>
    </row>
    <row r="1314" spans="1:9" x14ac:dyDescent="0.25">
      <c r="A1314" t="s">
        <v>450</v>
      </c>
      <c r="B1314" s="16" t="str">
        <f t="shared" si="53"/>
        <v>70266</v>
      </c>
      <c r="C1314" t="s">
        <v>10</v>
      </c>
      <c r="D1314" t="s">
        <v>454</v>
      </c>
      <c r="E1314" s="16" t="str">
        <f>"024"</f>
        <v>024</v>
      </c>
      <c r="F1314" s="16">
        <v>2010</v>
      </c>
      <c r="G1314" s="6">
        <v>18379000</v>
      </c>
      <c r="H1314" s="6">
        <v>8464900</v>
      </c>
      <c r="I1314" s="6">
        <v>9914100</v>
      </c>
    </row>
    <row r="1315" spans="1:9" x14ac:dyDescent="0.25">
      <c r="A1315" t="s">
        <v>450</v>
      </c>
      <c r="B1315" s="16" t="str">
        <f t="shared" si="53"/>
        <v>70266</v>
      </c>
      <c r="C1315" t="s">
        <v>10</v>
      </c>
      <c r="D1315" t="s">
        <v>454</v>
      </c>
      <c r="E1315" s="16" t="str">
        <f>"025"</f>
        <v>025</v>
      </c>
      <c r="F1315" s="16">
        <v>2012</v>
      </c>
      <c r="G1315" s="6">
        <v>11859400</v>
      </c>
      <c r="H1315" s="6">
        <v>1050800</v>
      </c>
      <c r="I1315" s="6">
        <v>10808600</v>
      </c>
    </row>
    <row r="1316" spans="1:9" x14ac:dyDescent="0.25">
      <c r="A1316" t="s">
        <v>450</v>
      </c>
      <c r="B1316" s="16" t="str">
        <f t="shared" si="53"/>
        <v>70266</v>
      </c>
      <c r="C1316" t="s">
        <v>10</v>
      </c>
      <c r="D1316" t="s">
        <v>454</v>
      </c>
      <c r="E1316" s="16" t="str">
        <f>"026"</f>
        <v>026</v>
      </c>
      <c r="F1316" s="16">
        <v>2013</v>
      </c>
      <c r="G1316" s="6">
        <v>0</v>
      </c>
      <c r="H1316" s="6">
        <v>29400</v>
      </c>
      <c r="I1316" s="6">
        <v>-29400</v>
      </c>
    </row>
    <row r="1317" spans="1:9" x14ac:dyDescent="0.25">
      <c r="A1317" t="s">
        <v>450</v>
      </c>
      <c r="B1317" s="16" t="str">
        <f t="shared" si="53"/>
        <v>70266</v>
      </c>
      <c r="C1317" t="s">
        <v>10</v>
      </c>
      <c r="D1317" t="s">
        <v>454</v>
      </c>
      <c r="E1317" s="16" t="str">
        <f>"027"</f>
        <v>027</v>
      </c>
      <c r="F1317" s="16">
        <v>2014</v>
      </c>
      <c r="G1317" s="6">
        <v>67253600</v>
      </c>
      <c r="H1317" s="6">
        <v>58230300</v>
      </c>
      <c r="I1317" s="6">
        <v>9023300</v>
      </c>
    </row>
    <row r="1318" spans="1:9" x14ac:dyDescent="0.25">
      <c r="A1318" t="s">
        <v>450</v>
      </c>
      <c r="B1318" s="16" t="str">
        <f t="shared" si="53"/>
        <v>70266</v>
      </c>
      <c r="C1318" t="s">
        <v>10</v>
      </c>
      <c r="D1318" t="s">
        <v>454</v>
      </c>
      <c r="E1318" s="16" t="str">
        <f>"028"</f>
        <v>028</v>
      </c>
      <c r="F1318" s="16">
        <v>2016</v>
      </c>
      <c r="G1318" s="6">
        <v>2669000</v>
      </c>
      <c r="H1318" s="6">
        <v>575700</v>
      </c>
      <c r="I1318" s="6">
        <v>2093300</v>
      </c>
    </row>
    <row r="1319" spans="1:9" x14ac:dyDescent="0.25">
      <c r="A1319" t="s">
        <v>450</v>
      </c>
      <c r="B1319" s="16" t="str">
        <f t="shared" si="53"/>
        <v>70266</v>
      </c>
      <c r="C1319" t="s">
        <v>10</v>
      </c>
      <c r="D1319" t="s">
        <v>454</v>
      </c>
      <c r="E1319" s="16" t="str">
        <f>"029"</f>
        <v>029</v>
      </c>
      <c r="F1319" s="16">
        <v>2016</v>
      </c>
      <c r="G1319" s="6">
        <v>1657700</v>
      </c>
      <c r="H1319" s="6">
        <v>1268100</v>
      </c>
      <c r="I1319" s="6">
        <v>389600</v>
      </c>
    </row>
    <row r="1320" spans="1:9" x14ac:dyDescent="0.25">
      <c r="A1320" t="s">
        <v>450</v>
      </c>
      <c r="B1320" s="16" t="str">
        <f t="shared" si="53"/>
        <v>70266</v>
      </c>
      <c r="C1320" t="s">
        <v>10</v>
      </c>
      <c r="D1320" t="s">
        <v>454</v>
      </c>
      <c r="E1320" s="16" t="str">
        <f>"030"</f>
        <v>030</v>
      </c>
      <c r="F1320" s="16">
        <v>2016</v>
      </c>
      <c r="G1320" s="6">
        <v>2643600</v>
      </c>
      <c r="H1320" s="6">
        <v>570500</v>
      </c>
      <c r="I1320" s="6">
        <v>2073100</v>
      </c>
    </row>
    <row r="1321" spans="1:9" x14ac:dyDescent="0.25">
      <c r="A1321" t="s">
        <v>450</v>
      </c>
      <c r="B1321" s="16" t="str">
        <f t="shared" si="53"/>
        <v>70266</v>
      </c>
      <c r="C1321" t="s">
        <v>10</v>
      </c>
      <c r="D1321" t="s">
        <v>454</v>
      </c>
      <c r="E1321" s="16" t="str">
        <f>"031"</f>
        <v>031</v>
      </c>
      <c r="F1321" s="16">
        <v>2017</v>
      </c>
      <c r="G1321" s="6">
        <v>21577700</v>
      </c>
      <c r="H1321" s="6">
        <v>143600</v>
      </c>
      <c r="I1321" s="6">
        <v>21434100</v>
      </c>
    </row>
    <row r="1322" spans="1:9" x14ac:dyDescent="0.25">
      <c r="A1322" t="s">
        <v>450</v>
      </c>
      <c r="B1322" s="16" t="str">
        <f t="shared" si="53"/>
        <v>70266</v>
      </c>
      <c r="C1322" t="s">
        <v>10</v>
      </c>
      <c r="D1322" t="s">
        <v>454</v>
      </c>
      <c r="E1322" s="16" t="str">
        <f>"032"</f>
        <v>032</v>
      </c>
      <c r="F1322" s="16">
        <v>2017</v>
      </c>
      <c r="G1322" s="6">
        <v>699200</v>
      </c>
      <c r="H1322" s="6">
        <v>115900</v>
      </c>
      <c r="I1322" s="6">
        <v>583300</v>
      </c>
    </row>
    <row r="1323" spans="1:9" x14ac:dyDescent="0.25">
      <c r="A1323" t="s">
        <v>450</v>
      </c>
      <c r="B1323" s="16" t="str">
        <f t="shared" si="53"/>
        <v>70266</v>
      </c>
      <c r="C1323" t="s">
        <v>10</v>
      </c>
      <c r="D1323" t="s">
        <v>454</v>
      </c>
      <c r="E1323" s="16" t="str">
        <f>"033"</f>
        <v>033</v>
      </c>
      <c r="F1323" s="16">
        <v>2017</v>
      </c>
      <c r="G1323" s="6">
        <v>12726700</v>
      </c>
      <c r="H1323" s="6">
        <v>746100</v>
      </c>
      <c r="I1323" s="6">
        <v>11980600</v>
      </c>
    </row>
    <row r="1324" spans="1:9" x14ac:dyDescent="0.25">
      <c r="A1324" t="s">
        <v>450</v>
      </c>
      <c r="B1324" s="16" t="str">
        <f t="shared" si="53"/>
        <v>70266</v>
      </c>
      <c r="C1324" t="s">
        <v>10</v>
      </c>
      <c r="D1324" t="s">
        <v>454</v>
      </c>
      <c r="E1324" s="16" t="str">
        <f>"034"</f>
        <v>034</v>
      </c>
      <c r="F1324" s="16">
        <v>2018</v>
      </c>
      <c r="G1324" s="6">
        <v>44958000</v>
      </c>
      <c r="H1324" s="6">
        <v>0</v>
      </c>
      <c r="I1324" s="6">
        <v>44958000</v>
      </c>
    </row>
    <row r="1325" spans="1:9" x14ac:dyDescent="0.25">
      <c r="A1325" t="s">
        <v>450</v>
      </c>
      <c r="B1325" s="16" t="str">
        <f t="shared" si="53"/>
        <v>70266</v>
      </c>
      <c r="C1325" t="s">
        <v>10</v>
      </c>
      <c r="D1325" t="s">
        <v>454</v>
      </c>
      <c r="E1325" s="16" t="str">
        <f>"035"</f>
        <v>035</v>
      </c>
      <c r="F1325" s="16">
        <v>2018</v>
      </c>
      <c r="G1325" s="6">
        <v>28236600</v>
      </c>
      <c r="H1325" s="6">
        <v>15645000</v>
      </c>
      <c r="I1325" s="6">
        <v>12591600</v>
      </c>
    </row>
    <row r="1326" spans="1:9" x14ac:dyDescent="0.25">
      <c r="A1326" t="s">
        <v>450</v>
      </c>
      <c r="B1326" s="16" t="str">
        <f t="shared" si="53"/>
        <v>70266</v>
      </c>
      <c r="C1326" t="s">
        <v>10</v>
      </c>
      <c r="D1326" t="s">
        <v>454</v>
      </c>
      <c r="E1326" s="16" t="str">
        <f>"036"</f>
        <v>036</v>
      </c>
      <c r="F1326" s="16">
        <v>2019</v>
      </c>
      <c r="G1326" s="6">
        <v>5007700</v>
      </c>
      <c r="H1326" s="6">
        <v>0</v>
      </c>
      <c r="I1326" s="6">
        <v>5007700</v>
      </c>
    </row>
    <row r="1327" spans="1:9" x14ac:dyDescent="0.25">
      <c r="A1327" t="s">
        <v>450</v>
      </c>
      <c r="B1327" s="16" t="str">
        <f t="shared" si="53"/>
        <v>70266</v>
      </c>
      <c r="C1327" t="s">
        <v>10</v>
      </c>
      <c r="D1327" t="s">
        <v>454</v>
      </c>
      <c r="E1327" s="16" t="str">
        <f>"037"</f>
        <v>037</v>
      </c>
      <c r="F1327" s="16">
        <v>2019</v>
      </c>
      <c r="G1327" s="6">
        <v>15489900</v>
      </c>
      <c r="H1327" s="6">
        <v>6810700</v>
      </c>
      <c r="I1327" s="6">
        <v>8679200</v>
      </c>
    </row>
    <row r="1328" spans="1:9" x14ac:dyDescent="0.25">
      <c r="A1328" t="s">
        <v>450</v>
      </c>
      <c r="B1328" s="16" t="str">
        <f t="shared" si="53"/>
        <v>70266</v>
      </c>
      <c r="C1328" t="s">
        <v>10</v>
      </c>
      <c r="D1328" t="s">
        <v>454</v>
      </c>
      <c r="E1328" s="16" t="str">
        <f>"038"</f>
        <v>038</v>
      </c>
      <c r="F1328" s="16">
        <v>2019</v>
      </c>
      <c r="G1328" s="6">
        <v>2345400</v>
      </c>
      <c r="H1328" s="6">
        <v>2176700</v>
      </c>
      <c r="I1328" s="6">
        <v>168700</v>
      </c>
    </row>
    <row r="1329" spans="1:9" x14ac:dyDescent="0.25">
      <c r="A1329" t="s">
        <v>450</v>
      </c>
      <c r="B1329" s="16" t="str">
        <f t="shared" si="53"/>
        <v>70266</v>
      </c>
      <c r="C1329" t="s">
        <v>10</v>
      </c>
      <c r="D1329" t="s">
        <v>454</v>
      </c>
      <c r="E1329" s="16" t="str">
        <f>"039"</f>
        <v>039</v>
      </c>
      <c r="F1329" s="16">
        <v>2020</v>
      </c>
      <c r="G1329" s="6">
        <v>476400</v>
      </c>
      <c r="H1329" s="6">
        <v>0</v>
      </c>
      <c r="I1329" s="6">
        <v>476400</v>
      </c>
    </row>
    <row r="1330" spans="1:9" x14ac:dyDescent="0.25">
      <c r="A1330" t="s">
        <v>450</v>
      </c>
      <c r="B1330" s="16" t="str">
        <f>"70191"</f>
        <v>70191</v>
      </c>
      <c r="C1330" t="s">
        <v>11</v>
      </c>
      <c r="D1330" t="s">
        <v>455</v>
      </c>
      <c r="E1330" s="16" t="str">
        <f>"003"</f>
        <v>003</v>
      </c>
      <c r="F1330" s="16">
        <v>1996</v>
      </c>
      <c r="G1330" s="6">
        <v>6700500</v>
      </c>
      <c r="H1330" s="6">
        <v>4646300</v>
      </c>
      <c r="I1330" s="6">
        <v>2054200</v>
      </c>
    </row>
    <row r="1331" spans="1:9" x14ac:dyDescent="0.25">
      <c r="A1331" t="s">
        <v>450</v>
      </c>
      <c r="B1331" s="16" t="str">
        <f>"70191"</f>
        <v>70191</v>
      </c>
      <c r="C1331" t="s">
        <v>11</v>
      </c>
      <c r="D1331" t="s">
        <v>455</v>
      </c>
      <c r="E1331" s="16" t="str">
        <f>"005"</f>
        <v>005</v>
      </c>
      <c r="F1331" s="16">
        <v>2000</v>
      </c>
      <c r="G1331" s="6">
        <v>14346200</v>
      </c>
      <c r="H1331" s="6">
        <v>4751600</v>
      </c>
      <c r="I1331" s="6">
        <v>9594600</v>
      </c>
    </row>
    <row r="1332" spans="1:9" x14ac:dyDescent="0.25">
      <c r="A1332" t="s">
        <v>450</v>
      </c>
      <c r="B1332" s="16" t="str">
        <f>"70191"</f>
        <v>70191</v>
      </c>
      <c r="C1332" t="s">
        <v>11</v>
      </c>
      <c r="D1332" t="s">
        <v>455</v>
      </c>
      <c r="E1332" s="16" t="str">
        <f>"006"</f>
        <v>006</v>
      </c>
      <c r="F1332" s="16">
        <v>2000</v>
      </c>
      <c r="G1332" s="6">
        <v>5589400</v>
      </c>
      <c r="H1332" s="6">
        <v>829500</v>
      </c>
      <c r="I1332" s="6">
        <v>4759900</v>
      </c>
    </row>
    <row r="1333" spans="1:9" x14ac:dyDescent="0.25">
      <c r="A1333" t="s">
        <v>450</v>
      </c>
      <c r="B1333" s="16" t="str">
        <f>"70191"</f>
        <v>70191</v>
      </c>
      <c r="C1333" t="s">
        <v>11</v>
      </c>
      <c r="D1333" t="s">
        <v>455</v>
      </c>
      <c r="E1333" s="16" t="str">
        <f>"007"</f>
        <v>007</v>
      </c>
      <c r="F1333" s="16">
        <v>2002</v>
      </c>
      <c r="G1333" s="6">
        <v>9086700</v>
      </c>
      <c r="H1333" s="6">
        <v>2070300</v>
      </c>
      <c r="I1333" s="6">
        <v>7016400</v>
      </c>
    </row>
    <row r="1334" spans="1:9" x14ac:dyDescent="0.25">
      <c r="A1334" t="s">
        <v>450</v>
      </c>
      <c r="B1334" s="16" t="str">
        <f>"70191"</f>
        <v>70191</v>
      </c>
      <c r="C1334" t="s">
        <v>11</v>
      </c>
      <c r="D1334" t="s">
        <v>455</v>
      </c>
      <c r="E1334" s="16" t="str">
        <f>"008"</f>
        <v>008</v>
      </c>
      <c r="F1334" s="16">
        <v>2011</v>
      </c>
      <c r="G1334" s="6">
        <v>2117900</v>
      </c>
      <c r="H1334" s="6">
        <v>0</v>
      </c>
      <c r="I1334" s="6">
        <v>2117900</v>
      </c>
    </row>
    <row r="1335" spans="1:9" x14ac:dyDescent="0.25">
      <c r="A1335" t="s">
        <v>456</v>
      </c>
      <c r="B1335" s="16" t="str">
        <f>"71101"</f>
        <v>71101</v>
      </c>
      <c r="C1335" t="s">
        <v>11</v>
      </c>
      <c r="D1335" t="s">
        <v>457</v>
      </c>
      <c r="E1335" s="16" t="str">
        <f>"001"</f>
        <v>001</v>
      </c>
      <c r="F1335" s="16">
        <v>2006</v>
      </c>
      <c r="G1335" s="6">
        <v>4062700</v>
      </c>
      <c r="H1335" s="6">
        <v>2073000</v>
      </c>
      <c r="I1335" s="6">
        <v>1989700</v>
      </c>
    </row>
    <row r="1336" spans="1:9" x14ac:dyDescent="0.25">
      <c r="A1336" t="s">
        <v>456</v>
      </c>
      <c r="B1336" s="16" t="str">
        <f>"71101"</f>
        <v>71101</v>
      </c>
      <c r="C1336" t="s">
        <v>11</v>
      </c>
      <c r="D1336" t="s">
        <v>457</v>
      </c>
      <c r="E1336" s="16" t="str">
        <f>"002"</f>
        <v>002</v>
      </c>
      <c r="F1336" s="16">
        <v>2015</v>
      </c>
      <c r="G1336" s="6">
        <v>3502700</v>
      </c>
      <c r="H1336" s="6">
        <v>1800400</v>
      </c>
      <c r="I1336" s="6">
        <v>1702300</v>
      </c>
    </row>
    <row r="1337" spans="1:9" x14ac:dyDescent="0.25">
      <c r="A1337" t="s">
        <v>456</v>
      </c>
      <c r="B1337" s="16" t="str">
        <f>"71106"</f>
        <v>71106</v>
      </c>
      <c r="C1337" t="s">
        <v>11</v>
      </c>
      <c r="D1337" t="s">
        <v>458</v>
      </c>
      <c r="E1337" s="16" t="str">
        <f>"001"</f>
        <v>001</v>
      </c>
      <c r="F1337" s="16">
        <v>2006</v>
      </c>
      <c r="G1337" s="6">
        <v>4915600</v>
      </c>
      <c r="H1337" s="6">
        <v>3500700</v>
      </c>
      <c r="I1337" s="6">
        <v>1414900</v>
      </c>
    </row>
    <row r="1338" spans="1:9" x14ac:dyDescent="0.25">
      <c r="A1338" t="s">
        <v>456</v>
      </c>
      <c r="B1338" s="16" t="str">
        <f>"71106"</f>
        <v>71106</v>
      </c>
      <c r="C1338" t="s">
        <v>11</v>
      </c>
      <c r="D1338" t="s">
        <v>458</v>
      </c>
      <c r="E1338" s="16" t="str">
        <f>"002"</f>
        <v>002</v>
      </c>
      <c r="F1338" s="16">
        <v>2006</v>
      </c>
      <c r="G1338" s="6">
        <v>38256400</v>
      </c>
      <c r="H1338" s="6">
        <v>5111000</v>
      </c>
      <c r="I1338" s="6">
        <v>33145400</v>
      </c>
    </row>
    <row r="1339" spans="1:9" x14ac:dyDescent="0.25">
      <c r="A1339" t="s">
        <v>456</v>
      </c>
      <c r="B1339" s="16" t="str">
        <f>"71106"</f>
        <v>71106</v>
      </c>
      <c r="C1339" t="s">
        <v>11</v>
      </c>
      <c r="D1339" t="s">
        <v>458</v>
      </c>
      <c r="E1339" s="16" t="str">
        <f>"003"</f>
        <v>003</v>
      </c>
      <c r="F1339" s="16">
        <v>2009</v>
      </c>
      <c r="G1339" s="6">
        <v>12479300</v>
      </c>
      <c r="H1339" s="6">
        <v>3897200</v>
      </c>
      <c r="I1339" s="6">
        <v>8582100</v>
      </c>
    </row>
    <row r="1340" spans="1:9" x14ac:dyDescent="0.25">
      <c r="A1340" t="s">
        <v>456</v>
      </c>
      <c r="B1340" s="16" t="str">
        <f t="shared" ref="B1340:B1345" si="54">"71251"</f>
        <v>71251</v>
      </c>
      <c r="C1340" t="s">
        <v>10</v>
      </c>
      <c r="D1340" t="s">
        <v>459</v>
      </c>
      <c r="E1340" s="16" t="str">
        <f>"004"</f>
        <v>004</v>
      </c>
      <c r="F1340" s="16">
        <v>1996</v>
      </c>
      <c r="G1340" s="6">
        <v>75670500</v>
      </c>
      <c r="H1340" s="6">
        <v>37757800</v>
      </c>
      <c r="I1340" s="6">
        <v>37912700</v>
      </c>
    </row>
    <row r="1341" spans="1:9" x14ac:dyDescent="0.25">
      <c r="A1341" t="s">
        <v>456</v>
      </c>
      <c r="B1341" s="16" t="str">
        <f t="shared" si="54"/>
        <v>71251</v>
      </c>
      <c r="C1341" t="s">
        <v>10</v>
      </c>
      <c r="D1341" t="s">
        <v>459</v>
      </c>
      <c r="E1341" s="16" t="str">
        <f>"005"</f>
        <v>005</v>
      </c>
      <c r="F1341" s="16">
        <v>1997</v>
      </c>
      <c r="G1341" s="6">
        <v>25896900</v>
      </c>
      <c r="H1341" s="6">
        <v>299500</v>
      </c>
      <c r="I1341" s="6">
        <v>25597400</v>
      </c>
    </row>
    <row r="1342" spans="1:9" x14ac:dyDescent="0.25">
      <c r="A1342" t="s">
        <v>456</v>
      </c>
      <c r="B1342" s="16" t="str">
        <f t="shared" si="54"/>
        <v>71251</v>
      </c>
      <c r="C1342" t="s">
        <v>10</v>
      </c>
      <c r="D1342" t="s">
        <v>459</v>
      </c>
      <c r="E1342" s="16" t="str">
        <f>"007"</f>
        <v>007</v>
      </c>
      <c r="F1342" s="16">
        <v>2001</v>
      </c>
      <c r="G1342" s="6">
        <v>39077000</v>
      </c>
      <c r="H1342" s="6">
        <v>2411300</v>
      </c>
      <c r="I1342" s="6">
        <v>36665700</v>
      </c>
    </row>
    <row r="1343" spans="1:9" x14ac:dyDescent="0.25">
      <c r="A1343" t="s">
        <v>456</v>
      </c>
      <c r="B1343" s="16" t="str">
        <f t="shared" si="54"/>
        <v>71251</v>
      </c>
      <c r="C1343" t="s">
        <v>10</v>
      </c>
      <c r="D1343" t="s">
        <v>459</v>
      </c>
      <c r="E1343" s="16" t="str">
        <f>"009"</f>
        <v>009</v>
      </c>
      <c r="F1343" s="16">
        <v>2013</v>
      </c>
      <c r="G1343" s="6">
        <v>19049900</v>
      </c>
      <c r="H1343" s="6">
        <v>1484800</v>
      </c>
      <c r="I1343" s="6">
        <v>17565100</v>
      </c>
    </row>
    <row r="1344" spans="1:9" x14ac:dyDescent="0.25">
      <c r="A1344" t="s">
        <v>456</v>
      </c>
      <c r="B1344" s="16" t="str">
        <f t="shared" si="54"/>
        <v>71251</v>
      </c>
      <c r="C1344" t="s">
        <v>10</v>
      </c>
      <c r="D1344" t="s">
        <v>459</v>
      </c>
      <c r="E1344" s="16" t="str">
        <f>"010"</f>
        <v>010</v>
      </c>
      <c r="F1344" s="16">
        <v>2015</v>
      </c>
      <c r="G1344" s="6">
        <v>20698700</v>
      </c>
      <c r="H1344" s="6">
        <v>16534500</v>
      </c>
      <c r="I1344" s="6">
        <v>4164200</v>
      </c>
    </row>
    <row r="1345" spans="1:9" x14ac:dyDescent="0.25">
      <c r="A1345" t="s">
        <v>456</v>
      </c>
      <c r="B1345" s="16" t="str">
        <f t="shared" si="54"/>
        <v>71251</v>
      </c>
      <c r="C1345" t="s">
        <v>10</v>
      </c>
      <c r="D1345" t="s">
        <v>459</v>
      </c>
      <c r="E1345" s="16" t="str">
        <f>"011"</f>
        <v>011</v>
      </c>
      <c r="F1345" s="16">
        <v>2016</v>
      </c>
      <c r="G1345" s="6">
        <v>4354400</v>
      </c>
      <c r="H1345" s="6">
        <v>543500</v>
      </c>
      <c r="I1345" s="6">
        <v>3810900</v>
      </c>
    </row>
    <row r="1346" spans="1:9" x14ac:dyDescent="0.25">
      <c r="A1346" t="s">
        <v>456</v>
      </c>
      <c r="B1346" s="16" t="str">
        <f>"71261"</f>
        <v>71261</v>
      </c>
      <c r="C1346" t="s">
        <v>10</v>
      </c>
      <c r="D1346" t="s">
        <v>460</v>
      </c>
      <c r="E1346" s="16" t="str">
        <f>"001"</f>
        <v>001</v>
      </c>
      <c r="F1346" s="16">
        <v>1997</v>
      </c>
      <c r="G1346" s="6">
        <v>17463000</v>
      </c>
      <c r="H1346" s="6">
        <v>10523600</v>
      </c>
      <c r="I1346" s="6">
        <v>6939400</v>
      </c>
    </row>
    <row r="1347" spans="1:9" x14ac:dyDescent="0.25">
      <c r="A1347" t="s">
        <v>456</v>
      </c>
      <c r="B1347" s="16" t="str">
        <f>"71261"</f>
        <v>71261</v>
      </c>
      <c r="C1347" t="s">
        <v>10</v>
      </c>
      <c r="D1347" t="s">
        <v>460</v>
      </c>
      <c r="E1347" s="16" t="str">
        <f>"002"</f>
        <v>002</v>
      </c>
      <c r="F1347" s="16">
        <v>2002</v>
      </c>
      <c r="G1347" s="6">
        <v>5848400</v>
      </c>
      <c r="H1347" s="6">
        <v>609300</v>
      </c>
      <c r="I1347" s="6">
        <v>5239100</v>
      </c>
    </row>
    <row r="1348" spans="1:9" x14ac:dyDescent="0.25">
      <c r="A1348" t="s">
        <v>456</v>
      </c>
      <c r="B1348" s="16" t="str">
        <f>"71261"</f>
        <v>71261</v>
      </c>
      <c r="C1348" t="s">
        <v>10</v>
      </c>
      <c r="D1348" t="s">
        <v>460</v>
      </c>
      <c r="E1348" s="16" t="str">
        <f>"003"</f>
        <v>003</v>
      </c>
      <c r="F1348" s="16">
        <v>2012</v>
      </c>
      <c r="G1348" s="6">
        <v>22514600</v>
      </c>
      <c r="H1348" s="6">
        <v>17816300</v>
      </c>
      <c r="I1348" s="6">
        <v>4698300</v>
      </c>
    </row>
    <row r="1349" spans="1:9" x14ac:dyDescent="0.25">
      <c r="A1349" t="s">
        <v>456</v>
      </c>
      <c r="B1349" s="16" t="str">
        <f>"71261"</f>
        <v>71261</v>
      </c>
      <c r="C1349" t="s">
        <v>10</v>
      </c>
      <c r="D1349" t="s">
        <v>460</v>
      </c>
      <c r="E1349" s="16" t="str">
        <f>"004"</f>
        <v>004</v>
      </c>
      <c r="F1349" s="16">
        <v>2018</v>
      </c>
      <c r="G1349" s="6">
        <v>4005800</v>
      </c>
      <c r="H1349" s="6">
        <v>3086000</v>
      </c>
      <c r="I1349" s="6">
        <v>919800</v>
      </c>
    </row>
    <row r="1350" spans="1:9" x14ac:dyDescent="0.25">
      <c r="A1350" t="s">
        <v>456</v>
      </c>
      <c r="B1350" s="16" t="str">
        <f>"71271"</f>
        <v>71271</v>
      </c>
      <c r="C1350" t="s">
        <v>10</v>
      </c>
      <c r="D1350" t="s">
        <v>461</v>
      </c>
      <c r="E1350" s="16" t="str">
        <f>"003"</f>
        <v>003</v>
      </c>
      <c r="F1350" s="16">
        <v>1995</v>
      </c>
      <c r="G1350" s="6">
        <v>40359000</v>
      </c>
      <c r="H1350" s="6">
        <v>2542000</v>
      </c>
      <c r="I1350" s="6">
        <v>37817000</v>
      </c>
    </row>
    <row r="1351" spans="1:9" x14ac:dyDescent="0.25">
      <c r="A1351" t="s">
        <v>456</v>
      </c>
      <c r="B1351" s="16" t="str">
        <f>"71171"</f>
        <v>71171</v>
      </c>
      <c r="C1351" t="s">
        <v>11</v>
      </c>
      <c r="D1351" t="s">
        <v>462</v>
      </c>
      <c r="E1351" s="16" t="str">
        <f>"002"</f>
        <v>002</v>
      </c>
      <c r="F1351" s="16">
        <v>2009</v>
      </c>
      <c r="G1351" s="6">
        <v>18757900</v>
      </c>
      <c r="H1351" s="6">
        <v>9384200</v>
      </c>
      <c r="I1351" s="6">
        <v>9373700</v>
      </c>
    </row>
    <row r="1352" spans="1:9" x14ac:dyDescent="0.25">
      <c r="A1352" t="s">
        <v>456</v>
      </c>
      <c r="B1352" s="16" t="str">
        <f>"71186"</f>
        <v>71186</v>
      </c>
      <c r="C1352" t="s">
        <v>11</v>
      </c>
      <c r="D1352" t="s">
        <v>463</v>
      </c>
      <c r="E1352" s="16" t="str">
        <f>"001"</f>
        <v>001</v>
      </c>
      <c r="F1352" s="16">
        <v>2006</v>
      </c>
      <c r="G1352" s="6">
        <v>4126400</v>
      </c>
      <c r="H1352" s="6">
        <v>2637300</v>
      </c>
      <c r="I1352" s="6">
        <v>1489100</v>
      </c>
    </row>
    <row r="1353" spans="1:9" x14ac:dyDescent="0.25">
      <c r="A1353" t="s">
        <v>456</v>
      </c>
      <c r="B1353" s="16" t="str">
        <f>"71291"</f>
        <v>71291</v>
      </c>
      <c r="C1353" t="s">
        <v>10</v>
      </c>
      <c r="D1353" t="s">
        <v>464</v>
      </c>
      <c r="E1353" s="16" t="str">
        <f>"006"</f>
        <v>006</v>
      </c>
      <c r="F1353" s="16">
        <v>2004</v>
      </c>
      <c r="G1353" s="6">
        <v>15823400</v>
      </c>
      <c r="H1353" s="6">
        <v>3915100</v>
      </c>
      <c r="I1353" s="6">
        <v>11908300</v>
      </c>
    </row>
    <row r="1354" spans="1:9" x14ac:dyDescent="0.25">
      <c r="A1354" t="s">
        <v>456</v>
      </c>
      <c r="B1354" s="16" t="str">
        <f>"71291"</f>
        <v>71291</v>
      </c>
      <c r="C1354" t="s">
        <v>10</v>
      </c>
      <c r="D1354" t="s">
        <v>464</v>
      </c>
      <c r="E1354" s="16" t="str">
        <f>"007"</f>
        <v>007</v>
      </c>
      <c r="F1354" s="16">
        <v>2005</v>
      </c>
      <c r="G1354" s="6">
        <v>44051100</v>
      </c>
      <c r="H1354" s="6">
        <v>34949700</v>
      </c>
      <c r="I1354" s="6">
        <v>9101400</v>
      </c>
    </row>
    <row r="1355" spans="1:9" x14ac:dyDescent="0.25">
      <c r="A1355" t="s">
        <v>456</v>
      </c>
      <c r="B1355" s="16" t="str">
        <f>"71291"</f>
        <v>71291</v>
      </c>
      <c r="C1355" t="s">
        <v>10</v>
      </c>
      <c r="D1355" t="s">
        <v>464</v>
      </c>
      <c r="E1355" s="16" t="str">
        <f>"008"</f>
        <v>008</v>
      </c>
      <c r="F1355" s="16">
        <v>2019</v>
      </c>
      <c r="G1355" s="6">
        <v>26320000</v>
      </c>
      <c r="H1355" s="6">
        <v>0</v>
      </c>
      <c r="I1355" s="6">
        <v>26320000</v>
      </c>
    </row>
    <row r="1356" spans="1:9" x14ac:dyDescent="0.25">
      <c r="G1356" s="7"/>
      <c r="I1356" s="7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2021</_x002e_DocumentYear>
    <_dlc_DocId xmlns="bb65cc95-6d4e-4879-a879-9838761499af">33E6D4FPPFNA-691263572-5949</_dlc_DocId>
    <_dlc_DocIdUrl xmlns="bb65cc95-6d4e-4879-a879-9838761499af">
      <Url>http://apwmad0p7106:9444/_layouts/15/DocIdRedir.aspx?ID=33E6D4FPPFNA-691263572-5949</Url>
      <Description>33E6D4FPPFNA-691263572-5949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0B2024-4198-4DAC-A6BC-A14356F77BB1}"/>
</file>

<file path=customXml/itemProps2.xml><?xml version="1.0" encoding="utf-8"?>
<ds:datastoreItem xmlns:ds="http://schemas.openxmlformats.org/officeDocument/2006/customXml" ds:itemID="{E4F1B481-30C5-4EA2-8EDE-042991421269}"/>
</file>

<file path=customXml/itemProps3.xml><?xml version="1.0" encoding="utf-8"?>
<ds:datastoreItem xmlns:ds="http://schemas.openxmlformats.org/officeDocument/2006/customXml" ds:itemID="{CEA0DC5F-72D5-424E-82D7-E685E2B064D1}"/>
</file>

<file path=customXml/itemProps4.xml><?xml version="1.0" encoding="utf-8"?>
<ds:datastoreItem xmlns:ds="http://schemas.openxmlformats.org/officeDocument/2006/customXml" ds:itemID="{87E4590E-F6A3-46BA-B67B-F6FEC8539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Municipal/County Certification</dc:title>
  <dc:creator>Leitner, Stacy L - DOR</dc:creator>
  <cp:lastModifiedBy>Filipiak, Kristin H - DOR</cp:lastModifiedBy>
  <dcterms:created xsi:type="dcterms:W3CDTF">2021-10-01T14:24:35Z</dcterms:created>
  <dcterms:modified xsi:type="dcterms:W3CDTF">2021-10-06T15:03:47Z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ba1a4508-4082-4e30-a072-be03209a69f2</vt:lpwstr>
  </property>
</Properties>
</file>