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0 TIF\Cert Reports\"/>
    </mc:Choice>
  </mc:AlternateContent>
  <xr:revisionPtr revIDLastSave="0" documentId="13_ncr:1_{62E36595-82B4-48C2-B302-B08610117552}" xr6:coauthVersionLast="45" xr6:coauthVersionMax="45" xr10:uidLastSave="{00000000-0000-0000-0000-000000000000}"/>
  <bookViews>
    <workbookView xWindow="-108" yWindow="-108" windowWidth="20376" windowHeight="12360" xr2:uid="{00000000-000D-0000-FFFF-FFFF00000000}"/>
  </bookViews>
  <sheets>
    <sheet name="TID35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E4" i="1"/>
  <c r="B5" i="1"/>
  <c r="E5" i="1"/>
  <c r="B6" i="1"/>
  <c r="E6" i="1"/>
  <c r="B7" i="1"/>
  <c r="E7" i="1"/>
  <c r="B8" i="1"/>
  <c r="E8" i="1"/>
  <c r="B9" i="1"/>
  <c r="E9" i="1"/>
  <c r="B10" i="1"/>
  <c r="E10" i="1"/>
  <c r="B11" i="1"/>
  <c r="E11" i="1"/>
  <c r="B12" i="1"/>
  <c r="E12" i="1"/>
  <c r="B13" i="1"/>
  <c r="E13" i="1"/>
  <c r="B14" i="1"/>
  <c r="E14" i="1"/>
  <c r="B15" i="1"/>
  <c r="E15" i="1"/>
  <c r="B16" i="1"/>
  <c r="E16" i="1"/>
  <c r="B17" i="1"/>
  <c r="E17" i="1"/>
  <c r="B18" i="1"/>
  <c r="E18" i="1"/>
  <c r="B19" i="1"/>
  <c r="E19" i="1"/>
  <c r="B20" i="1"/>
  <c r="E20" i="1"/>
  <c r="B21" i="1"/>
  <c r="E21" i="1"/>
  <c r="B22" i="1"/>
  <c r="E22" i="1"/>
  <c r="B23" i="1"/>
  <c r="E23" i="1"/>
  <c r="B24" i="1"/>
  <c r="E24" i="1"/>
  <c r="B25" i="1"/>
  <c r="E25" i="1"/>
  <c r="B26" i="1"/>
  <c r="E26" i="1"/>
  <c r="B27" i="1"/>
  <c r="E27" i="1"/>
  <c r="B28" i="1"/>
  <c r="E28" i="1"/>
  <c r="B29" i="1"/>
  <c r="E29" i="1"/>
  <c r="B30" i="1"/>
  <c r="E30" i="1"/>
  <c r="B31" i="1"/>
  <c r="E31" i="1"/>
  <c r="B32" i="1"/>
  <c r="E32" i="1"/>
  <c r="B33" i="1"/>
  <c r="E33" i="1"/>
  <c r="B34" i="1"/>
  <c r="E34" i="1"/>
  <c r="B35" i="1"/>
  <c r="E35" i="1"/>
  <c r="B36" i="1"/>
  <c r="E36" i="1"/>
  <c r="B37" i="1"/>
  <c r="E37" i="1"/>
  <c r="B38" i="1"/>
  <c r="E38" i="1"/>
  <c r="B39" i="1"/>
  <c r="E39" i="1"/>
  <c r="B40" i="1"/>
  <c r="E40" i="1"/>
  <c r="B41" i="1"/>
  <c r="E41" i="1"/>
  <c r="B42" i="1"/>
  <c r="E42" i="1"/>
  <c r="B43" i="1"/>
  <c r="E43" i="1"/>
  <c r="B44" i="1"/>
  <c r="E44" i="1"/>
  <c r="B45" i="1"/>
  <c r="E45" i="1"/>
  <c r="B46" i="1"/>
  <c r="E46" i="1"/>
  <c r="B47" i="1"/>
  <c r="E47" i="1"/>
  <c r="B48" i="1"/>
  <c r="E48" i="1"/>
  <c r="B49" i="1"/>
  <c r="E49" i="1"/>
  <c r="B50" i="1"/>
  <c r="E50" i="1"/>
  <c r="B51" i="1"/>
  <c r="E51" i="1"/>
  <c r="B52" i="1"/>
  <c r="E52" i="1"/>
  <c r="B53" i="1"/>
  <c r="E53" i="1"/>
  <c r="B54" i="1"/>
  <c r="E54" i="1"/>
  <c r="B55" i="1"/>
  <c r="E55" i="1"/>
  <c r="B56" i="1"/>
  <c r="E56" i="1"/>
  <c r="B57" i="1"/>
  <c r="E57" i="1"/>
  <c r="B58" i="1"/>
  <c r="E58" i="1"/>
  <c r="B59" i="1"/>
  <c r="E59" i="1"/>
  <c r="B60" i="1"/>
  <c r="E60" i="1"/>
  <c r="B61" i="1"/>
  <c r="E61" i="1"/>
  <c r="B62" i="1"/>
  <c r="E62" i="1"/>
  <c r="B63" i="1"/>
  <c r="E63" i="1"/>
  <c r="B64" i="1"/>
  <c r="E64" i="1"/>
  <c r="B65" i="1"/>
  <c r="E65" i="1"/>
  <c r="B66" i="1"/>
  <c r="E66" i="1"/>
  <c r="B67" i="1"/>
  <c r="E67" i="1"/>
  <c r="B68" i="1"/>
  <c r="E68" i="1"/>
  <c r="B69" i="1"/>
  <c r="E69" i="1"/>
  <c r="B70" i="1"/>
  <c r="E70" i="1"/>
  <c r="B71" i="1"/>
  <c r="E71" i="1"/>
  <c r="B72" i="1"/>
  <c r="E72" i="1"/>
  <c r="B73" i="1"/>
  <c r="E73" i="1"/>
  <c r="B74" i="1"/>
  <c r="E74" i="1"/>
  <c r="B75" i="1"/>
  <c r="E75" i="1"/>
  <c r="B76" i="1"/>
  <c r="E76" i="1"/>
  <c r="B77" i="1"/>
  <c r="E77" i="1"/>
  <c r="B78" i="1"/>
  <c r="E78" i="1"/>
  <c r="B79" i="1"/>
  <c r="E79" i="1"/>
  <c r="B80" i="1"/>
  <c r="E80" i="1"/>
  <c r="B81" i="1"/>
  <c r="E81" i="1"/>
  <c r="B82" i="1"/>
  <c r="E82" i="1"/>
  <c r="B83" i="1"/>
  <c r="E83" i="1"/>
  <c r="B84" i="1"/>
  <c r="E84" i="1"/>
  <c r="B85" i="1"/>
  <c r="E85" i="1"/>
  <c r="B86" i="1"/>
  <c r="E86" i="1"/>
  <c r="B87" i="1"/>
  <c r="E87" i="1"/>
  <c r="B88" i="1"/>
  <c r="E88" i="1"/>
  <c r="B89" i="1"/>
  <c r="E89" i="1"/>
  <c r="B90" i="1"/>
  <c r="E90" i="1"/>
  <c r="B91" i="1"/>
  <c r="E91" i="1"/>
  <c r="B92" i="1"/>
  <c r="E92" i="1"/>
  <c r="B93" i="1"/>
  <c r="E93" i="1"/>
  <c r="B94" i="1"/>
  <c r="E94" i="1"/>
  <c r="B95" i="1"/>
  <c r="E95" i="1"/>
  <c r="B96" i="1"/>
  <c r="E96" i="1"/>
  <c r="B97" i="1"/>
  <c r="E97" i="1"/>
  <c r="B98" i="1"/>
  <c r="E98" i="1"/>
  <c r="B99" i="1"/>
  <c r="E99" i="1"/>
  <c r="B100" i="1"/>
  <c r="E100" i="1"/>
  <c r="B101" i="1"/>
  <c r="E101" i="1"/>
  <c r="B102" i="1"/>
  <c r="E102" i="1"/>
  <c r="B103" i="1"/>
  <c r="E103" i="1"/>
  <c r="B104" i="1"/>
  <c r="E104" i="1"/>
  <c r="B105" i="1"/>
  <c r="E105" i="1"/>
  <c r="B106" i="1"/>
  <c r="E106" i="1"/>
  <c r="B107" i="1"/>
  <c r="E107" i="1"/>
  <c r="B108" i="1"/>
  <c r="E108" i="1"/>
  <c r="B109" i="1"/>
  <c r="E109" i="1"/>
  <c r="B110" i="1"/>
  <c r="E110" i="1"/>
  <c r="B111" i="1"/>
  <c r="E111" i="1"/>
  <c r="B112" i="1"/>
  <c r="E112" i="1"/>
  <c r="B113" i="1"/>
  <c r="E113" i="1"/>
  <c r="B114" i="1"/>
  <c r="E114" i="1"/>
  <c r="B115" i="1"/>
  <c r="E115" i="1"/>
  <c r="B116" i="1"/>
  <c r="E116" i="1"/>
  <c r="B117" i="1"/>
  <c r="E117" i="1"/>
  <c r="B118" i="1"/>
  <c r="E118" i="1"/>
  <c r="B119" i="1"/>
  <c r="E119" i="1"/>
  <c r="B120" i="1"/>
  <c r="E120" i="1"/>
  <c r="B121" i="1"/>
  <c r="E121" i="1"/>
  <c r="B122" i="1"/>
  <c r="E122" i="1"/>
  <c r="B123" i="1"/>
  <c r="E123" i="1"/>
  <c r="B124" i="1"/>
  <c r="E124" i="1"/>
  <c r="B125" i="1"/>
  <c r="E125" i="1"/>
  <c r="B126" i="1"/>
  <c r="E126" i="1"/>
  <c r="B127" i="1"/>
  <c r="E127" i="1"/>
  <c r="B128" i="1"/>
  <c r="E128" i="1"/>
  <c r="B129" i="1"/>
  <c r="E129" i="1"/>
  <c r="B130" i="1"/>
  <c r="E130" i="1"/>
  <c r="B131" i="1"/>
  <c r="E131" i="1"/>
  <c r="B132" i="1"/>
  <c r="E132" i="1"/>
  <c r="B133" i="1"/>
  <c r="E133" i="1"/>
  <c r="B134" i="1"/>
  <c r="E134" i="1"/>
  <c r="B135" i="1"/>
  <c r="E135" i="1"/>
  <c r="B136" i="1"/>
  <c r="E136" i="1"/>
  <c r="B137" i="1"/>
  <c r="E137" i="1"/>
  <c r="B138" i="1"/>
  <c r="E138" i="1"/>
  <c r="B139" i="1"/>
  <c r="E139" i="1"/>
  <c r="B140" i="1"/>
  <c r="E140" i="1"/>
  <c r="B141" i="1"/>
  <c r="E141" i="1"/>
  <c r="B142" i="1"/>
  <c r="E142" i="1"/>
  <c r="B143" i="1"/>
  <c r="E143" i="1"/>
  <c r="B144" i="1"/>
  <c r="E144" i="1"/>
  <c r="B145" i="1"/>
  <c r="E145" i="1"/>
  <c r="B146" i="1"/>
  <c r="E146" i="1"/>
  <c r="B147" i="1"/>
  <c r="E147" i="1"/>
  <c r="B148" i="1"/>
  <c r="E148" i="1"/>
  <c r="B149" i="1"/>
  <c r="E149" i="1"/>
  <c r="B150" i="1"/>
  <c r="E150" i="1"/>
  <c r="B151" i="1"/>
  <c r="E151" i="1"/>
  <c r="B152" i="1"/>
  <c r="E152" i="1"/>
  <c r="B153" i="1"/>
  <c r="E153" i="1"/>
  <c r="B154" i="1"/>
  <c r="E154" i="1"/>
  <c r="B155" i="1"/>
  <c r="E155" i="1"/>
  <c r="B156" i="1"/>
  <c r="E156" i="1"/>
  <c r="B157" i="1"/>
  <c r="E157" i="1"/>
  <c r="B158" i="1"/>
  <c r="E158" i="1"/>
  <c r="B159" i="1"/>
  <c r="E159" i="1"/>
  <c r="B160" i="1"/>
  <c r="E160" i="1"/>
  <c r="B161" i="1"/>
  <c r="E161" i="1"/>
  <c r="B162" i="1"/>
  <c r="E162" i="1"/>
  <c r="B163" i="1"/>
  <c r="E163" i="1"/>
  <c r="B164" i="1"/>
  <c r="E164" i="1"/>
  <c r="B165" i="1"/>
  <c r="E165" i="1"/>
  <c r="B166" i="1"/>
  <c r="E166" i="1"/>
  <c r="B167" i="1"/>
  <c r="E167" i="1"/>
  <c r="B168" i="1"/>
  <c r="E168" i="1"/>
  <c r="B169" i="1"/>
  <c r="E169" i="1"/>
  <c r="B170" i="1"/>
  <c r="E170" i="1"/>
  <c r="B171" i="1"/>
  <c r="E171" i="1"/>
  <c r="B172" i="1"/>
  <c r="E172" i="1"/>
  <c r="B173" i="1"/>
  <c r="E173" i="1"/>
  <c r="B174" i="1"/>
  <c r="E174" i="1"/>
  <c r="B175" i="1"/>
  <c r="E175" i="1"/>
  <c r="B176" i="1"/>
  <c r="E176" i="1"/>
  <c r="B177" i="1"/>
  <c r="E177" i="1"/>
  <c r="B178" i="1"/>
  <c r="E178" i="1"/>
  <c r="B179" i="1"/>
  <c r="E179" i="1"/>
  <c r="B180" i="1"/>
  <c r="E180" i="1"/>
  <c r="B181" i="1"/>
  <c r="E181" i="1"/>
  <c r="B182" i="1"/>
  <c r="E182" i="1"/>
  <c r="B183" i="1"/>
  <c r="E183" i="1"/>
  <c r="B184" i="1"/>
  <c r="E184" i="1"/>
  <c r="B185" i="1"/>
  <c r="E185" i="1"/>
  <c r="B186" i="1"/>
  <c r="E186" i="1"/>
  <c r="B187" i="1"/>
  <c r="E187" i="1"/>
  <c r="B188" i="1"/>
  <c r="E188" i="1"/>
  <c r="B189" i="1"/>
  <c r="E189" i="1"/>
  <c r="B190" i="1"/>
  <c r="E190" i="1"/>
  <c r="B191" i="1"/>
  <c r="E191" i="1"/>
  <c r="B192" i="1"/>
  <c r="E192" i="1"/>
  <c r="B193" i="1"/>
  <c r="E193" i="1"/>
  <c r="B194" i="1"/>
  <c r="E194" i="1"/>
  <c r="B195" i="1"/>
  <c r="E195" i="1"/>
  <c r="B196" i="1"/>
  <c r="E196" i="1"/>
  <c r="B197" i="1"/>
  <c r="E197" i="1"/>
  <c r="B198" i="1"/>
  <c r="E198" i="1"/>
  <c r="B199" i="1"/>
  <c r="E199" i="1"/>
  <c r="B200" i="1"/>
  <c r="E200" i="1"/>
  <c r="B201" i="1"/>
  <c r="E201" i="1"/>
  <c r="B202" i="1"/>
  <c r="E202" i="1"/>
  <c r="B203" i="1"/>
  <c r="E203" i="1"/>
  <c r="B204" i="1"/>
  <c r="E204" i="1"/>
  <c r="B205" i="1"/>
  <c r="E205" i="1"/>
  <c r="B206" i="1"/>
  <c r="E206" i="1"/>
  <c r="B207" i="1"/>
  <c r="E207" i="1"/>
  <c r="B208" i="1"/>
  <c r="E208" i="1"/>
  <c r="B209" i="1"/>
  <c r="E209" i="1"/>
  <c r="B210" i="1"/>
  <c r="E210" i="1"/>
  <c r="B211" i="1"/>
  <c r="E211" i="1"/>
  <c r="B212" i="1"/>
  <c r="E212" i="1"/>
  <c r="B213" i="1"/>
  <c r="E213" i="1"/>
  <c r="B214" i="1"/>
  <c r="E214" i="1"/>
  <c r="B215" i="1"/>
  <c r="E215" i="1"/>
  <c r="B216" i="1"/>
  <c r="E216" i="1"/>
  <c r="B217" i="1"/>
  <c r="E217" i="1"/>
  <c r="B218" i="1"/>
  <c r="E218" i="1"/>
  <c r="B219" i="1"/>
  <c r="E219" i="1"/>
  <c r="B220" i="1"/>
  <c r="E220" i="1"/>
  <c r="B221" i="1"/>
  <c r="E221" i="1"/>
  <c r="B222" i="1"/>
  <c r="E222" i="1"/>
  <c r="B223" i="1"/>
  <c r="E223" i="1"/>
  <c r="B224" i="1"/>
  <c r="E224" i="1"/>
  <c r="B225" i="1"/>
  <c r="E225" i="1"/>
  <c r="B226" i="1"/>
  <c r="E226" i="1"/>
  <c r="B227" i="1"/>
  <c r="E227" i="1"/>
  <c r="B228" i="1"/>
  <c r="E228" i="1"/>
  <c r="B229" i="1"/>
  <c r="E229" i="1"/>
  <c r="B230" i="1"/>
  <c r="E230" i="1"/>
  <c r="B231" i="1"/>
  <c r="E231" i="1"/>
  <c r="B232" i="1"/>
  <c r="E232" i="1"/>
  <c r="B233" i="1"/>
  <c r="E233" i="1"/>
  <c r="B234" i="1"/>
  <c r="E234" i="1"/>
  <c r="B235" i="1"/>
  <c r="E235" i="1"/>
  <c r="B236" i="1"/>
  <c r="E236" i="1"/>
  <c r="B237" i="1"/>
  <c r="E237" i="1"/>
  <c r="B238" i="1"/>
  <c r="E238" i="1"/>
  <c r="B239" i="1"/>
  <c r="E239" i="1"/>
  <c r="B240" i="1"/>
  <c r="E240" i="1"/>
  <c r="B241" i="1"/>
  <c r="E241" i="1"/>
  <c r="B242" i="1"/>
  <c r="E242" i="1"/>
  <c r="B243" i="1"/>
  <c r="E243" i="1"/>
  <c r="B244" i="1"/>
  <c r="E244" i="1"/>
  <c r="B245" i="1"/>
  <c r="E245" i="1"/>
  <c r="B246" i="1"/>
  <c r="E246" i="1"/>
  <c r="B247" i="1"/>
  <c r="E247" i="1"/>
  <c r="B248" i="1"/>
  <c r="E248" i="1"/>
  <c r="B249" i="1"/>
  <c r="E249" i="1"/>
  <c r="B250" i="1"/>
  <c r="E250" i="1"/>
  <c r="B251" i="1"/>
  <c r="E251" i="1"/>
  <c r="B252" i="1"/>
  <c r="E252" i="1"/>
  <c r="B253" i="1"/>
  <c r="E253" i="1"/>
  <c r="B254" i="1"/>
  <c r="E254" i="1"/>
  <c r="B255" i="1"/>
  <c r="E255" i="1"/>
  <c r="B256" i="1"/>
  <c r="E256" i="1"/>
  <c r="B257" i="1"/>
  <c r="E257" i="1"/>
  <c r="B258" i="1"/>
  <c r="E258" i="1"/>
  <c r="B259" i="1"/>
  <c r="E259" i="1"/>
  <c r="B260" i="1"/>
  <c r="E260" i="1"/>
  <c r="B261" i="1"/>
  <c r="E261" i="1"/>
  <c r="B262" i="1"/>
  <c r="E262" i="1"/>
  <c r="B263" i="1"/>
  <c r="E263" i="1"/>
  <c r="B264" i="1"/>
  <c r="E264" i="1"/>
  <c r="B265" i="1"/>
  <c r="E265" i="1"/>
  <c r="B266" i="1"/>
  <c r="E266" i="1"/>
  <c r="B267" i="1"/>
  <c r="E267" i="1"/>
  <c r="B268" i="1"/>
  <c r="E268" i="1"/>
  <c r="B269" i="1"/>
  <c r="E269" i="1"/>
  <c r="B270" i="1"/>
  <c r="E270" i="1"/>
  <c r="B271" i="1"/>
  <c r="E271" i="1"/>
  <c r="B272" i="1"/>
  <c r="E272" i="1"/>
  <c r="B273" i="1"/>
  <c r="E273" i="1"/>
  <c r="B274" i="1"/>
  <c r="E274" i="1"/>
  <c r="B275" i="1"/>
  <c r="E275" i="1"/>
  <c r="B276" i="1"/>
  <c r="E276" i="1"/>
  <c r="B277" i="1"/>
  <c r="E277" i="1"/>
  <c r="B278" i="1"/>
  <c r="E278" i="1"/>
  <c r="B279" i="1"/>
  <c r="E279" i="1"/>
  <c r="B280" i="1"/>
  <c r="E280" i="1"/>
  <c r="B281" i="1"/>
  <c r="E281" i="1"/>
  <c r="B282" i="1"/>
  <c r="E282" i="1"/>
  <c r="B283" i="1"/>
  <c r="E283" i="1"/>
  <c r="B284" i="1"/>
  <c r="E284" i="1"/>
  <c r="B285" i="1"/>
  <c r="E285" i="1"/>
  <c r="B286" i="1"/>
  <c r="E286" i="1"/>
  <c r="B287" i="1"/>
  <c r="E287" i="1"/>
  <c r="B288" i="1"/>
  <c r="E288" i="1"/>
  <c r="B289" i="1"/>
  <c r="E289" i="1"/>
  <c r="B290" i="1"/>
  <c r="E290" i="1"/>
  <c r="B291" i="1"/>
  <c r="E291" i="1"/>
  <c r="B292" i="1"/>
  <c r="E292" i="1"/>
  <c r="B293" i="1"/>
  <c r="E293" i="1"/>
  <c r="B294" i="1"/>
  <c r="E294" i="1"/>
  <c r="B295" i="1"/>
  <c r="E295" i="1"/>
  <c r="B296" i="1"/>
  <c r="E296" i="1"/>
  <c r="B297" i="1"/>
  <c r="E297" i="1"/>
  <c r="B298" i="1"/>
  <c r="E298" i="1"/>
  <c r="B299" i="1"/>
  <c r="E299" i="1"/>
  <c r="B300" i="1"/>
  <c r="E300" i="1"/>
  <c r="B301" i="1"/>
  <c r="E301" i="1"/>
  <c r="B302" i="1"/>
  <c r="E302" i="1"/>
  <c r="B303" i="1"/>
  <c r="E303" i="1"/>
  <c r="B304" i="1"/>
  <c r="E304" i="1"/>
  <c r="B305" i="1"/>
  <c r="E305" i="1"/>
  <c r="B306" i="1"/>
  <c r="E306" i="1"/>
  <c r="B307" i="1"/>
  <c r="E307" i="1"/>
  <c r="B308" i="1"/>
  <c r="E308" i="1"/>
  <c r="B309" i="1"/>
  <c r="E309" i="1"/>
  <c r="B310" i="1"/>
  <c r="E310" i="1"/>
  <c r="B311" i="1"/>
  <c r="E311" i="1"/>
  <c r="B312" i="1"/>
  <c r="E312" i="1"/>
  <c r="B313" i="1"/>
  <c r="E313" i="1"/>
  <c r="B314" i="1"/>
  <c r="E314" i="1"/>
  <c r="B315" i="1"/>
  <c r="E315" i="1"/>
  <c r="B316" i="1"/>
  <c r="E316" i="1"/>
  <c r="B317" i="1"/>
  <c r="E317" i="1"/>
  <c r="B318" i="1"/>
  <c r="E318" i="1"/>
  <c r="B319" i="1"/>
  <c r="E319" i="1"/>
  <c r="B320" i="1"/>
  <c r="E320" i="1"/>
  <c r="B321" i="1"/>
  <c r="E321" i="1"/>
  <c r="B322" i="1"/>
  <c r="E322" i="1"/>
  <c r="B323" i="1"/>
  <c r="E323" i="1"/>
  <c r="B324" i="1"/>
  <c r="E324" i="1"/>
  <c r="B325" i="1"/>
  <c r="E325" i="1"/>
  <c r="B326" i="1"/>
  <c r="E326" i="1"/>
  <c r="B327" i="1"/>
  <c r="E327" i="1"/>
  <c r="B328" i="1"/>
  <c r="E328" i="1"/>
  <c r="B329" i="1"/>
  <c r="E329" i="1"/>
  <c r="B330" i="1"/>
  <c r="E330" i="1"/>
  <c r="B331" i="1"/>
  <c r="E331" i="1"/>
  <c r="B332" i="1"/>
  <c r="E332" i="1"/>
  <c r="B333" i="1"/>
  <c r="E333" i="1"/>
  <c r="B334" i="1"/>
  <c r="E334" i="1"/>
  <c r="B335" i="1"/>
  <c r="E335" i="1"/>
  <c r="B336" i="1"/>
  <c r="E336" i="1"/>
  <c r="B337" i="1"/>
  <c r="E337" i="1"/>
  <c r="B338" i="1"/>
  <c r="E338" i="1"/>
  <c r="B339" i="1"/>
  <c r="E339" i="1"/>
  <c r="B340" i="1"/>
  <c r="E340" i="1"/>
  <c r="B341" i="1"/>
  <c r="E341" i="1"/>
  <c r="B342" i="1"/>
  <c r="E342" i="1"/>
  <c r="B343" i="1"/>
  <c r="E343" i="1"/>
  <c r="B344" i="1"/>
  <c r="E344" i="1"/>
  <c r="B345" i="1"/>
  <c r="E345" i="1"/>
  <c r="B346" i="1"/>
  <c r="E346" i="1"/>
  <c r="B347" i="1"/>
  <c r="E347" i="1"/>
  <c r="B348" i="1"/>
  <c r="E348" i="1"/>
  <c r="B349" i="1"/>
  <c r="E349" i="1"/>
  <c r="B350" i="1"/>
  <c r="E350" i="1"/>
  <c r="B351" i="1"/>
  <c r="E351" i="1"/>
  <c r="B352" i="1"/>
  <c r="E352" i="1"/>
  <c r="B353" i="1"/>
  <c r="E353" i="1"/>
  <c r="B354" i="1"/>
  <c r="E354" i="1"/>
  <c r="B355" i="1"/>
  <c r="E355" i="1"/>
  <c r="B356" i="1"/>
  <c r="E356" i="1"/>
  <c r="B357" i="1"/>
  <c r="E357" i="1"/>
  <c r="B358" i="1"/>
  <c r="E358" i="1"/>
  <c r="B359" i="1"/>
  <c r="E359" i="1"/>
  <c r="B360" i="1"/>
  <c r="E360" i="1"/>
  <c r="B361" i="1"/>
  <c r="E361" i="1"/>
  <c r="B362" i="1"/>
  <c r="E362" i="1"/>
  <c r="B363" i="1"/>
  <c r="E363" i="1"/>
  <c r="B364" i="1"/>
  <c r="E364" i="1"/>
  <c r="B365" i="1"/>
  <c r="E365" i="1"/>
  <c r="B366" i="1"/>
  <c r="E366" i="1"/>
  <c r="B367" i="1"/>
  <c r="E367" i="1"/>
  <c r="B368" i="1"/>
  <c r="E368" i="1"/>
  <c r="B369" i="1"/>
  <c r="E369" i="1"/>
  <c r="B370" i="1"/>
  <c r="E370" i="1"/>
  <c r="B371" i="1"/>
  <c r="E371" i="1"/>
  <c r="B372" i="1"/>
  <c r="E372" i="1"/>
  <c r="B373" i="1"/>
  <c r="E373" i="1"/>
  <c r="B374" i="1"/>
  <c r="E374" i="1"/>
  <c r="B375" i="1"/>
  <c r="E375" i="1"/>
  <c r="B376" i="1"/>
  <c r="E376" i="1"/>
  <c r="B377" i="1"/>
  <c r="E377" i="1"/>
  <c r="B378" i="1"/>
  <c r="E378" i="1"/>
  <c r="B379" i="1"/>
  <c r="E379" i="1"/>
  <c r="B380" i="1"/>
  <c r="E380" i="1"/>
  <c r="B381" i="1"/>
  <c r="E381" i="1"/>
  <c r="B382" i="1"/>
  <c r="E382" i="1"/>
  <c r="B383" i="1"/>
  <c r="E383" i="1"/>
  <c r="B384" i="1"/>
  <c r="E384" i="1"/>
  <c r="B385" i="1"/>
  <c r="E385" i="1"/>
  <c r="B386" i="1"/>
  <c r="E386" i="1"/>
  <c r="B387" i="1"/>
  <c r="E387" i="1"/>
  <c r="B388" i="1"/>
  <c r="E388" i="1"/>
  <c r="B389" i="1"/>
  <c r="E389" i="1"/>
  <c r="B390" i="1"/>
  <c r="E390" i="1"/>
  <c r="B391" i="1"/>
  <c r="E391" i="1"/>
  <c r="B392" i="1"/>
  <c r="E392" i="1"/>
  <c r="B393" i="1"/>
  <c r="E393" i="1"/>
  <c r="B394" i="1"/>
  <c r="E394" i="1"/>
  <c r="B395" i="1"/>
  <c r="E395" i="1"/>
  <c r="B396" i="1"/>
  <c r="E396" i="1"/>
  <c r="B397" i="1"/>
  <c r="E397" i="1"/>
  <c r="B398" i="1"/>
  <c r="E398" i="1"/>
  <c r="B399" i="1"/>
  <c r="E399" i="1"/>
  <c r="B400" i="1"/>
  <c r="E400" i="1"/>
  <c r="B401" i="1"/>
  <c r="E401" i="1"/>
  <c r="B402" i="1"/>
  <c r="E402" i="1"/>
  <c r="B403" i="1"/>
  <c r="E403" i="1"/>
  <c r="B404" i="1"/>
  <c r="E404" i="1"/>
  <c r="B405" i="1"/>
  <c r="E405" i="1"/>
  <c r="B406" i="1"/>
  <c r="E406" i="1"/>
  <c r="B407" i="1"/>
  <c r="E407" i="1"/>
  <c r="B408" i="1"/>
  <c r="E408" i="1"/>
  <c r="B409" i="1"/>
  <c r="E409" i="1"/>
  <c r="B410" i="1"/>
  <c r="E410" i="1"/>
  <c r="B411" i="1"/>
  <c r="E411" i="1"/>
  <c r="B412" i="1"/>
  <c r="E412" i="1"/>
  <c r="B413" i="1"/>
  <c r="E413" i="1"/>
  <c r="B414" i="1"/>
  <c r="E414" i="1"/>
  <c r="B415" i="1"/>
  <c r="E415" i="1"/>
  <c r="B416" i="1"/>
  <c r="E416" i="1"/>
  <c r="B417" i="1"/>
  <c r="E417" i="1"/>
  <c r="B418" i="1"/>
  <c r="E418" i="1"/>
  <c r="B419" i="1"/>
  <c r="E419" i="1"/>
  <c r="B420" i="1"/>
  <c r="E420" i="1"/>
  <c r="B421" i="1"/>
  <c r="E421" i="1"/>
  <c r="B422" i="1"/>
  <c r="E422" i="1"/>
  <c r="B423" i="1"/>
  <c r="E423" i="1"/>
  <c r="B424" i="1"/>
  <c r="E424" i="1"/>
  <c r="B425" i="1"/>
  <c r="E425" i="1"/>
  <c r="B426" i="1"/>
  <c r="E426" i="1"/>
  <c r="B427" i="1"/>
  <c r="E427" i="1"/>
  <c r="B428" i="1"/>
  <c r="E428" i="1"/>
  <c r="B429" i="1"/>
  <c r="E429" i="1"/>
  <c r="B430" i="1"/>
  <c r="E430" i="1"/>
  <c r="B431" i="1"/>
  <c r="E431" i="1"/>
  <c r="B432" i="1"/>
  <c r="E432" i="1"/>
  <c r="B433" i="1"/>
  <c r="E433" i="1"/>
  <c r="B434" i="1"/>
  <c r="E434" i="1"/>
  <c r="B435" i="1"/>
  <c r="E435" i="1"/>
  <c r="B436" i="1"/>
  <c r="E436" i="1"/>
  <c r="B437" i="1"/>
  <c r="E437" i="1"/>
  <c r="B438" i="1"/>
  <c r="E438" i="1"/>
  <c r="B439" i="1"/>
  <c r="E439" i="1"/>
  <c r="B440" i="1"/>
  <c r="E440" i="1"/>
  <c r="B441" i="1"/>
  <c r="E441" i="1"/>
  <c r="B442" i="1"/>
  <c r="E442" i="1"/>
  <c r="B443" i="1"/>
  <c r="E443" i="1"/>
  <c r="B444" i="1"/>
  <c r="E444" i="1"/>
  <c r="B445" i="1"/>
  <c r="E445" i="1"/>
  <c r="B446" i="1"/>
  <c r="E446" i="1"/>
  <c r="B447" i="1"/>
  <c r="E447" i="1"/>
  <c r="B448" i="1"/>
  <c r="E448" i="1"/>
  <c r="B449" i="1"/>
  <c r="E449" i="1"/>
  <c r="B450" i="1"/>
  <c r="E450" i="1"/>
  <c r="B451" i="1"/>
  <c r="E451" i="1"/>
  <c r="B452" i="1"/>
  <c r="E452" i="1"/>
  <c r="B453" i="1"/>
  <c r="E453" i="1"/>
  <c r="B454" i="1"/>
  <c r="E454" i="1"/>
  <c r="B455" i="1"/>
  <c r="E455" i="1"/>
  <c r="B456" i="1"/>
  <c r="E456" i="1"/>
  <c r="B457" i="1"/>
  <c r="E457" i="1"/>
  <c r="B458" i="1"/>
  <c r="E458" i="1"/>
  <c r="B459" i="1"/>
  <c r="E459" i="1"/>
  <c r="B460" i="1"/>
  <c r="E460" i="1"/>
  <c r="B461" i="1"/>
  <c r="E461" i="1"/>
  <c r="B462" i="1"/>
  <c r="E462" i="1"/>
  <c r="B463" i="1"/>
  <c r="E463" i="1"/>
  <c r="B464" i="1"/>
  <c r="E464" i="1"/>
  <c r="B465" i="1"/>
  <c r="E465" i="1"/>
  <c r="B466" i="1"/>
  <c r="E466" i="1"/>
  <c r="B467" i="1"/>
  <c r="E467" i="1"/>
  <c r="B468" i="1"/>
  <c r="E468" i="1"/>
  <c r="B469" i="1"/>
  <c r="E469" i="1"/>
  <c r="B470" i="1"/>
  <c r="E470" i="1"/>
  <c r="B471" i="1"/>
  <c r="E471" i="1"/>
  <c r="B472" i="1"/>
  <c r="E472" i="1"/>
  <c r="B473" i="1"/>
  <c r="E473" i="1"/>
  <c r="B474" i="1"/>
  <c r="E474" i="1"/>
  <c r="B475" i="1"/>
  <c r="E475" i="1"/>
  <c r="B476" i="1"/>
  <c r="E476" i="1"/>
  <c r="B477" i="1"/>
  <c r="E477" i="1"/>
  <c r="B478" i="1"/>
  <c r="E478" i="1"/>
  <c r="B479" i="1"/>
  <c r="E479" i="1"/>
  <c r="B480" i="1"/>
  <c r="E480" i="1"/>
  <c r="B481" i="1"/>
  <c r="E481" i="1"/>
  <c r="B482" i="1"/>
  <c r="E482" i="1"/>
  <c r="B483" i="1"/>
  <c r="E483" i="1"/>
  <c r="B484" i="1"/>
  <c r="E484" i="1"/>
  <c r="B485" i="1"/>
  <c r="E485" i="1"/>
  <c r="B486" i="1"/>
  <c r="E486" i="1"/>
  <c r="B487" i="1"/>
  <c r="E487" i="1"/>
  <c r="B488" i="1"/>
  <c r="E488" i="1"/>
  <c r="B489" i="1"/>
  <c r="E489" i="1"/>
  <c r="B490" i="1"/>
  <c r="E490" i="1"/>
  <c r="B491" i="1"/>
  <c r="E491" i="1"/>
  <c r="B492" i="1"/>
  <c r="E492" i="1"/>
  <c r="B493" i="1"/>
  <c r="E493" i="1"/>
  <c r="B494" i="1"/>
  <c r="E494" i="1"/>
  <c r="B495" i="1"/>
  <c r="E495" i="1"/>
  <c r="B496" i="1"/>
  <c r="E496" i="1"/>
  <c r="B497" i="1"/>
  <c r="E497" i="1"/>
  <c r="B498" i="1"/>
  <c r="E498" i="1"/>
  <c r="B499" i="1"/>
  <c r="E499" i="1"/>
  <c r="B500" i="1"/>
  <c r="E500" i="1"/>
  <c r="B501" i="1"/>
  <c r="E501" i="1"/>
  <c r="B502" i="1"/>
  <c r="E502" i="1"/>
  <c r="B503" i="1"/>
  <c r="E503" i="1"/>
  <c r="B504" i="1"/>
  <c r="E504" i="1"/>
  <c r="B505" i="1"/>
  <c r="E505" i="1"/>
  <c r="B506" i="1"/>
  <c r="E506" i="1"/>
  <c r="B507" i="1"/>
  <c r="E507" i="1"/>
  <c r="B508" i="1"/>
  <c r="E508" i="1"/>
  <c r="B509" i="1"/>
  <c r="E509" i="1"/>
  <c r="B510" i="1"/>
  <c r="E510" i="1"/>
  <c r="B511" i="1"/>
  <c r="E511" i="1"/>
  <c r="B512" i="1"/>
  <c r="E512" i="1"/>
  <c r="B513" i="1"/>
  <c r="E513" i="1"/>
  <c r="B514" i="1"/>
  <c r="E514" i="1"/>
  <c r="B515" i="1"/>
  <c r="E515" i="1"/>
  <c r="B516" i="1"/>
  <c r="E516" i="1"/>
  <c r="B517" i="1"/>
  <c r="E517" i="1"/>
  <c r="B518" i="1"/>
  <c r="E518" i="1"/>
  <c r="B519" i="1"/>
  <c r="E519" i="1"/>
  <c r="B520" i="1"/>
  <c r="E520" i="1"/>
  <c r="B521" i="1"/>
  <c r="E521" i="1"/>
  <c r="B522" i="1"/>
  <c r="E522" i="1"/>
  <c r="B523" i="1"/>
  <c r="E523" i="1"/>
  <c r="B524" i="1"/>
  <c r="E524" i="1"/>
  <c r="B525" i="1"/>
  <c r="E525" i="1"/>
  <c r="B526" i="1"/>
  <c r="E526" i="1"/>
  <c r="B527" i="1"/>
  <c r="E527" i="1"/>
  <c r="B528" i="1"/>
  <c r="E528" i="1"/>
  <c r="B529" i="1"/>
  <c r="E529" i="1"/>
  <c r="B530" i="1"/>
  <c r="E530" i="1"/>
  <c r="B531" i="1"/>
  <c r="E531" i="1"/>
  <c r="B532" i="1"/>
  <c r="E532" i="1"/>
  <c r="B533" i="1"/>
  <c r="E533" i="1"/>
  <c r="B534" i="1"/>
  <c r="E534" i="1"/>
  <c r="B535" i="1"/>
  <c r="E535" i="1"/>
  <c r="B536" i="1"/>
  <c r="E536" i="1"/>
  <c r="B537" i="1"/>
  <c r="E537" i="1"/>
  <c r="B538" i="1"/>
  <c r="E538" i="1"/>
  <c r="B539" i="1"/>
  <c r="E539" i="1"/>
  <c r="B540" i="1"/>
  <c r="E540" i="1"/>
  <c r="B541" i="1"/>
  <c r="E541" i="1"/>
  <c r="B542" i="1"/>
  <c r="E542" i="1"/>
  <c r="B543" i="1"/>
  <c r="E543" i="1"/>
  <c r="B544" i="1"/>
  <c r="E544" i="1"/>
  <c r="B545" i="1"/>
  <c r="E545" i="1"/>
  <c r="B546" i="1"/>
  <c r="E546" i="1"/>
  <c r="B547" i="1"/>
  <c r="E547" i="1"/>
  <c r="B548" i="1"/>
  <c r="E548" i="1"/>
  <c r="B549" i="1"/>
  <c r="E549" i="1"/>
  <c r="B550" i="1"/>
  <c r="E550" i="1"/>
  <c r="B551" i="1"/>
  <c r="E551" i="1"/>
  <c r="B552" i="1"/>
  <c r="E552" i="1"/>
  <c r="B553" i="1"/>
  <c r="E553" i="1"/>
  <c r="B554" i="1"/>
  <c r="E554" i="1"/>
  <c r="B555" i="1"/>
  <c r="E555" i="1"/>
  <c r="B556" i="1"/>
  <c r="E556" i="1"/>
  <c r="B557" i="1"/>
  <c r="E557" i="1"/>
  <c r="B558" i="1"/>
  <c r="E558" i="1"/>
  <c r="B559" i="1"/>
  <c r="E559" i="1"/>
  <c r="B560" i="1"/>
  <c r="E560" i="1"/>
  <c r="B561" i="1"/>
  <c r="E561" i="1"/>
  <c r="B562" i="1"/>
  <c r="E562" i="1"/>
  <c r="B563" i="1"/>
  <c r="E563" i="1"/>
  <c r="B564" i="1"/>
  <c r="E564" i="1"/>
  <c r="B565" i="1"/>
  <c r="E565" i="1"/>
  <c r="B566" i="1"/>
  <c r="E566" i="1"/>
  <c r="B567" i="1"/>
  <c r="E567" i="1"/>
  <c r="B568" i="1"/>
  <c r="E568" i="1"/>
  <c r="B569" i="1"/>
  <c r="E569" i="1"/>
  <c r="B570" i="1"/>
  <c r="E570" i="1"/>
  <c r="B571" i="1"/>
  <c r="E571" i="1"/>
  <c r="B572" i="1"/>
  <c r="E572" i="1"/>
  <c r="B573" i="1"/>
  <c r="E573" i="1"/>
  <c r="B574" i="1"/>
  <c r="E574" i="1"/>
  <c r="B575" i="1"/>
  <c r="E575" i="1"/>
  <c r="B576" i="1"/>
  <c r="E576" i="1"/>
  <c r="B577" i="1"/>
  <c r="E577" i="1"/>
  <c r="B578" i="1"/>
  <c r="E578" i="1"/>
  <c r="B579" i="1"/>
  <c r="E579" i="1"/>
  <c r="B580" i="1"/>
  <c r="E580" i="1"/>
  <c r="B581" i="1"/>
  <c r="E581" i="1"/>
  <c r="B582" i="1"/>
  <c r="E582" i="1"/>
  <c r="B583" i="1"/>
  <c r="E583" i="1"/>
  <c r="B584" i="1"/>
  <c r="E584" i="1"/>
  <c r="B585" i="1"/>
  <c r="E585" i="1"/>
  <c r="B586" i="1"/>
  <c r="E586" i="1"/>
  <c r="B587" i="1"/>
  <c r="E587" i="1"/>
  <c r="B588" i="1"/>
  <c r="E588" i="1"/>
  <c r="B589" i="1"/>
  <c r="E589" i="1"/>
  <c r="B590" i="1"/>
  <c r="E590" i="1"/>
  <c r="B591" i="1"/>
  <c r="E591" i="1"/>
  <c r="B592" i="1"/>
  <c r="E592" i="1"/>
  <c r="B593" i="1"/>
  <c r="E593" i="1"/>
  <c r="B594" i="1"/>
  <c r="E594" i="1"/>
  <c r="B595" i="1"/>
  <c r="E595" i="1"/>
  <c r="B596" i="1"/>
  <c r="E596" i="1"/>
  <c r="B597" i="1"/>
  <c r="E597" i="1"/>
  <c r="B598" i="1"/>
  <c r="E598" i="1"/>
  <c r="B599" i="1"/>
  <c r="E599" i="1"/>
  <c r="B600" i="1"/>
  <c r="E600" i="1"/>
  <c r="B601" i="1"/>
  <c r="E601" i="1"/>
  <c r="B602" i="1"/>
  <c r="E602" i="1"/>
  <c r="B603" i="1"/>
  <c r="E603" i="1"/>
  <c r="B604" i="1"/>
  <c r="E604" i="1"/>
  <c r="B605" i="1"/>
  <c r="E605" i="1"/>
  <c r="B606" i="1"/>
  <c r="E606" i="1"/>
  <c r="B607" i="1"/>
  <c r="E607" i="1"/>
  <c r="B608" i="1"/>
  <c r="E608" i="1"/>
  <c r="B609" i="1"/>
  <c r="E609" i="1"/>
  <c r="B610" i="1"/>
  <c r="E610" i="1"/>
  <c r="B611" i="1"/>
  <c r="E611" i="1"/>
  <c r="B612" i="1"/>
  <c r="E612" i="1"/>
  <c r="B613" i="1"/>
  <c r="E613" i="1"/>
  <c r="B614" i="1"/>
  <c r="E614" i="1"/>
  <c r="B615" i="1"/>
  <c r="E615" i="1"/>
  <c r="B616" i="1"/>
  <c r="E616" i="1"/>
  <c r="B617" i="1"/>
  <c r="E617" i="1"/>
  <c r="B618" i="1"/>
  <c r="E618" i="1"/>
  <c r="B619" i="1"/>
  <c r="E619" i="1"/>
  <c r="B620" i="1"/>
  <c r="E620" i="1"/>
  <c r="B621" i="1"/>
  <c r="E621" i="1"/>
  <c r="B622" i="1"/>
  <c r="E622" i="1"/>
  <c r="B623" i="1"/>
  <c r="E623" i="1"/>
  <c r="B624" i="1"/>
  <c r="E624" i="1"/>
  <c r="B625" i="1"/>
  <c r="E625" i="1"/>
  <c r="B626" i="1"/>
  <c r="E626" i="1"/>
  <c r="B627" i="1"/>
  <c r="E627" i="1"/>
  <c r="B628" i="1"/>
  <c r="E628" i="1"/>
  <c r="B629" i="1"/>
  <c r="E629" i="1"/>
  <c r="B630" i="1"/>
  <c r="E630" i="1"/>
  <c r="B631" i="1"/>
  <c r="E631" i="1"/>
  <c r="B632" i="1"/>
  <c r="E632" i="1"/>
  <c r="B633" i="1"/>
  <c r="E633" i="1"/>
  <c r="B634" i="1"/>
  <c r="E634" i="1"/>
  <c r="B635" i="1"/>
  <c r="E635" i="1"/>
  <c r="B636" i="1"/>
  <c r="E636" i="1"/>
  <c r="B637" i="1"/>
  <c r="E637" i="1"/>
  <c r="B638" i="1"/>
  <c r="E638" i="1"/>
  <c r="B639" i="1"/>
  <c r="E639" i="1"/>
  <c r="B640" i="1"/>
  <c r="E640" i="1"/>
  <c r="B641" i="1"/>
  <c r="E641" i="1"/>
  <c r="B642" i="1"/>
  <c r="E642" i="1"/>
  <c r="B643" i="1"/>
  <c r="E643" i="1"/>
  <c r="B644" i="1"/>
  <c r="E644" i="1"/>
  <c r="B645" i="1"/>
  <c r="E645" i="1"/>
  <c r="B646" i="1"/>
  <c r="E646" i="1"/>
  <c r="B647" i="1"/>
  <c r="E647" i="1"/>
  <c r="B648" i="1"/>
  <c r="E648" i="1"/>
  <c r="B649" i="1"/>
  <c r="E649" i="1"/>
  <c r="B650" i="1"/>
  <c r="E650" i="1"/>
  <c r="B651" i="1"/>
  <c r="E651" i="1"/>
  <c r="B652" i="1"/>
  <c r="E652" i="1"/>
  <c r="B653" i="1"/>
  <c r="E653" i="1"/>
  <c r="B654" i="1"/>
  <c r="E654" i="1"/>
  <c r="B655" i="1"/>
  <c r="E655" i="1"/>
  <c r="B656" i="1"/>
  <c r="E656" i="1"/>
  <c r="B657" i="1"/>
  <c r="E657" i="1"/>
  <c r="B658" i="1"/>
  <c r="E658" i="1"/>
  <c r="B659" i="1"/>
  <c r="E659" i="1"/>
  <c r="B660" i="1"/>
  <c r="E660" i="1"/>
  <c r="B661" i="1"/>
  <c r="E661" i="1"/>
  <c r="B662" i="1"/>
  <c r="E662" i="1"/>
  <c r="B663" i="1"/>
  <c r="E663" i="1"/>
  <c r="B664" i="1"/>
  <c r="E664" i="1"/>
  <c r="B665" i="1"/>
  <c r="E665" i="1"/>
  <c r="B666" i="1"/>
  <c r="E666" i="1"/>
  <c r="B667" i="1"/>
  <c r="E667" i="1"/>
  <c r="B668" i="1"/>
  <c r="E668" i="1"/>
  <c r="B669" i="1"/>
  <c r="E669" i="1"/>
  <c r="B670" i="1"/>
  <c r="E670" i="1"/>
  <c r="B671" i="1"/>
  <c r="E671" i="1"/>
  <c r="B672" i="1"/>
  <c r="E672" i="1"/>
  <c r="B673" i="1"/>
  <c r="E673" i="1"/>
  <c r="B674" i="1"/>
  <c r="E674" i="1"/>
  <c r="B675" i="1"/>
  <c r="E675" i="1"/>
  <c r="B676" i="1"/>
  <c r="E676" i="1"/>
  <c r="B677" i="1"/>
  <c r="E677" i="1"/>
  <c r="B678" i="1"/>
  <c r="E678" i="1"/>
  <c r="B679" i="1"/>
  <c r="E679" i="1"/>
  <c r="B680" i="1"/>
  <c r="E680" i="1"/>
  <c r="B681" i="1"/>
  <c r="E681" i="1"/>
  <c r="B682" i="1"/>
  <c r="E682" i="1"/>
  <c r="B683" i="1"/>
  <c r="E683" i="1"/>
  <c r="B684" i="1"/>
  <c r="E684" i="1"/>
  <c r="B685" i="1"/>
  <c r="E685" i="1"/>
  <c r="B686" i="1"/>
  <c r="E686" i="1"/>
  <c r="B687" i="1"/>
  <c r="E687" i="1"/>
  <c r="B688" i="1"/>
  <c r="E688" i="1"/>
  <c r="B689" i="1"/>
  <c r="E689" i="1"/>
  <c r="B690" i="1"/>
  <c r="E690" i="1"/>
  <c r="B691" i="1"/>
  <c r="E691" i="1"/>
  <c r="B692" i="1"/>
  <c r="E692" i="1"/>
  <c r="B693" i="1"/>
  <c r="E693" i="1"/>
  <c r="B694" i="1"/>
  <c r="E694" i="1"/>
  <c r="B695" i="1"/>
  <c r="E695" i="1"/>
  <c r="B696" i="1"/>
  <c r="E696" i="1"/>
  <c r="B697" i="1"/>
  <c r="E697" i="1"/>
  <c r="B698" i="1"/>
  <c r="E698" i="1"/>
  <c r="B699" i="1"/>
  <c r="E699" i="1"/>
  <c r="B700" i="1"/>
  <c r="E700" i="1"/>
  <c r="B701" i="1"/>
  <c r="E701" i="1"/>
  <c r="B702" i="1"/>
  <c r="E702" i="1"/>
  <c r="B703" i="1"/>
  <c r="E703" i="1"/>
  <c r="B704" i="1"/>
  <c r="E704" i="1"/>
  <c r="B705" i="1"/>
  <c r="E705" i="1"/>
  <c r="B706" i="1"/>
  <c r="E706" i="1"/>
  <c r="B707" i="1"/>
  <c r="E707" i="1"/>
  <c r="B708" i="1"/>
  <c r="E708" i="1"/>
  <c r="B709" i="1"/>
  <c r="E709" i="1"/>
  <c r="B710" i="1"/>
  <c r="E710" i="1"/>
  <c r="B711" i="1"/>
  <c r="E711" i="1"/>
  <c r="B712" i="1"/>
  <c r="E712" i="1"/>
  <c r="B713" i="1"/>
  <c r="E713" i="1"/>
  <c r="B714" i="1"/>
  <c r="E714" i="1"/>
  <c r="B715" i="1"/>
  <c r="E715" i="1"/>
  <c r="B716" i="1"/>
  <c r="E716" i="1"/>
  <c r="B717" i="1"/>
  <c r="E717" i="1"/>
  <c r="B718" i="1"/>
  <c r="E718" i="1"/>
  <c r="B719" i="1"/>
  <c r="E719" i="1"/>
  <c r="B720" i="1"/>
  <c r="E720" i="1"/>
  <c r="B721" i="1"/>
  <c r="E721" i="1"/>
  <c r="B722" i="1"/>
  <c r="E722" i="1"/>
  <c r="B723" i="1"/>
  <c r="E723" i="1"/>
  <c r="B724" i="1"/>
  <c r="E724" i="1"/>
  <c r="B725" i="1"/>
  <c r="E725" i="1"/>
  <c r="B726" i="1"/>
  <c r="E726" i="1"/>
  <c r="B727" i="1"/>
  <c r="E727" i="1"/>
  <c r="B728" i="1"/>
  <c r="E728" i="1"/>
  <c r="B729" i="1"/>
  <c r="E729" i="1"/>
  <c r="B730" i="1"/>
  <c r="E730" i="1"/>
  <c r="B731" i="1"/>
  <c r="E731" i="1"/>
  <c r="B732" i="1"/>
  <c r="E732" i="1"/>
  <c r="B733" i="1"/>
  <c r="E733" i="1"/>
  <c r="B734" i="1"/>
  <c r="E734" i="1"/>
  <c r="B735" i="1"/>
  <c r="E735" i="1"/>
  <c r="B736" i="1"/>
  <c r="E736" i="1"/>
  <c r="B737" i="1"/>
  <c r="E737" i="1"/>
  <c r="B738" i="1"/>
  <c r="E738" i="1"/>
  <c r="B739" i="1"/>
  <c r="E739" i="1"/>
  <c r="B740" i="1"/>
  <c r="E740" i="1"/>
  <c r="B741" i="1"/>
  <c r="E741" i="1"/>
  <c r="B742" i="1"/>
  <c r="E742" i="1"/>
  <c r="B743" i="1"/>
  <c r="E743" i="1"/>
  <c r="B744" i="1"/>
  <c r="E744" i="1"/>
  <c r="B745" i="1"/>
  <c r="E745" i="1"/>
  <c r="B746" i="1"/>
  <c r="E746" i="1"/>
  <c r="B747" i="1"/>
  <c r="E747" i="1"/>
  <c r="B748" i="1"/>
  <c r="E748" i="1"/>
  <c r="B749" i="1"/>
  <c r="E749" i="1"/>
  <c r="B750" i="1"/>
  <c r="E750" i="1"/>
  <c r="B751" i="1"/>
  <c r="E751" i="1"/>
  <c r="B752" i="1"/>
  <c r="E752" i="1"/>
  <c r="B753" i="1"/>
  <c r="E753" i="1"/>
  <c r="B754" i="1"/>
  <c r="E754" i="1"/>
  <c r="B755" i="1"/>
  <c r="E755" i="1"/>
  <c r="B756" i="1"/>
  <c r="E756" i="1"/>
  <c r="B757" i="1"/>
  <c r="E757" i="1"/>
  <c r="B758" i="1"/>
  <c r="E758" i="1"/>
  <c r="B759" i="1"/>
  <c r="E759" i="1"/>
  <c r="B760" i="1"/>
  <c r="E760" i="1"/>
  <c r="B761" i="1"/>
  <c r="E761" i="1"/>
  <c r="B762" i="1"/>
  <c r="E762" i="1"/>
  <c r="B763" i="1"/>
  <c r="E763" i="1"/>
  <c r="B764" i="1"/>
  <c r="E764" i="1"/>
  <c r="B765" i="1"/>
  <c r="E765" i="1"/>
  <c r="B766" i="1"/>
  <c r="E766" i="1"/>
  <c r="B767" i="1"/>
  <c r="E767" i="1"/>
  <c r="B768" i="1"/>
  <c r="E768" i="1"/>
  <c r="B769" i="1"/>
  <c r="E769" i="1"/>
  <c r="B770" i="1"/>
  <c r="E770" i="1"/>
  <c r="B771" i="1"/>
  <c r="E771" i="1"/>
  <c r="B772" i="1"/>
  <c r="E772" i="1"/>
  <c r="B773" i="1"/>
  <c r="E773" i="1"/>
  <c r="B774" i="1"/>
  <c r="E774" i="1"/>
  <c r="B775" i="1"/>
  <c r="E775" i="1"/>
  <c r="B776" i="1"/>
  <c r="E776" i="1"/>
  <c r="B777" i="1"/>
  <c r="E777" i="1"/>
  <c r="B778" i="1"/>
  <c r="E778" i="1"/>
  <c r="B779" i="1"/>
  <c r="E779" i="1"/>
  <c r="B780" i="1"/>
  <c r="E780" i="1"/>
  <c r="B781" i="1"/>
  <c r="E781" i="1"/>
  <c r="B782" i="1"/>
  <c r="E782" i="1"/>
  <c r="B783" i="1"/>
  <c r="E783" i="1"/>
  <c r="B784" i="1"/>
  <c r="E784" i="1"/>
  <c r="B785" i="1"/>
  <c r="E785" i="1"/>
  <c r="B786" i="1"/>
  <c r="E786" i="1"/>
  <c r="B787" i="1"/>
  <c r="E787" i="1"/>
  <c r="B788" i="1"/>
  <c r="E788" i="1"/>
  <c r="B789" i="1"/>
  <c r="E789" i="1"/>
  <c r="B790" i="1"/>
  <c r="E790" i="1"/>
  <c r="B791" i="1"/>
  <c r="E791" i="1"/>
  <c r="B792" i="1"/>
  <c r="E792" i="1"/>
  <c r="B793" i="1"/>
  <c r="E793" i="1"/>
  <c r="B794" i="1"/>
  <c r="E794" i="1"/>
  <c r="B795" i="1"/>
  <c r="E795" i="1"/>
  <c r="B796" i="1"/>
  <c r="E796" i="1"/>
  <c r="B797" i="1"/>
  <c r="E797" i="1"/>
  <c r="B798" i="1"/>
  <c r="E798" i="1"/>
  <c r="B799" i="1"/>
  <c r="E799" i="1"/>
  <c r="B800" i="1"/>
  <c r="E800" i="1"/>
  <c r="B801" i="1"/>
  <c r="E801" i="1"/>
  <c r="B802" i="1"/>
  <c r="E802" i="1"/>
  <c r="B803" i="1"/>
  <c r="E803" i="1"/>
  <c r="B804" i="1"/>
  <c r="E804" i="1"/>
  <c r="B805" i="1"/>
  <c r="E805" i="1"/>
  <c r="B806" i="1"/>
  <c r="E806" i="1"/>
  <c r="B807" i="1"/>
  <c r="E807" i="1"/>
  <c r="B808" i="1"/>
  <c r="E808" i="1"/>
  <c r="B809" i="1"/>
  <c r="E809" i="1"/>
  <c r="B810" i="1"/>
  <c r="E810" i="1"/>
  <c r="B811" i="1"/>
  <c r="E811" i="1"/>
  <c r="B812" i="1"/>
  <c r="E812" i="1"/>
  <c r="B813" i="1"/>
  <c r="E813" i="1"/>
  <c r="B814" i="1"/>
  <c r="E814" i="1"/>
  <c r="B815" i="1"/>
  <c r="E815" i="1"/>
  <c r="B816" i="1"/>
  <c r="E816" i="1"/>
  <c r="B817" i="1"/>
  <c r="E817" i="1"/>
  <c r="B818" i="1"/>
  <c r="E818" i="1"/>
  <c r="B819" i="1"/>
  <c r="E819" i="1"/>
  <c r="B820" i="1"/>
  <c r="E820" i="1"/>
  <c r="B821" i="1"/>
  <c r="E821" i="1"/>
  <c r="B822" i="1"/>
  <c r="E822" i="1"/>
  <c r="B823" i="1"/>
  <c r="E823" i="1"/>
  <c r="B824" i="1"/>
  <c r="E824" i="1"/>
  <c r="B825" i="1"/>
  <c r="E825" i="1"/>
  <c r="B826" i="1"/>
  <c r="E826" i="1"/>
  <c r="B827" i="1"/>
  <c r="E827" i="1"/>
  <c r="B828" i="1"/>
  <c r="E828" i="1"/>
  <c r="B829" i="1"/>
  <c r="E829" i="1"/>
  <c r="B830" i="1"/>
  <c r="E830" i="1"/>
  <c r="B831" i="1"/>
  <c r="E831" i="1"/>
  <c r="B832" i="1"/>
  <c r="E832" i="1"/>
  <c r="B833" i="1"/>
  <c r="E833" i="1"/>
  <c r="B834" i="1"/>
  <c r="E834" i="1"/>
  <c r="B835" i="1"/>
  <c r="E835" i="1"/>
  <c r="B836" i="1"/>
  <c r="E836" i="1"/>
  <c r="B837" i="1"/>
  <c r="E837" i="1"/>
  <c r="B838" i="1"/>
  <c r="E838" i="1"/>
  <c r="B839" i="1"/>
  <c r="E839" i="1"/>
  <c r="B840" i="1"/>
  <c r="E840" i="1"/>
  <c r="B841" i="1"/>
  <c r="E841" i="1"/>
  <c r="B842" i="1"/>
  <c r="E842" i="1"/>
  <c r="B843" i="1"/>
  <c r="E843" i="1"/>
  <c r="B844" i="1"/>
  <c r="E844" i="1"/>
  <c r="B845" i="1"/>
  <c r="E845" i="1"/>
  <c r="B846" i="1"/>
  <c r="E846" i="1"/>
  <c r="B847" i="1"/>
  <c r="E847" i="1"/>
  <c r="B848" i="1"/>
  <c r="E848" i="1"/>
  <c r="B849" i="1"/>
  <c r="E849" i="1"/>
  <c r="B850" i="1"/>
  <c r="E850" i="1"/>
  <c r="B851" i="1"/>
  <c r="E851" i="1"/>
  <c r="B852" i="1"/>
  <c r="E852" i="1"/>
  <c r="B853" i="1"/>
  <c r="E853" i="1"/>
  <c r="B854" i="1"/>
  <c r="E854" i="1"/>
  <c r="B855" i="1"/>
  <c r="E855" i="1"/>
  <c r="B856" i="1"/>
  <c r="E856" i="1"/>
  <c r="B857" i="1"/>
  <c r="E857" i="1"/>
  <c r="B858" i="1"/>
  <c r="E858" i="1"/>
  <c r="B859" i="1"/>
  <c r="E859" i="1"/>
  <c r="B860" i="1"/>
  <c r="E860" i="1"/>
  <c r="B861" i="1"/>
  <c r="E861" i="1"/>
  <c r="B862" i="1"/>
  <c r="E862" i="1"/>
  <c r="B863" i="1"/>
  <c r="E863" i="1"/>
  <c r="B864" i="1"/>
  <c r="E864" i="1"/>
  <c r="B865" i="1"/>
  <c r="E865" i="1"/>
  <c r="B866" i="1"/>
  <c r="E866" i="1"/>
  <c r="B867" i="1"/>
  <c r="E867" i="1"/>
  <c r="B868" i="1"/>
  <c r="E868" i="1"/>
  <c r="B869" i="1"/>
  <c r="E869" i="1"/>
  <c r="B870" i="1"/>
  <c r="E870" i="1"/>
  <c r="B871" i="1"/>
  <c r="E871" i="1"/>
  <c r="B872" i="1"/>
  <c r="E872" i="1"/>
  <c r="B873" i="1"/>
  <c r="E873" i="1"/>
  <c r="B874" i="1"/>
  <c r="E874" i="1"/>
  <c r="B875" i="1"/>
  <c r="E875" i="1"/>
  <c r="B876" i="1"/>
  <c r="E876" i="1"/>
  <c r="B877" i="1"/>
  <c r="E877" i="1"/>
  <c r="B878" i="1"/>
  <c r="E878" i="1"/>
  <c r="B879" i="1"/>
  <c r="E879" i="1"/>
  <c r="B880" i="1"/>
  <c r="E880" i="1"/>
  <c r="B881" i="1"/>
  <c r="E881" i="1"/>
  <c r="B882" i="1"/>
  <c r="E882" i="1"/>
  <c r="B883" i="1"/>
  <c r="E883" i="1"/>
  <c r="B884" i="1"/>
  <c r="E884" i="1"/>
  <c r="B885" i="1"/>
  <c r="E885" i="1"/>
  <c r="B886" i="1"/>
  <c r="E886" i="1"/>
  <c r="B887" i="1"/>
  <c r="E887" i="1"/>
  <c r="B888" i="1"/>
  <c r="E888" i="1"/>
  <c r="B889" i="1"/>
  <c r="E889" i="1"/>
  <c r="B890" i="1"/>
  <c r="E890" i="1"/>
  <c r="B891" i="1"/>
  <c r="E891" i="1"/>
  <c r="B892" i="1"/>
  <c r="E892" i="1"/>
  <c r="B893" i="1"/>
  <c r="E893" i="1"/>
  <c r="B894" i="1"/>
  <c r="E894" i="1"/>
  <c r="B895" i="1"/>
  <c r="E895" i="1"/>
  <c r="B896" i="1"/>
  <c r="E896" i="1"/>
  <c r="B897" i="1"/>
  <c r="E897" i="1"/>
  <c r="B898" i="1"/>
  <c r="E898" i="1"/>
  <c r="B899" i="1"/>
  <c r="E899" i="1"/>
  <c r="B900" i="1"/>
  <c r="E900" i="1"/>
  <c r="B901" i="1"/>
  <c r="E901" i="1"/>
  <c r="B902" i="1"/>
  <c r="E902" i="1"/>
  <c r="B903" i="1"/>
  <c r="E903" i="1"/>
  <c r="B904" i="1"/>
  <c r="E904" i="1"/>
  <c r="B905" i="1"/>
  <c r="E905" i="1"/>
  <c r="B906" i="1"/>
  <c r="E906" i="1"/>
  <c r="B907" i="1"/>
  <c r="E907" i="1"/>
  <c r="B908" i="1"/>
  <c r="E908" i="1"/>
  <c r="B909" i="1"/>
  <c r="E909" i="1"/>
  <c r="B910" i="1"/>
  <c r="E910" i="1"/>
  <c r="B911" i="1"/>
  <c r="E911" i="1"/>
  <c r="B912" i="1"/>
  <c r="E912" i="1"/>
  <c r="B913" i="1"/>
  <c r="E913" i="1"/>
  <c r="B914" i="1"/>
  <c r="E914" i="1"/>
  <c r="B915" i="1"/>
  <c r="E915" i="1"/>
  <c r="B916" i="1"/>
  <c r="E916" i="1"/>
  <c r="B917" i="1"/>
  <c r="E917" i="1"/>
  <c r="B918" i="1"/>
  <c r="E918" i="1"/>
  <c r="B919" i="1"/>
  <c r="E919" i="1"/>
  <c r="B920" i="1"/>
  <c r="E920" i="1"/>
  <c r="B921" i="1"/>
  <c r="E921" i="1"/>
  <c r="B922" i="1"/>
  <c r="E922" i="1"/>
  <c r="B923" i="1"/>
  <c r="E923" i="1"/>
  <c r="B924" i="1"/>
  <c r="E924" i="1"/>
  <c r="B925" i="1"/>
  <c r="E925" i="1"/>
  <c r="B926" i="1"/>
  <c r="E926" i="1"/>
  <c r="B927" i="1"/>
  <c r="E927" i="1"/>
  <c r="B928" i="1"/>
  <c r="E928" i="1"/>
  <c r="B929" i="1"/>
  <c r="E929" i="1"/>
  <c r="B930" i="1"/>
  <c r="E930" i="1"/>
  <c r="B931" i="1"/>
  <c r="E931" i="1"/>
  <c r="B932" i="1"/>
  <c r="E932" i="1"/>
  <c r="B933" i="1"/>
  <c r="E933" i="1"/>
  <c r="B934" i="1"/>
  <c r="E934" i="1"/>
  <c r="B935" i="1"/>
  <c r="E935" i="1"/>
  <c r="B936" i="1"/>
  <c r="E936" i="1"/>
  <c r="B937" i="1"/>
  <c r="E937" i="1"/>
  <c r="B938" i="1"/>
  <c r="E938" i="1"/>
  <c r="B939" i="1"/>
  <c r="E939" i="1"/>
  <c r="B940" i="1"/>
  <c r="E940" i="1"/>
  <c r="B941" i="1"/>
  <c r="E941" i="1"/>
  <c r="B942" i="1"/>
  <c r="E942" i="1"/>
  <c r="B943" i="1"/>
  <c r="E943" i="1"/>
  <c r="B944" i="1"/>
  <c r="E944" i="1"/>
  <c r="B945" i="1"/>
  <c r="E945" i="1"/>
  <c r="B946" i="1"/>
  <c r="E946" i="1"/>
  <c r="B947" i="1"/>
  <c r="E947" i="1"/>
  <c r="B948" i="1"/>
  <c r="E948" i="1"/>
  <c r="B949" i="1"/>
  <c r="E949" i="1"/>
  <c r="B950" i="1"/>
  <c r="E950" i="1"/>
  <c r="B951" i="1"/>
  <c r="E951" i="1"/>
  <c r="B952" i="1"/>
  <c r="E952" i="1"/>
  <c r="B953" i="1"/>
  <c r="E953" i="1"/>
  <c r="B954" i="1"/>
  <c r="E954" i="1"/>
  <c r="B955" i="1"/>
  <c r="E955" i="1"/>
  <c r="B956" i="1"/>
  <c r="E956" i="1"/>
  <c r="B957" i="1"/>
  <c r="E957" i="1"/>
  <c r="B958" i="1"/>
  <c r="E958" i="1"/>
  <c r="B959" i="1"/>
  <c r="E959" i="1"/>
  <c r="B960" i="1"/>
  <c r="E960" i="1"/>
  <c r="B961" i="1"/>
  <c r="E961" i="1"/>
  <c r="B962" i="1"/>
  <c r="E962" i="1"/>
  <c r="B963" i="1"/>
  <c r="E963" i="1"/>
  <c r="B964" i="1"/>
  <c r="E964" i="1"/>
  <c r="B965" i="1"/>
  <c r="E965" i="1"/>
  <c r="B966" i="1"/>
  <c r="E966" i="1"/>
  <c r="B967" i="1"/>
  <c r="E967" i="1"/>
  <c r="B968" i="1"/>
  <c r="E968" i="1"/>
  <c r="B969" i="1"/>
  <c r="E969" i="1"/>
  <c r="B970" i="1"/>
  <c r="E970" i="1"/>
  <c r="B971" i="1"/>
  <c r="E971" i="1"/>
  <c r="B972" i="1"/>
  <c r="E972" i="1"/>
  <c r="B973" i="1"/>
  <c r="E973" i="1"/>
  <c r="B974" i="1"/>
  <c r="E974" i="1"/>
  <c r="B975" i="1"/>
  <c r="E975" i="1"/>
  <c r="B976" i="1"/>
  <c r="E976" i="1"/>
  <c r="B977" i="1"/>
  <c r="E977" i="1"/>
  <c r="B978" i="1"/>
  <c r="E978" i="1"/>
  <c r="B979" i="1"/>
  <c r="E979" i="1"/>
  <c r="B980" i="1"/>
  <c r="E980" i="1"/>
  <c r="B981" i="1"/>
  <c r="E981" i="1"/>
  <c r="B982" i="1"/>
  <c r="E982" i="1"/>
  <c r="B983" i="1"/>
  <c r="E983" i="1"/>
  <c r="B984" i="1"/>
  <c r="E984" i="1"/>
  <c r="B985" i="1"/>
  <c r="E985" i="1"/>
  <c r="B986" i="1"/>
  <c r="E986" i="1"/>
  <c r="B987" i="1"/>
  <c r="E987" i="1"/>
  <c r="B988" i="1"/>
  <c r="E988" i="1"/>
  <c r="B989" i="1"/>
  <c r="E989" i="1"/>
  <c r="B990" i="1"/>
  <c r="E990" i="1"/>
  <c r="B991" i="1"/>
  <c r="E991" i="1"/>
  <c r="B992" i="1"/>
  <c r="E992" i="1"/>
  <c r="B993" i="1"/>
  <c r="E993" i="1"/>
  <c r="B994" i="1"/>
  <c r="E994" i="1"/>
  <c r="B995" i="1"/>
  <c r="E995" i="1"/>
  <c r="B996" i="1"/>
  <c r="E996" i="1"/>
  <c r="B997" i="1"/>
  <c r="E997" i="1"/>
  <c r="B998" i="1"/>
  <c r="E998" i="1"/>
  <c r="B999" i="1"/>
  <c r="E999" i="1"/>
  <c r="B1000" i="1"/>
  <c r="E1000" i="1"/>
  <c r="B1001" i="1"/>
  <c r="E1001" i="1"/>
  <c r="B1002" i="1"/>
  <c r="E1002" i="1"/>
  <c r="B1003" i="1"/>
  <c r="E1003" i="1"/>
  <c r="B1004" i="1"/>
  <c r="E1004" i="1"/>
  <c r="B1005" i="1"/>
  <c r="E1005" i="1"/>
  <c r="B1006" i="1"/>
  <c r="E1006" i="1"/>
  <c r="B1007" i="1"/>
  <c r="E1007" i="1"/>
  <c r="B1008" i="1"/>
  <c r="E1008" i="1"/>
  <c r="B1009" i="1"/>
  <c r="E1009" i="1"/>
  <c r="B1010" i="1"/>
  <c r="E1010" i="1"/>
  <c r="B1011" i="1"/>
  <c r="E1011" i="1"/>
  <c r="B1012" i="1"/>
  <c r="E1012" i="1"/>
  <c r="B1013" i="1"/>
  <c r="E1013" i="1"/>
  <c r="B1014" i="1"/>
  <c r="E1014" i="1"/>
  <c r="B1015" i="1"/>
  <c r="E1015" i="1"/>
  <c r="B1016" i="1"/>
  <c r="E1016" i="1"/>
  <c r="B1017" i="1"/>
  <c r="E1017" i="1"/>
  <c r="B1018" i="1"/>
  <c r="E1018" i="1"/>
  <c r="B1019" i="1"/>
  <c r="E1019" i="1"/>
  <c r="B1020" i="1"/>
  <c r="E1020" i="1"/>
  <c r="B1021" i="1"/>
  <c r="E1021" i="1"/>
  <c r="B1022" i="1"/>
  <c r="E1022" i="1"/>
  <c r="B1023" i="1"/>
  <c r="E1023" i="1"/>
  <c r="B1024" i="1"/>
  <c r="E1024" i="1"/>
  <c r="B1025" i="1"/>
  <c r="E1025" i="1"/>
  <c r="B1026" i="1"/>
  <c r="E1026" i="1"/>
  <c r="B1027" i="1"/>
  <c r="E1027" i="1"/>
  <c r="B1028" i="1"/>
  <c r="E1028" i="1"/>
  <c r="B1029" i="1"/>
  <c r="E1029" i="1"/>
  <c r="B1030" i="1"/>
  <c r="E1030" i="1"/>
  <c r="B1031" i="1"/>
  <c r="E1031" i="1"/>
  <c r="B1032" i="1"/>
  <c r="E1032" i="1"/>
  <c r="B1033" i="1"/>
  <c r="E1033" i="1"/>
  <c r="B1034" i="1"/>
  <c r="E1034" i="1"/>
  <c r="B1035" i="1"/>
  <c r="E1035" i="1"/>
  <c r="B1036" i="1"/>
  <c r="E1036" i="1"/>
  <c r="B1037" i="1"/>
  <c r="E1037" i="1"/>
  <c r="B1038" i="1"/>
  <c r="E1038" i="1"/>
  <c r="B1039" i="1"/>
  <c r="E1039" i="1"/>
  <c r="B1040" i="1"/>
  <c r="E1040" i="1"/>
  <c r="B1041" i="1"/>
  <c r="E1041" i="1"/>
  <c r="B1042" i="1"/>
  <c r="E1042" i="1"/>
  <c r="B1043" i="1"/>
  <c r="E1043" i="1"/>
  <c r="B1044" i="1"/>
  <c r="E1044" i="1"/>
  <c r="B1045" i="1"/>
  <c r="E1045" i="1"/>
  <c r="B1046" i="1"/>
  <c r="E1046" i="1"/>
  <c r="B1047" i="1"/>
  <c r="E1047" i="1"/>
  <c r="B1048" i="1"/>
  <c r="E1048" i="1"/>
  <c r="B1049" i="1"/>
  <c r="E1049" i="1"/>
  <c r="B1050" i="1"/>
  <c r="E1050" i="1"/>
  <c r="B1051" i="1"/>
  <c r="E1051" i="1"/>
  <c r="B1052" i="1"/>
  <c r="E1052" i="1"/>
  <c r="B1053" i="1"/>
  <c r="E1053" i="1"/>
  <c r="B1054" i="1"/>
  <c r="E1054" i="1"/>
  <c r="B1055" i="1"/>
  <c r="E1055" i="1"/>
  <c r="B1056" i="1"/>
  <c r="E1056" i="1"/>
  <c r="B1057" i="1"/>
  <c r="E1057" i="1"/>
  <c r="B1058" i="1"/>
  <c r="E1058" i="1"/>
  <c r="B1059" i="1"/>
  <c r="E1059" i="1"/>
  <c r="B1060" i="1"/>
  <c r="E1060" i="1"/>
  <c r="B1061" i="1"/>
  <c r="E1061" i="1"/>
  <c r="B1062" i="1"/>
  <c r="E1062" i="1"/>
  <c r="B1063" i="1"/>
  <c r="E1063" i="1"/>
  <c r="B1064" i="1"/>
  <c r="E1064" i="1"/>
  <c r="B1065" i="1"/>
  <c r="E1065" i="1"/>
  <c r="B1066" i="1"/>
  <c r="E1066" i="1"/>
  <c r="B1067" i="1"/>
  <c r="E1067" i="1"/>
  <c r="B1068" i="1"/>
  <c r="E1068" i="1"/>
  <c r="B1069" i="1"/>
  <c r="E1069" i="1"/>
  <c r="B1070" i="1"/>
  <c r="E1070" i="1"/>
  <c r="B1071" i="1"/>
  <c r="E1071" i="1"/>
  <c r="B1072" i="1"/>
  <c r="E1072" i="1"/>
  <c r="B1073" i="1"/>
  <c r="E1073" i="1"/>
  <c r="B1074" i="1"/>
  <c r="E1074" i="1"/>
  <c r="B1075" i="1"/>
  <c r="E1075" i="1"/>
  <c r="B1076" i="1"/>
  <c r="E1076" i="1"/>
  <c r="B1077" i="1"/>
  <c r="E1077" i="1"/>
  <c r="B1078" i="1"/>
  <c r="E1078" i="1"/>
  <c r="B1079" i="1"/>
  <c r="E1079" i="1"/>
  <c r="B1080" i="1"/>
  <c r="E1080" i="1"/>
  <c r="B1081" i="1"/>
  <c r="E1081" i="1"/>
  <c r="B1082" i="1"/>
  <c r="E1082" i="1"/>
  <c r="B1083" i="1"/>
  <c r="E1083" i="1"/>
  <c r="B1084" i="1"/>
  <c r="E1084" i="1"/>
  <c r="B1085" i="1"/>
  <c r="E1085" i="1"/>
  <c r="B1086" i="1"/>
  <c r="E1086" i="1"/>
  <c r="B1087" i="1"/>
  <c r="E1087" i="1"/>
  <c r="B1088" i="1"/>
  <c r="E1088" i="1"/>
  <c r="B1089" i="1"/>
  <c r="E1089" i="1"/>
  <c r="B1090" i="1"/>
  <c r="E1090" i="1"/>
  <c r="B1091" i="1"/>
  <c r="E1091" i="1"/>
  <c r="B1092" i="1"/>
  <c r="E1092" i="1"/>
  <c r="B1093" i="1"/>
  <c r="E1093" i="1"/>
  <c r="B1094" i="1"/>
  <c r="E1094" i="1"/>
  <c r="B1095" i="1"/>
  <c r="E1095" i="1"/>
  <c r="B1096" i="1"/>
  <c r="E1096" i="1"/>
  <c r="B1097" i="1"/>
  <c r="E1097" i="1"/>
  <c r="B1098" i="1"/>
  <c r="E1098" i="1"/>
  <c r="B1099" i="1"/>
  <c r="E1099" i="1"/>
  <c r="B1100" i="1"/>
  <c r="E1100" i="1"/>
  <c r="B1101" i="1"/>
  <c r="E1101" i="1"/>
  <c r="B1102" i="1"/>
  <c r="E1102" i="1"/>
  <c r="B1103" i="1"/>
  <c r="E1103" i="1"/>
  <c r="B1104" i="1"/>
  <c r="E1104" i="1"/>
  <c r="B1105" i="1"/>
  <c r="E1105" i="1"/>
  <c r="B1106" i="1"/>
  <c r="E1106" i="1"/>
  <c r="B1107" i="1"/>
  <c r="E1107" i="1"/>
  <c r="B1108" i="1"/>
  <c r="E1108" i="1"/>
  <c r="B1109" i="1"/>
  <c r="E1109" i="1"/>
  <c r="B1110" i="1"/>
  <c r="E1110" i="1"/>
  <c r="B1111" i="1"/>
  <c r="E1111" i="1"/>
  <c r="B1112" i="1"/>
  <c r="E1112" i="1"/>
  <c r="B1113" i="1"/>
  <c r="E1113" i="1"/>
  <c r="B1114" i="1"/>
  <c r="E1114" i="1"/>
  <c r="B1115" i="1"/>
  <c r="E1115" i="1"/>
  <c r="B1116" i="1"/>
  <c r="E1116" i="1"/>
  <c r="B1117" i="1"/>
  <c r="E1117" i="1"/>
  <c r="B1118" i="1"/>
  <c r="E1118" i="1"/>
  <c r="B1119" i="1"/>
  <c r="E1119" i="1"/>
  <c r="B1120" i="1"/>
  <c r="E1120" i="1"/>
  <c r="B1121" i="1"/>
  <c r="E1121" i="1"/>
  <c r="B1122" i="1"/>
  <c r="E1122" i="1"/>
  <c r="B1123" i="1"/>
  <c r="E1123" i="1"/>
  <c r="B1124" i="1"/>
  <c r="E1124" i="1"/>
  <c r="B1125" i="1"/>
  <c r="E1125" i="1"/>
  <c r="B1126" i="1"/>
  <c r="E1126" i="1"/>
  <c r="B1127" i="1"/>
  <c r="E1127" i="1"/>
  <c r="B1128" i="1"/>
  <c r="E1128" i="1"/>
  <c r="B1129" i="1"/>
  <c r="E1129" i="1"/>
  <c r="B1130" i="1"/>
  <c r="E1130" i="1"/>
  <c r="B1131" i="1"/>
  <c r="E1131" i="1"/>
  <c r="B1132" i="1"/>
  <c r="E1132" i="1"/>
  <c r="B1133" i="1"/>
  <c r="E1133" i="1"/>
  <c r="B1134" i="1"/>
  <c r="E1134" i="1"/>
  <c r="B1135" i="1"/>
  <c r="E1135" i="1"/>
  <c r="B1136" i="1"/>
  <c r="E1136" i="1"/>
  <c r="B1137" i="1"/>
  <c r="E1137" i="1"/>
  <c r="B1138" i="1"/>
  <c r="E1138" i="1"/>
  <c r="B1139" i="1"/>
  <c r="E1139" i="1"/>
  <c r="B1140" i="1"/>
  <c r="E1140" i="1"/>
  <c r="B1141" i="1"/>
  <c r="E1141" i="1"/>
  <c r="B1142" i="1"/>
  <c r="E1142" i="1"/>
  <c r="B1143" i="1"/>
  <c r="E1143" i="1"/>
  <c r="B1144" i="1"/>
  <c r="E1144" i="1"/>
  <c r="B1145" i="1"/>
  <c r="E1145" i="1"/>
  <c r="B1146" i="1"/>
  <c r="E1146" i="1"/>
  <c r="B1147" i="1"/>
  <c r="E1147" i="1"/>
  <c r="B1148" i="1"/>
  <c r="E1148" i="1"/>
  <c r="B1149" i="1"/>
  <c r="E1149" i="1"/>
  <c r="B1150" i="1"/>
  <c r="E1150" i="1"/>
  <c r="B1151" i="1"/>
  <c r="E1151" i="1"/>
  <c r="B1152" i="1"/>
  <c r="E1152" i="1"/>
  <c r="B1153" i="1"/>
  <c r="E1153" i="1"/>
  <c r="B1154" i="1"/>
  <c r="E1154" i="1"/>
  <c r="B1155" i="1"/>
  <c r="E1155" i="1"/>
  <c r="B1156" i="1"/>
  <c r="E1156" i="1"/>
  <c r="B1157" i="1"/>
  <c r="E1157" i="1"/>
  <c r="B1158" i="1"/>
  <c r="E1158" i="1"/>
  <c r="B1159" i="1"/>
  <c r="E1159" i="1"/>
  <c r="B1160" i="1"/>
  <c r="E1160" i="1"/>
  <c r="B1161" i="1"/>
  <c r="E1161" i="1"/>
  <c r="B1162" i="1"/>
  <c r="E1162" i="1"/>
  <c r="B1163" i="1"/>
  <c r="E1163" i="1"/>
  <c r="B1164" i="1"/>
  <c r="E1164" i="1"/>
  <c r="B1165" i="1"/>
  <c r="E1165" i="1"/>
  <c r="B1166" i="1"/>
  <c r="E1166" i="1"/>
  <c r="B1167" i="1"/>
  <c r="E1167" i="1"/>
  <c r="B1168" i="1"/>
  <c r="E1168" i="1"/>
  <c r="B1169" i="1"/>
  <c r="E1169" i="1"/>
  <c r="B1170" i="1"/>
  <c r="E1170" i="1"/>
  <c r="B1171" i="1"/>
  <c r="E1171" i="1"/>
  <c r="B1172" i="1"/>
  <c r="E1172" i="1"/>
  <c r="B1173" i="1"/>
  <c r="E1173" i="1"/>
  <c r="B1174" i="1"/>
  <c r="E1174" i="1"/>
  <c r="B1175" i="1"/>
  <c r="E1175" i="1"/>
  <c r="B1176" i="1"/>
  <c r="E1176" i="1"/>
  <c r="B1177" i="1"/>
  <c r="E1177" i="1"/>
  <c r="B1178" i="1"/>
  <c r="E1178" i="1"/>
  <c r="B1179" i="1"/>
  <c r="E1179" i="1"/>
  <c r="B1180" i="1"/>
  <c r="E1180" i="1"/>
  <c r="B1181" i="1"/>
  <c r="E1181" i="1"/>
  <c r="B1182" i="1"/>
  <c r="E1182" i="1"/>
  <c r="B1183" i="1"/>
  <c r="E1183" i="1"/>
  <c r="B1184" i="1"/>
  <c r="E1184" i="1"/>
  <c r="B1185" i="1"/>
  <c r="E1185" i="1"/>
  <c r="B1186" i="1"/>
  <c r="E1186" i="1"/>
  <c r="B1187" i="1"/>
  <c r="E1187" i="1"/>
  <c r="B1188" i="1"/>
  <c r="E1188" i="1"/>
  <c r="B1189" i="1"/>
  <c r="E1189" i="1"/>
  <c r="B1190" i="1"/>
  <c r="E1190" i="1"/>
  <c r="B1191" i="1"/>
  <c r="E1191" i="1"/>
  <c r="B1192" i="1"/>
  <c r="E1192" i="1"/>
  <c r="B1193" i="1"/>
  <c r="E1193" i="1"/>
  <c r="B1194" i="1"/>
  <c r="E1194" i="1"/>
  <c r="B1195" i="1"/>
  <c r="E1195" i="1"/>
  <c r="B1196" i="1"/>
  <c r="E1196" i="1"/>
  <c r="B1197" i="1"/>
  <c r="E1197" i="1"/>
  <c r="B1198" i="1"/>
  <c r="E1198" i="1"/>
  <c r="B1199" i="1"/>
  <c r="E1199" i="1"/>
  <c r="B1200" i="1"/>
  <c r="E1200" i="1"/>
  <c r="B1201" i="1"/>
  <c r="E1201" i="1"/>
  <c r="B1202" i="1"/>
  <c r="E1202" i="1"/>
  <c r="B1203" i="1"/>
  <c r="E1203" i="1"/>
  <c r="B1204" i="1"/>
  <c r="E1204" i="1"/>
  <c r="B1205" i="1"/>
  <c r="E1205" i="1"/>
  <c r="B1206" i="1"/>
  <c r="E1206" i="1"/>
  <c r="B1207" i="1"/>
  <c r="E1207" i="1"/>
  <c r="B1208" i="1"/>
  <c r="E1208" i="1"/>
  <c r="B1209" i="1"/>
  <c r="E1209" i="1"/>
  <c r="B1210" i="1"/>
  <c r="E1210" i="1"/>
  <c r="B1211" i="1"/>
  <c r="E1211" i="1"/>
  <c r="B1212" i="1"/>
  <c r="E1212" i="1"/>
  <c r="B1213" i="1"/>
  <c r="E1213" i="1"/>
  <c r="B1214" i="1"/>
  <c r="E1214" i="1"/>
  <c r="B1215" i="1"/>
  <c r="E1215" i="1"/>
  <c r="B1216" i="1"/>
  <c r="E1216" i="1"/>
  <c r="B1217" i="1"/>
  <c r="E1217" i="1"/>
  <c r="B1218" i="1"/>
  <c r="E1218" i="1"/>
  <c r="B1219" i="1"/>
  <c r="E1219" i="1"/>
  <c r="B1220" i="1"/>
  <c r="E1220" i="1"/>
  <c r="B1221" i="1"/>
  <c r="E1221" i="1"/>
  <c r="B1222" i="1"/>
  <c r="E1222" i="1"/>
  <c r="B1223" i="1"/>
  <c r="E1223" i="1"/>
  <c r="B1224" i="1"/>
  <c r="E1224" i="1"/>
  <c r="B1225" i="1"/>
  <c r="E1225" i="1"/>
  <c r="B1226" i="1"/>
  <c r="E1226" i="1"/>
  <c r="B1227" i="1"/>
  <c r="E1227" i="1"/>
  <c r="B1228" i="1"/>
  <c r="E1228" i="1"/>
  <c r="B1229" i="1"/>
  <c r="E1229" i="1"/>
  <c r="B1230" i="1"/>
  <c r="E1230" i="1"/>
  <c r="B1231" i="1"/>
  <c r="E1231" i="1"/>
  <c r="B1232" i="1"/>
  <c r="E1232" i="1"/>
  <c r="B1233" i="1"/>
  <c r="E1233" i="1"/>
  <c r="B1234" i="1"/>
  <c r="E1234" i="1"/>
  <c r="B1235" i="1"/>
  <c r="E1235" i="1"/>
  <c r="B1236" i="1"/>
  <c r="E1236" i="1"/>
  <c r="B1237" i="1"/>
  <c r="E1237" i="1"/>
  <c r="B1238" i="1"/>
  <c r="E1238" i="1"/>
  <c r="B1239" i="1"/>
  <c r="E1239" i="1"/>
  <c r="B1240" i="1"/>
  <c r="E1240" i="1"/>
  <c r="B1241" i="1"/>
  <c r="E1241" i="1"/>
  <c r="B1242" i="1"/>
  <c r="E1242" i="1"/>
  <c r="B1243" i="1"/>
  <c r="E1243" i="1"/>
  <c r="B1244" i="1"/>
  <c r="E1244" i="1"/>
  <c r="B1245" i="1"/>
  <c r="E1245" i="1"/>
  <c r="B1246" i="1"/>
  <c r="E1246" i="1"/>
  <c r="B1247" i="1"/>
  <c r="E1247" i="1"/>
  <c r="B1248" i="1"/>
  <c r="E1248" i="1"/>
  <c r="B1249" i="1"/>
  <c r="E1249" i="1"/>
  <c r="B1250" i="1"/>
  <c r="E1250" i="1"/>
  <c r="B1251" i="1"/>
  <c r="E1251" i="1"/>
  <c r="B1252" i="1"/>
  <c r="E1252" i="1"/>
  <c r="B1253" i="1"/>
  <c r="E1253" i="1"/>
  <c r="B1254" i="1"/>
  <c r="E1254" i="1"/>
  <c r="B1255" i="1"/>
  <c r="E1255" i="1"/>
  <c r="B1256" i="1"/>
  <c r="E1256" i="1"/>
  <c r="B1257" i="1"/>
  <c r="E1257" i="1"/>
  <c r="B1258" i="1"/>
  <c r="E1258" i="1"/>
  <c r="B1259" i="1"/>
  <c r="E1259" i="1"/>
  <c r="B1260" i="1"/>
  <c r="E1260" i="1"/>
  <c r="B1261" i="1"/>
  <c r="E1261" i="1"/>
  <c r="B1262" i="1"/>
  <c r="E1262" i="1"/>
  <c r="B1263" i="1"/>
  <c r="E1263" i="1"/>
  <c r="B1264" i="1"/>
  <c r="E1264" i="1"/>
  <c r="B1265" i="1"/>
  <c r="E1265" i="1"/>
  <c r="B1266" i="1"/>
  <c r="E1266" i="1"/>
  <c r="B1267" i="1"/>
  <c r="E1267" i="1"/>
  <c r="B1268" i="1"/>
  <c r="E1268" i="1"/>
  <c r="B1269" i="1"/>
  <c r="E1269" i="1"/>
  <c r="B1270" i="1"/>
  <c r="E1270" i="1"/>
  <c r="B1271" i="1"/>
  <c r="E1271" i="1"/>
  <c r="B1272" i="1"/>
  <c r="E1272" i="1"/>
  <c r="B1273" i="1"/>
  <c r="E1273" i="1"/>
  <c r="B1274" i="1"/>
  <c r="E1274" i="1"/>
  <c r="B1275" i="1"/>
  <c r="E1275" i="1"/>
  <c r="B1276" i="1"/>
  <c r="E1276" i="1"/>
  <c r="B1277" i="1"/>
  <c r="E1277" i="1"/>
  <c r="B1278" i="1"/>
  <c r="E1278" i="1"/>
  <c r="B1279" i="1"/>
  <c r="E1279" i="1"/>
  <c r="B1280" i="1"/>
  <c r="E1280" i="1"/>
  <c r="B1281" i="1"/>
  <c r="E1281" i="1"/>
  <c r="B1282" i="1"/>
  <c r="E1282" i="1"/>
  <c r="B1283" i="1"/>
  <c r="E1283" i="1"/>
  <c r="B1284" i="1"/>
  <c r="E1284" i="1"/>
  <c r="B1285" i="1"/>
  <c r="E1285" i="1"/>
  <c r="B1286" i="1"/>
  <c r="E1286" i="1"/>
  <c r="B1287" i="1"/>
  <c r="E1287" i="1"/>
  <c r="B1288" i="1"/>
  <c r="E1288" i="1"/>
  <c r="B1289" i="1"/>
  <c r="E1289" i="1"/>
  <c r="B1290" i="1"/>
  <c r="E1290" i="1"/>
  <c r="B1291" i="1"/>
  <c r="E1291" i="1"/>
  <c r="B1292" i="1"/>
  <c r="E1292" i="1"/>
  <c r="B1293" i="1"/>
  <c r="E1293" i="1"/>
  <c r="B1294" i="1"/>
  <c r="E1294" i="1"/>
  <c r="B1295" i="1"/>
  <c r="E1295" i="1"/>
  <c r="B1296" i="1"/>
  <c r="E1296" i="1"/>
  <c r="B1297" i="1"/>
  <c r="E1297" i="1"/>
  <c r="B1298" i="1"/>
  <c r="E1298" i="1"/>
  <c r="B1299" i="1"/>
  <c r="E1299" i="1"/>
  <c r="B1300" i="1"/>
  <c r="E1300" i="1"/>
  <c r="B1301" i="1"/>
  <c r="E1301" i="1"/>
  <c r="B1302" i="1"/>
  <c r="E1302" i="1"/>
  <c r="B1303" i="1"/>
  <c r="E1303" i="1"/>
  <c r="B1304" i="1"/>
  <c r="E1304" i="1"/>
  <c r="B1305" i="1"/>
  <c r="E1305" i="1"/>
  <c r="B1306" i="1"/>
  <c r="E1306" i="1"/>
  <c r="B1307" i="1"/>
  <c r="E1307" i="1"/>
  <c r="B1308" i="1"/>
  <c r="E1308" i="1"/>
  <c r="B1309" i="1"/>
  <c r="E1309" i="1"/>
  <c r="B1310" i="1"/>
  <c r="E1310" i="1"/>
  <c r="B1311" i="1"/>
  <c r="E1311" i="1"/>
  <c r="B1312" i="1"/>
  <c r="E1312" i="1"/>
  <c r="B1313" i="1"/>
  <c r="E1313" i="1"/>
  <c r="B1314" i="1"/>
  <c r="E1314" i="1"/>
  <c r="B1315" i="1"/>
  <c r="E1315" i="1"/>
  <c r="B1316" i="1"/>
  <c r="E1316" i="1"/>
  <c r="B1317" i="1"/>
  <c r="E1317" i="1"/>
  <c r="B1318" i="1"/>
  <c r="E1318" i="1"/>
  <c r="B1319" i="1"/>
  <c r="E1319" i="1"/>
  <c r="B1320" i="1"/>
  <c r="E1320" i="1"/>
  <c r="B1321" i="1"/>
  <c r="E1321" i="1"/>
  <c r="B1322" i="1"/>
  <c r="E1322" i="1"/>
  <c r="B1323" i="1"/>
  <c r="E1323" i="1"/>
  <c r="B1324" i="1"/>
  <c r="E1324" i="1"/>
  <c r="B1325" i="1"/>
  <c r="E1325" i="1"/>
  <c r="B1326" i="1"/>
  <c r="E1326" i="1"/>
  <c r="B1327" i="1"/>
  <c r="E1327" i="1"/>
  <c r="B1328" i="1"/>
  <c r="E1328" i="1"/>
  <c r="B1329" i="1"/>
  <c r="E1329" i="1"/>
  <c r="B1330" i="1"/>
  <c r="E1330" i="1"/>
  <c r="B1331" i="1"/>
  <c r="E1331" i="1"/>
  <c r="B1332" i="1"/>
  <c r="E1332" i="1"/>
  <c r="B1333" i="1"/>
  <c r="E1333" i="1"/>
  <c r="B1334" i="1"/>
  <c r="E1334" i="1"/>
  <c r="B1335" i="1"/>
  <c r="E1335" i="1"/>
  <c r="B1336" i="1"/>
  <c r="E1336" i="1"/>
  <c r="B1337" i="1"/>
  <c r="E1337" i="1"/>
  <c r="B1338" i="1"/>
  <c r="E1338" i="1"/>
  <c r="B1339" i="1"/>
  <c r="E1339" i="1"/>
  <c r="B1340" i="1"/>
  <c r="E1340" i="1"/>
  <c r="B1341" i="1"/>
  <c r="E1341" i="1"/>
  <c r="B1342" i="1"/>
  <c r="E1342" i="1"/>
  <c r="B1343" i="1"/>
  <c r="E1343" i="1"/>
  <c r="B1344" i="1"/>
  <c r="E1344" i="1"/>
</calcChain>
</file>

<file path=xl/sharedStrings.xml><?xml version="1.0" encoding="utf-8"?>
<sst xmlns="http://schemas.openxmlformats.org/spreadsheetml/2006/main" count="4034" uniqueCount="471">
  <si>
    <t>Wisconsin Department of Revenue</t>
  </si>
  <si>
    <t>2020 Tax Incremental District (TID) Certification - Municipality/County</t>
  </si>
  <si>
    <t>County</t>
  </si>
  <si>
    <t xml:space="preserve"> CoMun</t>
  </si>
  <si>
    <t xml:space="preserve"> TVC</t>
  </si>
  <si>
    <t xml:space="preserve"> Municipality</t>
  </si>
  <si>
    <t xml:space="preserve"> TID #</t>
  </si>
  <si>
    <t xml:space="preserve"> Current Value</t>
  </si>
  <si>
    <t xml:space="preserve"> Base Value</t>
  </si>
  <si>
    <t xml:space="preserve"> Increment</t>
  </si>
  <si>
    <t xml:space="preserve">ADAMS                                   </t>
  </si>
  <si>
    <t xml:space="preserve">CITY OF    </t>
  </si>
  <si>
    <t xml:space="preserve">VILLAGE OF </t>
  </si>
  <si>
    <t xml:space="preserve">FRIENDSHIP                              </t>
  </si>
  <si>
    <t xml:space="preserve">TOWN OF    </t>
  </si>
  <si>
    <t xml:space="preserve">NEW CHESTER                             </t>
  </si>
  <si>
    <t xml:space="preserve">ROME                                    </t>
  </si>
  <si>
    <t xml:space="preserve">WISCONSIN DELLS                         </t>
  </si>
  <si>
    <t xml:space="preserve">ASHLAND                                 </t>
  </si>
  <si>
    <t xml:space="preserve">BARRON                                  </t>
  </si>
  <si>
    <t xml:space="preserve">ALMENA                                  </t>
  </si>
  <si>
    <t xml:space="preserve">CAMERON                                 </t>
  </si>
  <si>
    <t xml:space="preserve">CHETEK                                  </t>
  </si>
  <si>
    <t xml:space="preserve">CUMBERLAND                              </t>
  </si>
  <si>
    <t xml:space="preserve">DALLAS                                  </t>
  </si>
  <si>
    <t xml:space="preserve">PRAIRIE FARM                            </t>
  </si>
  <si>
    <t xml:space="preserve">RICE LAKE                               </t>
  </si>
  <si>
    <t xml:space="preserve">TURTLE LAKE                             </t>
  </si>
  <si>
    <t xml:space="preserve">BAYFIELD                                </t>
  </si>
  <si>
    <t xml:space="preserve">MASON                                   </t>
  </si>
  <si>
    <t xml:space="preserve">WASHBURN                                </t>
  </si>
  <si>
    <t xml:space="preserve">BROWN                                   </t>
  </si>
  <si>
    <t xml:space="preserve">ALLOUEZ                                 </t>
  </si>
  <si>
    <t xml:space="preserve">ASHWAUBENON                             </t>
  </si>
  <si>
    <t xml:space="preserve">BELLEVUE                                </t>
  </si>
  <si>
    <t xml:space="preserve">DE PERE                                 </t>
  </si>
  <si>
    <t xml:space="preserve">GREEN BAY                               </t>
  </si>
  <si>
    <t xml:space="preserve">HOBART                                  </t>
  </si>
  <si>
    <t xml:space="preserve">HOWARD                                  </t>
  </si>
  <si>
    <t xml:space="preserve">LAWRENCE                                </t>
  </si>
  <si>
    <t xml:space="preserve">LEDGEVIEW                               </t>
  </si>
  <si>
    <t xml:space="preserve">PULASKI                                 </t>
  </si>
  <si>
    <t xml:space="preserve">SUAMICO                                 </t>
  </si>
  <si>
    <t xml:space="preserve">WRIGHTSTOWN                             </t>
  </si>
  <si>
    <t xml:space="preserve">BUFFALO                                 </t>
  </si>
  <si>
    <t xml:space="preserve">ALMA                                    </t>
  </si>
  <si>
    <t xml:space="preserve">COCHRANE                                </t>
  </si>
  <si>
    <t xml:space="preserve">MONDOVI                                 </t>
  </si>
  <si>
    <t xml:space="preserve">BURNETT                                 </t>
  </si>
  <si>
    <t xml:space="preserve">GRANTSBURG                              </t>
  </si>
  <si>
    <t xml:space="preserve">SIREN                                   </t>
  </si>
  <si>
    <t xml:space="preserve">WEBSTER                                 </t>
  </si>
  <si>
    <t xml:space="preserve">CALUMET                                 </t>
  </si>
  <si>
    <t xml:space="preserve">APPLETON                                </t>
  </si>
  <si>
    <t xml:space="preserve">BRILLION                                </t>
  </si>
  <si>
    <t xml:space="preserve">CHILTON                                 </t>
  </si>
  <si>
    <t xml:space="preserve">HARRISON                                </t>
  </si>
  <si>
    <t xml:space="preserve">HILBERT                                 </t>
  </si>
  <si>
    <t xml:space="preserve">KIEL                                    </t>
  </si>
  <si>
    <t xml:space="preserve">MENASHA                                 </t>
  </si>
  <si>
    <t xml:space="preserve">NEW HOLSTEIN                            </t>
  </si>
  <si>
    <t xml:space="preserve">SHERWOOD                                </t>
  </si>
  <si>
    <t xml:space="preserve">CHIPPEWA                                </t>
  </si>
  <si>
    <t xml:space="preserve">BLOOMER                                 </t>
  </si>
  <si>
    <t xml:space="preserve">CADOTT                                  </t>
  </si>
  <si>
    <t xml:space="preserve">CHIPPEWA FALLS                          </t>
  </si>
  <si>
    <t xml:space="preserve">EAU CLAIRE                              </t>
  </si>
  <si>
    <t xml:space="preserve">LAKE HALLIE                             </t>
  </si>
  <si>
    <t xml:space="preserve">NEW AUBURN                              </t>
  </si>
  <si>
    <t xml:space="preserve">STANLEY                                 </t>
  </si>
  <si>
    <t xml:space="preserve">CLARK                                   </t>
  </si>
  <si>
    <t xml:space="preserve">ABBOTSFORD                              </t>
  </si>
  <si>
    <t xml:space="preserve">COLBY                                   </t>
  </si>
  <si>
    <t xml:space="preserve">DORCHESTER                              </t>
  </si>
  <si>
    <t xml:space="preserve">GRANTON                                 </t>
  </si>
  <si>
    <t xml:space="preserve">GREENWOOD                               </t>
  </si>
  <si>
    <t xml:space="preserve">LOYAL                                   </t>
  </si>
  <si>
    <t xml:space="preserve">NEILLSVILLE                             </t>
  </si>
  <si>
    <t xml:space="preserve">OWEN                                    </t>
  </si>
  <si>
    <t xml:space="preserve">THORP                                   </t>
  </si>
  <si>
    <t xml:space="preserve">UNITY                                   </t>
  </si>
  <si>
    <t xml:space="preserve">WITHEE                                  </t>
  </si>
  <si>
    <t xml:space="preserve">COLUMBIA                                </t>
  </si>
  <si>
    <t xml:space="preserve">ARLINGTON                               </t>
  </si>
  <si>
    <t xml:space="preserve">COLUMBUS                                </t>
  </si>
  <si>
    <t xml:space="preserve">FRIESLAND                               </t>
  </si>
  <si>
    <t xml:space="preserve">LODI                                    </t>
  </si>
  <si>
    <t xml:space="preserve">PORTAGE                                 </t>
  </si>
  <si>
    <t xml:space="preserve">RIO                                     </t>
  </si>
  <si>
    <t xml:space="preserve">CRAWFORD                                </t>
  </si>
  <si>
    <t xml:space="preserve">DE SOTO                                 </t>
  </si>
  <si>
    <t xml:space="preserve">FERRYVILLE                              </t>
  </si>
  <si>
    <t xml:space="preserve">GAYS MILLS                              </t>
  </si>
  <si>
    <t xml:space="preserve">PRAIRIE DU CHIEN                        </t>
  </si>
  <si>
    <t xml:space="preserve">WAUZEKA                                 </t>
  </si>
  <si>
    <t xml:space="preserve">DANE                                    </t>
  </si>
  <si>
    <t xml:space="preserve">BELLEVILLE                              </t>
  </si>
  <si>
    <t xml:space="preserve">BLACK EARTH                             </t>
  </si>
  <si>
    <t xml:space="preserve">BROOKLYN                                </t>
  </si>
  <si>
    <t xml:space="preserve">CAMBRIDGE                               </t>
  </si>
  <si>
    <t xml:space="preserve">COTTAGE GROVE                           </t>
  </si>
  <si>
    <t xml:space="preserve">CROSS PLAINS                            </t>
  </si>
  <si>
    <t xml:space="preserve">DEERFIELD                               </t>
  </si>
  <si>
    <t xml:space="preserve">DEFOREST                                </t>
  </si>
  <si>
    <t xml:space="preserve">EDGERTON                                </t>
  </si>
  <si>
    <t xml:space="preserve">FITCHBURG                               </t>
  </si>
  <si>
    <t xml:space="preserve">MADISON                                 </t>
  </si>
  <si>
    <t xml:space="preserve">MAPLE BLUFF                             </t>
  </si>
  <si>
    <t xml:space="preserve">MARSHALL                                </t>
  </si>
  <si>
    <t xml:space="preserve">MAZOMANIE                               </t>
  </si>
  <si>
    <t xml:space="preserve">MCFARLAND                               </t>
  </si>
  <si>
    <t xml:space="preserve">MIDDLETON                               </t>
  </si>
  <si>
    <t xml:space="preserve">MONONA                                  </t>
  </si>
  <si>
    <t xml:space="preserve">MOUNT HOREB                             </t>
  </si>
  <si>
    <t xml:space="preserve">OREGON                                  </t>
  </si>
  <si>
    <t xml:space="preserve">SHOREWOOD HILLS                         </t>
  </si>
  <si>
    <t xml:space="preserve">SPRINGFIELD                             </t>
  </si>
  <si>
    <t xml:space="preserve">STOUGHTON                               </t>
  </si>
  <si>
    <t xml:space="preserve">SUN PRAIRIE                             </t>
  </si>
  <si>
    <t xml:space="preserve">VERONA                                  </t>
  </si>
  <si>
    <t xml:space="preserve">WAUNAKEE                                </t>
  </si>
  <si>
    <t xml:space="preserve">WINDSOR                                 </t>
  </si>
  <si>
    <t xml:space="preserve">DODGE                                   </t>
  </si>
  <si>
    <t xml:space="preserve">BEAVER DAM                              </t>
  </si>
  <si>
    <t xml:space="preserve">FOX LAKE                                </t>
  </si>
  <si>
    <t xml:space="preserve">HARTFORD                                </t>
  </si>
  <si>
    <t xml:space="preserve">HORICON                                 </t>
  </si>
  <si>
    <t xml:space="preserve">HUSTISFORD                              </t>
  </si>
  <si>
    <t xml:space="preserve">JUNEAU                                  </t>
  </si>
  <si>
    <t xml:space="preserve">LOMIRA                                  </t>
  </si>
  <si>
    <t xml:space="preserve">MAYVILLE                                </t>
  </si>
  <si>
    <t xml:space="preserve">REESEVILLE                              </t>
  </si>
  <si>
    <t xml:space="preserve">WAUPUN                                  </t>
  </si>
  <si>
    <t xml:space="preserve">DOOR                                    </t>
  </si>
  <si>
    <t xml:space="preserve">SISTER BAY                              </t>
  </si>
  <si>
    <t xml:space="preserve">STURGEON BAY                            </t>
  </si>
  <si>
    <t xml:space="preserve">DOUGLAS                                 </t>
  </si>
  <si>
    <t xml:space="preserve">SOLON SPRINGS                           </t>
  </si>
  <si>
    <t xml:space="preserve">SUPERIOR                                </t>
  </si>
  <si>
    <t xml:space="preserve">DUNN                                    </t>
  </si>
  <si>
    <t xml:space="preserve">BOYCEVILLE                              </t>
  </si>
  <si>
    <t xml:space="preserve">COLFAX                                  </t>
  </si>
  <si>
    <t xml:space="preserve">ELK MOUND                               </t>
  </si>
  <si>
    <t xml:space="preserve">KNAPP                                   </t>
  </si>
  <si>
    <t xml:space="preserve">MENOMONIE                               </t>
  </si>
  <si>
    <t xml:space="preserve">RIDGELAND                               </t>
  </si>
  <si>
    <t xml:space="preserve">ALTOONA                                 </t>
  </si>
  <si>
    <t xml:space="preserve">AUGUSTA                                 </t>
  </si>
  <si>
    <t xml:space="preserve">FALL CREEK                              </t>
  </si>
  <si>
    <t xml:space="preserve">FLORENCE                                </t>
  </si>
  <si>
    <t xml:space="preserve">FOND DU LAC                             </t>
  </si>
  <si>
    <t xml:space="preserve">CAMPBELLSPORT                           </t>
  </si>
  <si>
    <t xml:space="preserve">FAIRWATER                               </t>
  </si>
  <si>
    <t xml:space="preserve">NORTH FOND DU LAC                       </t>
  </si>
  <si>
    <t xml:space="preserve">OAKFIELD                                </t>
  </si>
  <si>
    <t xml:space="preserve">RIPON                                   </t>
  </si>
  <si>
    <t xml:space="preserve">ROSENDALE                               </t>
  </si>
  <si>
    <t xml:space="preserve">FOREST                                  </t>
  </si>
  <si>
    <t xml:space="preserve">CRANDON                                 </t>
  </si>
  <si>
    <t xml:space="preserve">GRANT                                   </t>
  </si>
  <si>
    <t xml:space="preserve">BOSCOBEL                                </t>
  </si>
  <si>
    <t xml:space="preserve">CUBA CITY                               </t>
  </si>
  <si>
    <t xml:space="preserve">DICKEYVILLE                             </t>
  </si>
  <si>
    <t xml:space="preserve">FENNIMORE                               </t>
  </si>
  <si>
    <t xml:space="preserve">HAZEL GREEN                             </t>
  </si>
  <si>
    <t xml:space="preserve">LANCASTER                               </t>
  </si>
  <si>
    <t xml:space="preserve">MONTFORT                                </t>
  </si>
  <si>
    <t xml:space="preserve">MUSCODA                                 </t>
  </si>
  <si>
    <t xml:space="preserve">PLATTEVILLE                             </t>
  </si>
  <si>
    <t xml:space="preserve">GREEN                                   </t>
  </si>
  <si>
    <t xml:space="preserve">BRODHEAD                                </t>
  </si>
  <si>
    <t xml:space="preserve">MONROE                                  </t>
  </si>
  <si>
    <t xml:space="preserve">NEW GLARUS                              </t>
  </si>
  <si>
    <t xml:space="preserve">GREEN LAKE                              </t>
  </si>
  <si>
    <t xml:space="preserve">BERLIN                                  </t>
  </si>
  <si>
    <t xml:space="preserve">MARKESAN                                </t>
  </si>
  <si>
    <t xml:space="preserve">PRINCETON                               </t>
  </si>
  <si>
    <t xml:space="preserve">IOWA                                    </t>
  </si>
  <si>
    <t xml:space="preserve">ARENA                                   </t>
  </si>
  <si>
    <t xml:space="preserve">AVOCA                                   </t>
  </si>
  <si>
    <t xml:space="preserve">BARNEVELD                               </t>
  </si>
  <si>
    <t xml:space="preserve">DODGEVILLE                              </t>
  </si>
  <si>
    <t xml:space="preserve">HIGHLAND                                </t>
  </si>
  <si>
    <t xml:space="preserve">RIDGEWAY                                </t>
  </si>
  <si>
    <t xml:space="preserve">IRON                                    </t>
  </si>
  <si>
    <t xml:space="preserve">HURLEY                                  </t>
  </si>
  <si>
    <t xml:space="preserve">JACKSON                                 </t>
  </si>
  <si>
    <t xml:space="preserve">BLACK RIVER FALLS                       </t>
  </si>
  <si>
    <t xml:space="preserve">HIXTON                                  </t>
  </si>
  <si>
    <t xml:space="preserve">MERRILLAN                               </t>
  </si>
  <si>
    <t xml:space="preserve">TAYLOR                                  </t>
  </si>
  <si>
    <t xml:space="preserve">JEFFERSON                               </t>
  </si>
  <si>
    <t xml:space="preserve">FORT ATKINSON                           </t>
  </si>
  <si>
    <t xml:space="preserve">JOHNSON CREEK                           </t>
  </si>
  <si>
    <t xml:space="preserve">LAKE MILLS                              </t>
  </si>
  <si>
    <t xml:space="preserve">PALMYRA                                 </t>
  </si>
  <si>
    <t xml:space="preserve">WATERLOO                                </t>
  </si>
  <si>
    <t xml:space="preserve">WATERTOWN                               </t>
  </si>
  <si>
    <t xml:space="preserve">WHITEWATER                              </t>
  </si>
  <si>
    <t xml:space="preserve">CAMP DOUGLAS                            </t>
  </si>
  <si>
    <t xml:space="preserve">ELROY                                   </t>
  </si>
  <si>
    <t xml:space="preserve">MAUSTON                                 </t>
  </si>
  <si>
    <t xml:space="preserve">NECEDAH                                 </t>
  </si>
  <si>
    <t xml:space="preserve">NEW LISBON                              </t>
  </si>
  <si>
    <t xml:space="preserve">KENOSHA                                 </t>
  </si>
  <si>
    <t xml:space="preserve">BRISTOL                                 </t>
  </si>
  <si>
    <t xml:space="preserve">PADDOCK LAKE                            </t>
  </si>
  <si>
    <t xml:space="preserve">PLEASANT PRAIRIE                        </t>
  </si>
  <si>
    <t xml:space="preserve">SALEM LAKES                             </t>
  </si>
  <si>
    <t xml:space="preserve">SOMERS                                  </t>
  </si>
  <si>
    <t xml:space="preserve">TWIN LAKES                              </t>
  </si>
  <si>
    <t xml:space="preserve">KEWAUNEE                                </t>
  </si>
  <si>
    <t xml:space="preserve">ALGOMA                                  </t>
  </si>
  <si>
    <t xml:space="preserve">LUXEMBURG                               </t>
  </si>
  <si>
    <t xml:space="preserve">LA CROSSE                               </t>
  </si>
  <si>
    <t xml:space="preserve">BANGOR                                  </t>
  </si>
  <si>
    <t xml:space="preserve">HOLMEN                                  </t>
  </si>
  <si>
    <t xml:space="preserve">ONALASKA                                </t>
  </si>
  <si>
    <t xml:space="preserve">ROCKLAND                                </t>
  </si>
  <si>
    <t xml:space="preserve">WEST SALEM                              </t>
  </si>
  <si>
    <t xml:space="preserve">LAFAYETTE                               </t>
  </si>
  <si>
    <t xml:space="preserve">ARGYLE                                  </t>
  </si>
  <si>
    <t xml:space="preserve">BELMONT                                 </t>
  </si>
  <si>
    <t xml:space="preserve">DARLINGTON                              </t>
  </si>
  <si>
    <t xml:space="preserve">GRATIOT                                 </t>
  </si>
  <si>
    <t xml:space="preserve">SHULLSBURG                              </t>
  </si>
  <si>
    <t xml:space="preserve">LANGLADE                                </t>
  </si>
  <si>
    <t xml:space="preserve">ANTIGO                                  </t>
  </si>
  <si>
    <t xml:space="preserve">LINCOLN                                 </t>
  </si>
  <si>
    <t xml:space="preserve">MERRILL                                 </t>
  </si>
  <si>
    <t xml:space="preserve">TOMAHAWK                                </t>
  </si>
  <si>
    <t xml:space="preserve">MANITOWOC                               </t>
  </si>
  <si>
    <t xml:space="preserve">FRANCIS CREEK                           </t>
  </si>
  <si>
    <t xml:space="preserve">KELLNERSVILLE                           </t>
  </si>
  <si>
    <t xml:space="preserve">MARIBEL                                 </t>
  </si>
  <si>
    <t xml:space="preserve">TWO RIVERS                              </t>
  </si>
  <si>
    <t xml:space="preserve">VALDERS                                 </t>
  </si>
  <si>
    <t xml:space="preserve">WHITELAW                                </t>
  </si>
  <si>
    <t xml:space="preserve">MARATHON                                </t>
  </si>
  <si>
    <t xml:space="preserve">ATHENS                                  </t>
  </si>
  <si>
    <t xml:space="preserve">EDGAR                                   </t>
  </si>
  <si>
    <t xml:space="preserve">HATLEY                                  </t>
  </si>
  <si>
    <t xml:space="preserve">KRONENWETTER                            </t>
  </si>
  <si>
    <t xml:space="preserve">MAINE                                   </t>
  </si>
  <si>
    <t xml:space="preserve">MOSINEE                                 </t>
  </si>
  <si>
    <t xml:space="preserve">ROTHSCHILD                              </t>
  </si>
  <si>
    <t xml:space="preserve">SCHOFIELD                               </t>
  </si>
  <si>
    <t xml:space="preserve">SPENCER                                 </t>
  </si>
  <si>
    <t xml:space="preserve">STRATFORD                               </t>
  </si>
  <si>
    <t xml:space="preserve">WAUSAU                                  </t>
  </si>
  <si>
    <t xml:space="preserve">WESTON                                  </t>
  </si>
  <si>
    <t xml:space="preserve">MARINETTE                               </t>
  </si>
  <si>
    <t xml:space="preserve">COLEMAN                                 </t>
  </si>
  <si>
    <t xml:space="preserve">CRIVITZ                                 </t>
  </si>
  <si>
    <t xml:space="preserve">NIAGARA                                 </t>
  </si>
  <si>
    <t xml:space="preserve">POUND                                   </t>
  </si>
  <si>
    <t xml:space="preserve">MARQUETTE                               </t>
  </si>
  <si>
    <t xml:space="preserve">ENDEAVOR                                </t>
  </si>
  <si>
    <t xml:space="preserve">WESTFIELD                               </t>
  </si>
  <si>
    <t xml:space="preserve">MILWAUKEE                               </t>
  </si>
  <si>
    <t xml:space="preserve">BROWN DEER                              </t>
  </si>
  <si>
    <t xml:space="preserve">CUDAHY                                  </t>
  </si>
  <si>
    <t xml:space="preserve">FRANKLIN                                </t>
  </si>
  <si>
    <t xml:space="preserve">GLENDALE                                </t>
  </si>
  <si>
    <t xml:space="preserve">GREENDALE                               </t>
  </si>
  <si>
    <t xml:space="preserve">GREENFIELD                              </t>
  </si>
  <si>
    <t xml:space="preserve">HALES CORNERS                           </t>
  </si>
  <si>
    <t xml:space="preserve">OAK CREEK                               </t>
  </si>
  <si>
    <t xml:space="preserve">SAINT FRANCIS                           </t>
  </si>
  <si>
    <t xml:space="preserve">SHOREWOOD                               </t>
  </si>
  <si>
    <t xml:space="preserve">SOUTH MILWAUKEE                         </t>
  </si>
  <si>
    <t xml:space="preserve">WAUWATOSA                               </t>
  </si>
  <si>
    <t xml:space="preserve">WEST ALLIS                              </t>
  </si>
  <si>
    <t xml:space="preserve">WEST MILWAUKEE                          </t>
  </si>
  <si>
    <t xml:space="preserve">WHITEFISH BAY                           </t>
  </si>
  <si>
    <t xml:space="preserve">CASHTON                                 </t>
  </si>
  <si>
    <t xml:space="preserve">SPARTA                                  </t>
  </si>
  <si>
    <t xml:space="preserve">TOMAH                                   </t>
  </si>
  <si>
    <t xml:space="preserve">WARRENS                                 </t>
  </si>
  <si>
    <t xml:space="preserve">WILTON                                  </t>
  </si>
  <si>
    <t xml:space="preserve">OCONTO                                  </t>
  </si>
  <si>
    <t xml:space="preserve">GILLETT                                 </t>
  </si>
  <si>
    <t xml:space="preserve">SURING                                  </t>
  </si>
  <si>
    <t xml:space="preserve">ONEIDA                                  </t>
  </si>
  <si>
    <t xml:space="preserve">RHINELANDER                             </t>
  </si>
  <si>
    <t xml:space="preserve">OUTAGAMIE                               </t>
  </si>
  <si>
    <t xml:space="preserve">BLACK CREEK                             </t>
  </si>
  <si>
    <t xml:space="preserve">COMBINED LOCKS                          </t>
  </si>
  <si>
    <t xml:space="preserve">FREEDOM                                 </t>
  </si>
  <si>
    <t xml:space="preserve">GRAND CHUTE                             </t>
  </si>
  <si>
    <t xml:space="preserve">GREENVILLE                              </t>
  </si>
  <si>
    <t xml:space="preserve">HORTONVILLE                             </t>
  </si>
  <si>
    <t xml:space="preserve">KAUKAUNA                                </t>
  </si>
  <si>
    <t xml:space="preserve">KIMBERLY                                </t>
  </si>
  <si>
    <t xml:space="preserve">LITTLE CHUTE                            </t>
  </si>
  <si>
    <t xml:space="preserve">NEW LONDON                              </t>
  </si>
  <si>
    <t xml:space="preserve">SEYMOUR                                 </t>
  </si>
  <si>
    <t xml:space="preserve">OZAUKEE                                 </t>
  </si>
  <si>
    <t xml:space="preserve">BELGIUM                                 </t>
  </si>
  <si>
    <t xml:space="preserve">CEDARBURG                               </t>
  </si>
  <si>
    <t xml:space="preserve">GRAFTON                                 </t>
  </si>
  <si>
    <t xml:space="preserve">MEQUON                                  </t>
  </si>
  <si>
    <t xml:space="preserve">PORT WASHINGTON                         </t>
  </si>
  <si>
    <t xml:space="preserve">SAUKVILLE                               </t>
  </si>
  <si>
    <t xml:space="preserve">PEPIN                                   </t>
  </si>
  <si>
    <t xml:space="preserve">DURAND                                  </t>
  </si>
  <si>
    <t xml:space="preserve">PIERCE                                  </t>
  </si>
  <si>
    <t xml:space="preserve">ELLSWORTH                               </t>
  </si>
  <si>
    <t xml:space="preserve">ELMWOOD                                 </t>
  </si>
  <si>
    <t xml:space="preserve">PRESCOTT                                </t>
  </si>
  <si>
    <t xml:space="preserve">RIVER FALLS                             </t>
  </si>
  <si>
    <t xml:space="preserve">SPRING VALLEY                           </t>
  </si>
  <si>
    <t xml:space="preserve">POLK                                    </t>
  </si>
  <si>
    <t xml:space="preserve">AMERY                                   </t>
  </si>
  <si>
    <t xml:space="preserve">BALSAM LAKE                             </t>
  </si>
  <si>
    <t xml:space="preserve">CENTURIA                                </t>
  </si>
  <si>
    <t xml:space="preserve">CLAYTON                                 </t>
  </si>
  <si>
    <t xml:space="preserve">CLEAR LAKE                              </t>
  </si>
  <si>
    <t xml:space="preserve">FREDERIC                                </t>
  </si>
  <si>
    <t xml:space="preserve">LUCK                                    </t>
  </si>
  <si>
    <t xml:space="preserve">MILLTOWN                                </t>
  </si>
  <si>
    <t xml:space="preserve">OSCEOLA                                 </t>
  </si>
  <si>
    <t xml:space="preserve">AMHERST                                 </t>
  </si>
  <si>
    <t xml:space="preserve">JUNCTION CITY                           </t>
  </si>
  <si>
    <t xml:space="preserve">PLOVER                                  </t>
  </si>
  <si>
    <t xml:space="preserve">STEVENS POINT                           </t>
  </si>
  <si>
    <t xml:space="preserve">WHITING                                 </t>
  </si>
  <si>
    <t xml:space="preserve">PRICE                                   </t>
  </si>
  <si>
    <t xml:space="preserve">PARK FALLS                              </t>
  </si>
  <si>
    <t xml:space="preserve">PHILLIPS                                </t>
  </si>
  <si>
    <t xml:space="preserve">PRENTICE                                </t>
  </si>
  <si>
    <t xml:space="preserve">RACINE                                  </t>
  </si>
  <si>
    <t xml:space="preserve">CALEDONIA                               </t>
  </si>
  <si>
    <t xml:space="preserve">MOUNT PLEASANT                          </t>
  </si>
  <si>
    <t xml:space="preserve">STURTEVANT                              </t>
  </si>
  <si>
    <t xml:space="preserve">UNION GROVE                             </t>
  </si>
  <si>
    <t xml:space="preserve">WATERFORD                               </t>
  </si>
  <si>
    <t xml:space="preserve">YORKVILLE                               </t>
  </si>
  <si>
    <t xml:space="preserve">RICHLAND                                </t>
  </si>
  <si>
    <t xml:space="preserve">RICHLAND CENTER                         </t>
  </si>
  <si>
    <t xml:space="preserve">VIOLA                                   </t>
  </si>
  <si>
    <t xml:space="preserve">ROCK                                    </t>
  </si>
  <si>
    <t xml:space="preserve">BELOIT                                  </t>
  </si>
  <si>
    <t xml:space="preserve">CLINTON                                 </t>
  </si>
  <si>
    <t xml:space="preserve">EVANSVILLE                              </t>
  </si>
  <si>
    <t xml:space="preserve">FOOTVILLE                               </t>
  </si>
  <si>
    <t xml:space="preserve">JANESVILLE                              </t>
  </si>
  <si>
    <t xml:space="preserve">MILTON                                  </t>
  </si>
  <si>
    <t xml:space="preserve">ORFORDVILLE                             </t>
  </si>
  <si>
    <t xml:space="preserve">RUSK                                    </t>
  </si>
  <si>
    <t xml:space="preserve">BRUCE                                   </t>
  </si>
  <si>
    <t xml:space="preserve">HAWKINS                                 </t>
  </si>
  <si>
    <t xml:space="preserve">LADYSMITH                               </t>
  </si>
  <si>
    <t xml:space="preserve">WEYERHAEUSER                            </t>
  </si>
  <si>
    <t xml:space="preserve">SAUK                                    </t>
  </si>
  <si>
    <t xml:space="preserve">BARABOO                                 </t>
  </si>
  <si>
    <t xml:space="preserve">LAKE DELTON                             </t>
  </si>
  <si>
    <t xml:space="preserve">LOGANVILLE                              </t>
  </si>
  <si>
    <t xml:space="preserve">NORTH FREEDOM                           </t>
  </si>
  <si>
    <t xml:space="preserve">PLAIN                                   </t>
  </si>
  <si>
    <t xml:space="preserve">PRAIRIE DU SAC                          </t>
  </si>
  <si>
    <t xml:space="preserve">REEDSBURG                               </t>
  </si>
  <si>
    <t xml:space="preserve">SAUK CITY                               </t>
  </si>
  <si>
    <t xml:space="preserve">SPRING GREEN                            </t>
  </si>
  <si>
    <t xml:space="preserve">WEST BARABOO                            </t>
  </si>
  <si>
    <t xml:space="preserve">SAWYER                                  </t>
  </si>
  <si>
    <t xml:space="preserve">HAYWARD                                 </t>
  </si>
  <si>
    <t xml:space="preserve">SHAWANO                                 </t>
  </si>
  <si>
    <t xml:space="preserve">BIRNAMWOOD                              </t>
  </si>
  <si>
    <t xml:space="preserve">BONDUEL                                 </t>
  </si>
  <si>
    <t xml:space="preserve">BOWLER                                  </t>
  </si>
  <si>
    <t xml:space="preserve">GRESHAM                                 </t>
  </si>
  <si>
    <t xml:space="preserve">TIGERTON                                </t>
  </si>
  <si>
    <t xml:space="preserve">WITTENBERG                              </t>
  </si>
  <si>
    <t xml:space="preserve">SHEBOYGAN                               </t>
  </si>
  <si>
    <t xml:space="preserve">CASCADE                                 </t>
  </si>
  <si>
    <t xml:space="preserve">CEDAR GROVE                             </t>
  </si>
  <si>
    <t xml:space="preserve">ELKHART LAKE                            </t>
  </si>
  <si>
    <t xml:space="preserve">GLENBEULAH                              </t>
  </si>
  <si>
    <t xml:space="preserve">HOWARDS GROVE                           </t>
  </si>
  <si>
    <t xml:space="preserve">OOSTBURG                                </t>
  </si>
  <si>
    <t xml:space="preserve">PLYMOUTH                                </t>
  </si>
  <si>
    <t xml:space="preserve">RANDOM LAKE                             </t>
  </si>
  <si>
    <t xml:space="preserve">SHEBOYGAN FALLS                         </t>
  </si>
  <si>
    <t xml:space="preserve">ST CROIX                                </t>
  </si>
  <si>
    <t xml:space="preserve">BALDWIN                                 </t>
  </si>
  <si>
    <t xml:space="preserve">HAMMOND                                 </t>
  </si>
  <si>
    <t xml:space="preserve">HUDSON                                  </t>
  </si>
  <si>
    <t xml:space="preserve">NEW RICHMOND                            </t>
  </si>
  <si>
    <t xml:space="preserve">SOMERSET                                </t>
  </si>
  <si>
    <t xml:space="preserve">WOODVILLE                               </t>
  </si>
  <si>
    <t xml:space="preserve">MEDFORD                                 </t>
  </si>
  <si>
    <t xml:space="preserve">RIB LAKE                                </t>
  </si>
  <si>
    <t xml:space="preserve">STETSONVILLE                            </t>
  </si>
  <si>
    <t xml:space="preserve">TREMPEALEAU                             </t>
  </si>
  <si>
    <t xml:space="preserve">ARCADIA                                 </t>
  </si>
  <si>
    <t xml:space="preserve">BLAIR                                   </t>
  </si>
  <si>
    <t xml:space="preserve">GALESVILLE                              </t>
  </si>
  <si>
    <t xml:space="preserve">INDEPENDENCE                            </t>
  </si>
  <si>
    <t xml:space="preserve">OSSEO                                   </t>
  </si>
  <si>
    <t xml:space="preserve">STRUM                                   </t>
  </si>
  <si>
    <t xml:space="preserve">WHITEHALL                               </t>
  </si>
  <si>
    <t xml:space="preserve">VERNON                                  </t>
  </si>
  <si>
    <t xml:space="preserve">HILLSBORO                               </t>
  </si>
  <si>
    <t xml:space="preserve">LA FARGE                                </t>
  </si>
  <si>
    <t xml:space="preserve">ONTARIO                                 </t>
  </si>
  <si>
    <t xml:space="preserve">VIROQUA                                 </t>
  </si>
  <si>
    <t xml:space="preserve">WESTBY                                  </t>
  </si>
  <si>
    <t xml:space="preserve">VILAS                                   </t>
  </si>
  <si>
    <t xml:space="preserve">EAGLE RIVER                             </t>
  </si>
  <si>
    <t xml:space="preserve">WALWORTH                                </t>
  </si>
  <si>
    <t xml:space="preserve">BURLINGTON                              </t>
  </si>
  <si>
    <t xml:space="preserve">DARIEN                                  </t>
  </si>
  <si>
    <t xml:space="preserve">DELAVAN                                 </t>
  </si>
  <si>
    <t xml:space="preserve">EAST TROY                               </t>
  </si>
  <si>
    <t xml:space="preserve">ELKHORN                                 </t>
  </si>
  <si>
    <t xml:space="preserve">FONTANA                                 </t>
  </si>
  <si>
    <t xml:space="preserve">MUKWONAGO                               </t>
  </si>
  <si>
    <t xml:space="preserve">SHARON                                  </t>
  </si>
  <si>
    <t xml:space="preserve">BIRCHWOOD                               </t>
  </si>
  <si>
    <t xml:space="preserve">MINONG                                  </t>
  </si>
  <si>
    <t xml:space="preserve">SHELL LAKE                              </t>
  </si>
  <si>
    <t xml:space="preserve">SPOONER                                 </t>
  </si>
  <si>
    <t xml:space="preserve">WASHINGTON                              </t>
  </si>
  <si>
    <t xml:space="preserve">GERMANTOWN                              </t>
  </si>
  <si>
    <t xml:space="preserve">KEWASKUM                                </t>
  </si>
  <si>
    <t xml:space="preserve">SLINGER                                 </t>
  </si>
  <si>
    <t xml:space="preserve">WEST BEND                               </t>
  </si>
  <si>
    <t xml:space="preserve">WAUKESHA                                </t>
  </si>
  <si>
    <t xml:space="preserve">BIG BEND                                </t>
  </si>
  <si>
    <t xml:space="preserve">BROOKFIELD                              </t>
  </si>
  <si>
    <t xml:space="preserve">DELAFIELD                               </t>
  </si>
  <si>
    <t xml:space="preserve">ELM GROVE                               </t>
  </si>
  <si>
    <t xml:space="preserve">HARTLAND                                </t>
  </si>
  <si>
    <t xml:space="preserve">LANNON                                  </t>
  </si>
  <si>
    <t xml:space="preserve">LISBON                                  </t>
  </si>
  <si>
    <t xml:space="preserve">MENOMONEE FALLS                         </t>
  </si>
  <si>
    <t xml:space="preserve">MUSKEGO                                 </t>
  </si>
  <si>
    <t xml:space="preserve">NEW BERLIN                              </t>
  </si>
  <si>
    <t xml:space="preserve">OCONOMOWOC                              </t>
  </si>
  <si>
    <t xml:space="preserve">PEWAUKEE                                </t>
  </si>
  <si>
    <t xml:space="preserve">SUSSEX                                  </t>
  </si>
  <si>
    <t xml:space="preserve">WALES                                   </t>
  </si>
  <si>
    <t xml:space="preserve">WAUPACA                                 </t>
  </si>
  <si>
    <t xml:space="preserve">CLINTONVILLE                            </t>
  </si>
  <si>
    <t xml:space="preserve">MANAWA                                  </t>
  </si>
  <si>
    <t xml:space="preserve">MATTESON                                </t>
  </si>
  <si>
    <t xml:space="preserve">WEYAUWEGA                               </t>
  </si>
  <si>
    <t xml:space="preserve">WAUSHARA                                </t>
  </si>
  <si>
    <t xml:space="preserve">COLOMA                                  </t>
  </si>
  <si>
    <t xml:space="preserve">HANCOCK                                 </t>
  </si>
  <si>
    <t xml:space="preserve">PLAINFIELD                              </t>
  </si>
  <si>
    <t xml:space="preserve">REDGRANITE                              </t>
  </si>
  <si>
    <t xml:space="preserve">WAUTOMA                                 </t>
  </si>
  <si>
    <t xml:space="preserve">WILD ROSE                               </t>
  </si>
  <si>
    <t xml:space="preserve">WINNEBAGO                               </t>
  </si>
  <si>
    <t xml:space="preserve">FOX CROSSING                            </t>
  </si>
  <si>
    <t xml:space="preserve">NEENAH                                  </t>
  </si>
  <si>
    <t xml:space="preserve">OMRO                                    </t>
  </si>
  <si>
    <t xml:space="preserve">OSHKOSH                                 </t>
  </si>
  <si>
    <t xml:space="preserve">WINNECONNE                              </t>
  </si>
  <si>
    <t xml:space="preserve">WOOD                                    </t>
  </si>
  <si>
    <t xml:space="preserve">AUBURNDALE                              </t>
  </si>
  <si>
    <t xml:space="preserve">BIRON                                   </t>
  </si>
  <si>
    <t xml:space="preserve">MARSHFIELD                              </t>
  </si>
  <si>
    <t xml:space="preserve">NEKOOSA                                 </t>
  </si>
  <si>
    <t xml:space="preserve">PITTSVILLE                              </t>
  </si>
  <si>
    <t xml:space="preserve">PORT EDWARDS                            </t>
  </si>
  <si>
    <t xml:space="preserve">VESPER                                  </t>
  </si>
  <si>
    <t xml:space="preserve">WISCONSIN RAPIDS                        </t>
  </si>
  <si>
    <t xml:space="preserve"> Base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</si>
</sst>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37" fontId="16" fillId="0" borderId="10" xfId="0" applyNumberFormat="1" applyFont="1" applyBorder="1" applyAlignment="1">
      <alignment horizontal="right"/>
    </xf>
    <xf numFmtId="3" fontId="0" fillId="0" borderId="0" xfId="1" applyNumberFormat="1" applyFont="1"/>
    <xf numFmtId="3" fontId="0" fillId="0" borderId="0" xfId="0" applyNumberFormat="1"/>
    <xf numFmtId="3" fontId="19" fillId="0" borderId="0" xfId="1" applyNumberFormat="1" applyFont="1"/>
    <xf numFmtId="3" fontId="0" fillId="0" borderId="0" xfId="0" applyNumberFormat="1" applyFont="1"/>
    <xf numFmtId="0" fontId="18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47"/>
  <sheetViews>
    <sheetView tabSelected="1" workbookViewId="0">
      <selection sqref="A1:I1"/>
    </sheetView>
  </sheetViews>
  <sheetFormatPr defaultRowHeight="14.4" x14ac:dyDescent="0.3"/>
  <cols>
    <col min="1" max="1" width="14.33203125" customWidth="1"/>
    <col min="2" max="2" width="9.33203125" customWidth="1"/>
    <col min="3" max="3" width="12.6640625" customWidth="1"/>
    <col min="4" max="4" width="20.6640625" customWidth="1"/>
    <col min="5" max="5" width="5.6640625" bestFit="1" customWidth="1"/>
    <col min="6" max="6" width="5.6640625" customWidth="1"/>
    <col min="7" max="7" width="14.33203125" customWidth="1"/>
    <col min="8" max="8" width="13.88671875" customWidth="1"/>
    <col min="9" max="9" width="14.44140625" customWidth="1"/>
    <col min="11" max="11" width="13.109375" customWidth="1"/>
    <col min="12" max="12" width="13.44140625" bestFit="1" customWidth="1"/>
  </cols>
  <sheetData>
    <row r="1" spans="1:9" ht="18" x14ac:dyDescent="0.35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9" ht="18" x14ac:dyDescent="0.35">
      <c r="A2" s="9" t="s">
        <v>1</v>
      </c>
      <c r="B2" s="9"/>
      <c r="C2" s="9"/>
      <c r="D2" s="9"/>
      <c r="E2" s="9"/>
      <c r="F2" s="9"/>
      <c r="G2" s="9"/>
      <c r="H2" s="9"/>
      <c r="I2" s="9"/>
    </row>
    <row r="3" spans="1:9" ht="28.95" customHeight="1" x14ac:dyDescent="0.3">
      <c r="A3" s="1" t="s">
        <v>2</v>
      </c>
      <c r="B3" s="2" t="s">
        <v>3</v>
      </c>
      <c r="C3" s="1" t="s">
        <v>4</v>
      </c>
      <c r="D3" s="1" t="s">
        <v>5</v>
      </c>
      <c r="E3" s="2" t="s">
        <v>6</v>
      </c>
      <c r="F3" s="3" t="s">
        <v>470</v>
      </c>
      <c r="G3" s="4" t="s">
        <v>7</v>
      </c>
      <c r="H3" s="4" t="s">
        <v>8</v>
      </c>
      <c r="I3" s="4" t="s">
        <v>9</v>
      </c>
    </row>
    <row r="4" spans="1:9" x14ac:dyDescent="0.3">
      <c r="A4" t="s">
        <v>10</v>
      </c>
      <c r="B4" t="str">
        <f>"01201"</f>
        <v>01201</v>
      </c>
      <c r="C4" t="s">
        <v>11</v>
      </c>
      <c r="D4" t="s">
        <v>10</v>
      </c>
      <c r="E4" t="str">
        <f>"002"</f>
        <v>002</v>
      </c>
      <c r="F4">
        <v>1996</v>
      </c>
      <c r="G4" s="5">
        <v>18247500</v>
      </c>
      <c r="H4" s="5">
        <v>9585200</v>
      </c>
      <c r="I4" s="5">
        <v>8662300</v>
      </c>
    </row>
    <row r="5" spans="1:9" x14ac:dyDescent="0.3">
      <c r="A5" t="s">
        <v>10</v>
      </c>
      <c r="B5" t="str">
        <f>"01201"</f>
        <v>01201</v>
      </c>
      <c r="C5" t="s">
        <v>11</v>
      </c>
      <c r="D5" t="s">
        <v>10</v>
      </c>
      <c r="E5" t="str">
        <f>"003"</f>
        <v>003</v>
      </c>
      <c r="F5">
        <v>1996</v>
      </c>
      <c r="G5" s="5">
        <v>16525000</v>
      </c>
      <c r="H5" s="5">
        <v>5169700</v>
      </c>
      <c r="I5" s="5">
        <v>11355300</v>
      </c>
    </row>
    <row r="6" spans="1:9" x14ac:dyDescent="0.3">
      <c r="A6" t="s">
        <v>10</v>
      </c>
      <c r="B6" t="str">
        <f>"01126"</f>
        <v>01126</v>
      </c>
      <c r="C6" t="s">
        <v>12</v>
      </c>
      <c r="D6" t="s">
        <v>13</v>
      </c>
      <c r="E6" t="str">
        <f>"001"</f>
        <v>001</v>
      </c>
      <c r="F6">
        <v>1997</v>
      </c>
      <c r="G6" s="5">
        <v>6710700</v>
      </c>
      <c r="H6" s="5">
        <v>2696300</v>
      </c>
      <c r="I6" s="5">
        <v>4014400</v>
      </c>
    </row>
    <row r="7" spans="1:9" x14ac:dyDescent="0.3">
      <c r="A7" t="s">
        <v>10</v>
      </c>
      <c r="B7" t="str">
        <f>"01126"</f>
        <v>01126</v>
      </c>
      <c r="C7" t="s">
        <v>12</v>
      </c>
      <c r="D7" t="s">
        <v>13</v>
      </c>
      <c r="E7" t="str">
        <f>"002"</f>
        <v>002</v>
      </c>
      <c r="F7">
        <v>2000</v>
      </c>
      <c r="G7" s="5">
        <v>219000</v>
      </c>
      <c r="H7" s="5">
        <v>148000</v>
      </c>
      <c r="I7" s="5">
        <v>71000</v>
      </c>
    </row>
    <row r="8" spans="1:9" x14ac:dyDescent="0.3">
      <c r="A8" t="s">
        <v>10</v>
      </c>
      <c r="B8" t="str">
        <f>"01020"</f>
        <v>01020</v>
      </c>
      <c r="C8" t="s">
        <v>14</v>
      </c>
      <c r="D8" t="s">
        <v>15</v>
      </c>
      <c r="E8" t="str">
        <f>"001T"</f>
        <v>001T</v>
      </c>
      <c r="F8">
        <v>2012</v>
      </c>
      <c r="G8" s="5">
        <v>14139700</v>
      </c>
      <c r="H8" s="5">
        <v>4971600</v>
      </c>
      <c r="I8" s="5">
        <v>9168100</v>
      </c>
    </row>
    <row r="9" spans="1:9" x14ac:dyDescent="0.3">
      <c r="A9" t="s">
        <v>10</v>
      </c>
      <c r="B9" t="str">
        <f>"01030"</f>
        <v>01030</v>
      </c>
      <c r="C9" t="s">
        <v>14</v>
      </c>
      <c r="D9" t="s">
        <v>16</v>
      </c>
      <c r="E9" t="str">
        <f>"001T"</f>
        <v>001T</v>
      </c>
      <c r="F9">
        <v>2015</v>
      </c>
      <c r="G9" s="5">
        <v>56843800</v>
      </c>
      <c r="H9" s="5">
        <v>1249400</v>
      </c>
      <c r="I9" s="5">
        <v>55594400</v>
      </c>
    </row>
    <row r="10" spans="1:9" x14ac:dyDescent="0.3">
      <c r="A10" t="s">
        <v>10</v>
      </c>
      <c r="B10" t="str">
        <f>"01291"</f>
        <v>01291</v>
      </c>
      <c r="C10" t="s">
        <v>11</v>
      </c>
      <c r="D10" t="s">
        <v>17</v>
      </c>
      <c r="E10" t="str">
        <f>"003"</f>
        <v>003</v>
      </c>
      <c r="F10">
        <v>2005</v>
      </c>
      <c r="G10" s="5">
        <v>65833600</v>
      </c>
      <c r="H10" s="5">
        <v>2149200</v>
      </c>
      <c r="I10" s="5">
        <v>63684400</v>
      </c>
    </row>
    <row r="11" spans="1:9" x14ac:dyDescent="0.3">
      <c r="A11" t="s">
        <v>18</v>
      </c>
      <c r="B11" t="str">
        <f>"02201"</f>
        <v>02201</v>
      </c>
      <c r="C11" t="s">
        <v>11</v>
      </c>
      <c r="D11" t="s">
        <v>18</v>
      </c>
      <c r="E11" t="str">
        <f>"006"</f>
        <v>006</v>
      </c>
      <c r="F11">
        <v>1994</v>
      </c>
      <c r="G11" s="5">
        <v>17286100</v>
      </c>
      <c r="H11" s="5">
        <v>5659600</v>
      </c>
      <c r="I11" s="5">
        <v>11626500</v>
      </c>
    </row>
    <row r="12" spans="1:9" x14ac:dyDescent="0.3">
      <c r="A12" t="s">
        <v>18</v>
      </c>
      <c r="B12" t="str">
        <f>"02201"</f>
        <v>02201</v>
      </c>
      <c r="C12" t="s">
        <v>11</v>
      </c>
      <c r="D12" t="s">
        <v>18</v>
      </c>
      <c r="E12" t="str">
        <f>"009"</f>
        <v>009</v>
      </c>
      <c r="F12">
        <v>2006</v>
      </c>
      <c r="G12" s="5">
        <v>10774000</v>
      </c>
      <c r="H12" s="5">
        <v>2359600</v>
      </c>
      <c r="I12" s="5">
        <v>8414400</v>
      </c>
    </row>
    <row r="13" spans="1:9" x14ac:dyDescent="0.3">
      <c r="A13" t="s">
        <v>18</v>
      </c>
      <c r="B13" t="str">
        <f>"02201"</f>
        <v>02201</v>
      </c>
      <c r="C13" t="s">
        <v>11</v>
      </c>
      <c r="D13" t="s">
        <v>18</v>
      </c>
      <c r="E13" t="str">
        <f>"010"</f>
        <v>010</v>
      </c>
      <c r="F13">
        <v>2017</v>
      </c>
      <c r="G13" s="5">
        <v>6643000</v>
      </c>
      <c r="H13" s="5">
        <v>2709200</v>
      </c>
      <c r="I13" s="5">
        <v>3933800</v>
      </c>
    </row>
    <row r="14" spans="1:9" x14ac:dyDescent="0.3">
      <c r="A14" t="s">
        <v>19</v>
      </c>
      <c r="B14" t="str">
        <f>"03101"</f>
        <v>03101</v>
      </c>
      <c r="C14" t="s">
        <v>12</v>
      </c>
      <c r="D14" t="s">
        <v>20</v>
      </c>
      <c r="E14" t="str">
        <f>"001"</f>
        <v>001</v>
      </c>
      <c r="F14">
        <v>1990</v>
      </c>
      <c r="G14" s="5">
        <v>7513500</v>
      </c>
      <c r="H14" s="5">
        <v>288300</v>
      </c>
      <c r="I14" s="5">
        <v>7225200</v>
      </c>
    </row>
    <row r="15" spans="1:9" x14ac:dyDescent="0.3">
      <c r="A15" t="s">
        <v>19</v>
      </c>
      <c r="B15" t="str">
        <f>"03206"</f>
        <v>03206</v>
      </c>
      <c r="C15" t="s">
        <v>11</v>
      </c>
      <c r="D15" t="s">
        <v>19</v>
      </c>
      <c r="E15" t="str">
        <f>"002"</f>
        <v>002</v>
      </c>
      <c r="F15">
        <v>2000</v>
      </c>
      <c r="G15" s="5">
        <v>3569200</v>
      </c>
      <c r="H15" s="5">
        <v>1991400</v>
      </c>
      <c r="I15" s="5">
        <v>1577800</v>
      </c>
    </row>
    <row r="16" spans="1:9" x14ac:dyDescent="0.3">
      <c r="A16" t="s">
        <v>19</v>
      </c>
      <c r="B16" t="str">
        <f>"03206"</f>
        <v>03206</v>
      </c>
      <c r="C16" t="s">
        <v>11</v>
      </c>
      <c r="D16" t="s">
        <v>19</v>
      </c>
      <c r="E16" t="str">
        <f>"003"</f>
        <v>003</v>
      </c>
      <c r="F16">
        <v>2005</v>
      </c>
      <c r="G16" s="5">
        <v>11827100</v>
      </c>
      <c r="H16" s="5">
        <v>9825400</v>
      </c>
      <c r="I16" s="5">
        <v>2001700</v>
      </c>
    </row>
    <row r="17" spans="1:9" x14ac:dyDescent="0.3">
      <c r="A17" t="s">
        <v>19</v>
      </c>
      <c r="B17" t="str">
        <f>"03206"</f>
        <v>03206</v>
      </c>
      <c r="C17" t="s">
        <v>11</v>
      </c>
      <c r="D17" t="s">
        <v>19</v>
      </c>
      <c r="E17" t="str">
        <f>"004"</f>
        <v>004</v>
      </c>
      <c r="F17">
        <v>2007</v>
      </c>
      <c r="G17" s="5">
        <v>15272400</v>
      </c>
      <c r="H17" s="5">
        <v>12527200</v>
      </c>
      <c r="I17" s="5">
        <v>2745200</v>
      </c>
    </row>
    <row r="18" spans="1:9" x14ac:dyDescent="0.3">
      <c r="A18" t="s">
        <v>19</v>
      </c>
      <c r="B18" t="str">
        <f>"03206"</f>
        <v>03206</v>
      </c>
      <c r="C18" t="s">
        <v>11</v>
      </c>
      <c r="D18" t="s">
        <v>19</v>
      </c>
      <c r="E18" t="str">
        <f>"005"</f>
        <v>005</v>
      </c>
      <c r="F18">
        <v>2010</v>
      </c>
      <c r="G18" s="5">
        <v>7097500</v>
      </c>
      <c r="H18" s="5">
        <v>5696200</v>
      </c>
      <c r="I18" s="5">
        <v>1401300</v>
      </c>
    </row>
    <row r="19" spans="1:9" x14ac:dyDescent="0.3">
      <c r="A19" t="s">
        <v>19</v>
      </c>
      <c r="B19" t="str">
        <f>"03206"</f>
        <v>03206</v>
      </c>
      <c r="C19" t="s">
        <v>11</v>
      </c>
      <c r="D19" t="s">
        <v>19</v>
      </c>
      <c r="E19" t="str">
        <f>"006"</f>
        <v>006</v>
      </c>
      <c r="F19">
        <v>2015</v>
      </c>
      <c r="G19" s="5">
        <v>7557000</v>
      </c>
      <c r="H19" s="5">
        <v>4803300</v>
      </c>
      <c r="I19" s="5">
        <v>2753700</v>
      </c>
    </row>
    <row r="20" spans="1:9" x14ac:dyDescent="0.3">
      <c r="A20" t="s">
        <v>19</v>
      </c>
      <c r="B20" t="str">
        <f>"03111"</f>
        <v>03111</v>
      </c>
      <c r="C20" t="s">
        <v>12</v>
      </c>
      <c r="D20" t="s">
        <v>21</v>
      </c>
      <c r="E20" t="str">
        <f>"001"</f>
        <v>001</v>
      </c>
      <c r="F20">
        <v>2005</v>
      </c>
      <c r="G20" s="5">
        <v>22364200</v>
      </c>
      <c r="H20" s="5">
        <v>2317500</v>
      </c>
      <c r="I20" s="5">
        <v>20046700</v>
      </c>
    </row>
    <row r="21" spans="1:9" x14ac:dyDescent="0.3">
      <c r="A21" t="s">
        <v>19</v>
      </c>
      <c r="B21" t="str">
        <f>"03211"</f>
        <v>03211</v>
      </c>
      <c r="C21" t="s">
        <v>11</v>
      </c>
      <c r="D21" t="s">
        <v>22</v>
      </c>
      <c r="E21" t="str">
        <f>"003"</f>
        <v>003</v>
      </c>
      <c r="F21">
        <v>2007</v>
      </c>
      <c r="G21" s="5">
        <v>221000</v>
      </c>
      <c r="H21" s="5">
        <v>222800</v>
      </c>
      <c r="I21" s="5">
        <v>-1800</v>
      </c>
    </row>
    <row r="22" spans="1:9" x14ac:dyDescent="0.3">
      <c r="A22" t="s">
        <v>19</v>
      </c>
      <c r="B22" t="str">
        <f>"03212"</f>
        <v>03212</v>
      </c>
      <c r="C22" t="s">
        <v>11</v>
      </c>
      <c r="D22" t="s">
        <v>23</v>
      </c>
      <c r="E22" t="str">
        <f>"007"</f>
        <v>007</v>
      </c>
      <c r="F22">
        <v>1995</v>
      </c>
      <c r="G22" s="5">
        <v>14313200</v>
      </c>
      <c r="H22" s="5">
        <v>1006400</v>
      </c>
      <c r="I22" s="5">
        <v>13306800</v>
      </c>
    </row>
    <row r="23" spans="1:9" x14ac:dyDescent="0.3">
      <c r="A23" t="s">
        <v>19</v>
      </c>
      <c r="B23" t="str">
        <f>"03212"</f>
        <v>03212</v>
      </c>
      <c r="C23" t="s">
        <v>11</v>
      </c>
      <c r="D23" t="s">
        <v>23</v>
      </c>
      <c r="E23" t="str">
        <f>"008"</f>
        <v>008</v>
      </c>
      <c r="F23">
        <v>2017</v>
      </c>
      <c r="G23" s="5">
        <v>1377100</v>
      </c>
      <c r="H23" s="5">
        <v>477500</v>
      </c>
      <c r="I23" s="5">
        <v>899600</v>
      </c>
    </row>
    <row r="24" spans="1:9" x14ac:dyDescent="0.3">
      <c r="A24" t="s">
        <v>19</v>
      </c>
      <c r="B24" t="str">
        <f>"03212"</f>
        <v>03212</v>
      </c>
      <c r="C24" t="s">
        <v>11</v>
      </c>
      <c r="D24" t="s">
        <v>23</v>
      </c>
      <c r="E24" t="str">
        <f>"009"</f>
        <v>009</v>
      </c>
      <c r="F24">
        <v>2018</v>
      </c>
      <c r="G24" s="5">
        <v>11576800</v>
      </c>
      <c r="H24" s="5">
        <v>6412300</v>
      </c>
      <c r="I24" s="5">
        <v>5164500</v>
      </c>
    </row>
    <row r="25" spans="1:9" x14ac:dyDescent="0.3">
      <c r="A25" t="s">
        <v>19</v>
      </c>
      <c r="B25" t="str">
        <f>"03116"</f>
        <v>03116</v>
      </c>
      <c r="C25" t="s">
        <v>12</v>
      </c>
      <c r="D25" t="s">
        <v>24</v>
      </c>
      <c r="E25" t="str">
        <f>"002"</f>
        <v>002</v>
      </c>
      <c r="F25">
        <v>2001</v>
      </c>
      <c r="G25" s="5">
        <v>1063600</v>
      </c>
      <c r="H25" s="5">
        <v>29900</v>
      </c>
      <c r="I25" s="5">
        <v>1033700</v>
      </c>
    </row>
    <row r="26" spans="1:9" x14ac:dyDescent="0.3">
      <c r="A26" t="s">
        <v>19</v>
      </c>
      <c r="B26" t="str">
        <f>"03171"</f>
        <v>03171</v>
      </c>
      <c r="C26" t="s">
        <v>12</v>
      </c>
      <c r="D26" t="s">
        <v>25</v>
      </c>
      <c r="E26" t="str">
        <f>"001"</f>
        <v>001</v>
      </c>
      <c r="F26">
        <v>2002</v>
      </c>
      <c r="G26" s="5">
        <v>4813200</v>
      </c>
      <c r="H26" s="5">
        <v>3258400</v>
      </c>
      <c r="I26" s="5">
        <v>1554800</v>
      </c>
    </row>
    <row r="27" spans="1:9" x14ac:dyDescent="0.3">
      <c r="A27" t="s">
        <v>19</v>
      </c>
      <c r="B27" t="str">
        <f>"03276"</f>
        <v>03276</v>
      </c>
      <c r="C27" t="s">
        <v>11</v>
      </c>
      <c r="D27" t="s">
        <v>26</v>
      </c>
      <c r="E27" t="str">
        <f>"003"</f>
        <v>003</v>
      </c>
      <c r="F27">
        <v>2001</v>
      </c>
      <c r="G27" s="5">
        <v>39813200</v>
      </c>
      <c r="H27" s="5">
        <v>21358700</v>
      </c>
      <c r="I27" s="5">
        <v>18454500</v>
      </c>
    </row>
    <row r="28" spans="1:9" x14ac:dyDescent="0.3">
      <c r="A28" t="s">
        <v>19</v>
      </c>
      <c r="B28" t="str">
        <f>"03276"</f>
        <v>03276</v>
      </c>
      <c r="C28" t="s">
        <v>11</v>
      </c>
      <c r="D28" t="s">
        <v>26</v>
      </c>
      <c r="E28" t="str">
        <f>"004"</f>
        <v>004</v>
      </c>
      <c r="F28">
        <v>2007</v>
      </c>
      <c r="G28" s="5">
        <v>34075400</v>
      </c>
      <c r="H28" s="5">
        <v>3937100</v>
      </c>
      <c r="I28" s="5">
        <v>30138300</v>
      </c>
    </row>
    <row r="29" spans="1:9" x14ac:dyDescent="0.3">
      <c r="A29" t="s">
        <v>19</v>
      </c>
      <c r="B29" t="str">
        <f>"03276"</f>
        <v>03276</v>
      </c>
      <c r="C29" t="s">
        <v>11</v>
      </c>
      <c r="D29" t="s">
        <v>26</v>
      </c>
      <c r="E29" t="str">
        <f>"005"</f>
        <v>005</v>
      </c>
      <c r="F29">
        <v>2019</v>
      </c>
      <c r="G29" s="5">
        <v>50306200</v>
      </c>
      <c r="H29" s="5">
        <v>49422700</v>
      </c>
      <c r="I29" s="5">
        <v>883500</v>
      </c>
    </row>
    <row r="30" spans="1:9" x14ac:dyDescent="0.3">
      <c r="A30" t="s">
        <v>19</v>
      </c>
      <c r="B30" t="str">
        <f>"03186"</f>
        <v>03186</v>
      </c>
      <c r="C30" t="s">
        <v>12</v>
      </c>
      <c r="D30" t="s">
        <v>27</v>
      </c>
      <c r="E30" t="str">
        <f>"003"</f>
        <v>003</v>
      </c>
      <c r="F30">
        <v>2009</v>
      </c>
      <c r="G30" s="5">
        <v>123100</v>
      </c>
      <c r="H30" s="5">
        <v>102700</v>
      </c>
      <c r="I30" s="5">
        <v>20400</v>
      </c>
    </row>
    <row r="31" spans="1:9" x14ac:dyDescent="0.3">
      <c r="A31" t="s">
        <v>28</v>
      </c>
      <c r="B31" t="str">
        <f>"04151"</f>
        <v>04151</v>
      </c>
      <c r="C31" t="s">
        <v>12</v>
      </c>
      <c r="D31" t="s">
        <v>29</v>
      </c>
      <c r="E31" t="str">
        <f>"001"</f>
        <v>001</v>
      </c>
      <c r="F31">
        <v>1999</v>
      </c>
      <c r="G31" s="5">
        <v>1156700</v>
      </c>
      <c r="H31" s="5">
        <v>159000</v>
      </c>
      <c r="I31" s="5">
        <v>997700</v>
      </c>
    </row>
    <row r="32" spans="1:9" x14ac:dyDescent="0.3">
      <c r="A32" t="s">
        <v>28</v>
      </c>
      <c r="B32" t="str">
        <f>"04291"</f>
        <v>04291</v>
      </c>
      <c r="C32" t="s">
        <v>11</v>
      </c>
      <c r="D32" t="s">
        <v>30</v>
      </c>
      <c r="E32" t="str">
        <f>"002"</f>
        <v>002</v>
      </c>
      <c r="F32">
        <v>1995</v>
      </c>
      <c r="G32" s="5">
        <v>19213100</v>
      </c>
      <c r="H32" s="5">
        <v>9141200</v>
      </c>
      <c r="I32" s="5">
        <v>10071900</v>
      </c>
    </row>
    <row r="33" spans="1:9" x14ac:dyDescent="0.3">
      <c r="A33" t="s">
        <v>28</v>
      </c>
      <c r="B33" t="str">
        <f>"04291"</f>
        <v>04291</v>
      </c>
      <c r="C33" t="s">
        <v>11</v>
      </c>
      <c r="D33" t="s">
        <v>30</v>
      </c>
      <c r="E33" t="str">
        <f>"003"</f>
        <v>003</v>
      </c>
      <c r="F33">
        <v>2015</v>
      </c>
      <c r="G33" s="5">
        <v>11015600</v>
      </c>
      <c r="H33" s="5">
        <v>9747800</v>
      </c>
      <c r="I33" s="5">
        <v>1267800</v>
      </c>
    </row>
    <row r="34" spans="1:9" x14ac:dyDescent="0.3">
      <c r="A34" t="s">
        <v>31</v>
      </c>
      <c r="B34" t="str">
        <f>"05102"</f>
        <v>05102</v>
      </c>
      <c r="C34" t="s">
        <v>12</v>
      </c>
      <c r="D34" t="s">
        <v>32</v>
      </c>
      <c r="E34" t="str">
        <f>"001"</f>
        <v>001</v>
      </c>
      <c r="F34">
        <v>2012</v>
      </c>
      <c r="G34" s="5">
        <v>123490700</v>
      </c>
      <c r="H34" s="5">
        <v>84407400</v>
      </c>
      <c r="I34" s="5">
        <v>39083300</v>
      </c>
    </row>
    <row r="35" spans="1:9" x14ac:dyDescent="0.3">
      <c r="A35" t="s">
        <v>31</v>
      </c>
      <c r="B35" t="str">
        <f>"05104"</f>
        <v>05104</v>
      </c>
      <c r="C35" t="s">
        <v>12</v>
      </c>
      <c r="D35" t="s">
        <v>33</v>
      </c>
      <c r="E35" t="str">
        <f>"003"</f>
        <v>003</v>
      </c>
      <c r="F35">
        <v>2008</v>
      </c>
      <c r="G35" s="5">
        <v>550542400</v>
      </c>
      <c r="H35" s="5">
        <v>349253900</v>
      </c>
      <c r="I35" s="5">
        <v>201288500</v>
      </c>
    </row>
    <row r="36" spans="1:9" x14ac:dyDescent="0.3">
      <c r="A36" t="s">
        <v>31</v>
      </c>
      <c r="B36" t="str">
        <f>"05104"</f>
        <v>05104</v>
      </c>
      <c r="C36" t="s">
        <v>12</v>
      </c>
      <c r="D36" t="s">
        <v>33</v>
      </c>
      <c r="E36" t="str">
        <f>"004"</f>
        <v>004</v>
      </c>
      <c r="F36">
        <v>2008</v>
      </c>
      <c r="G36" s="5">
        <v>83398200</v>
      </c>
      <c r="H36" s="5">
        <v>15987400</v>
      </c>
      <c r="I36" s="5">
        <v>67410800</v>
      </c>
    </row>
    <row r="37" spans="1:9" x14ac:dyDescent="0.3">
      <c r="A37" t="s">
        <v>31</v>
      </c>
      <c r="B37" t="str">
        <f>"05104"</f>
        <v>05104</v>
      </c>
      <c r="C37" t="s">
        <v>12</v>
      </c>
      <c r="D37" t="s">
        <v>33</v>
      </c>
      <c r="E37" t="str">
        <f>"005"</f>
        <v>005</v>
      </c>
      <c r="F37">
        <v>2014</v>
      </c>
      <c r="G37" s="5">
        <v>89000400</v>
      </c>
      <c r="H37" s="5">
        <v>62012600</v>
      </c>
      <c r="I37" s="5">
        <v>26987800</v>
      </c>
    </row>
    <row r="38" spans="1:9" x14ac:dyDescent="0.3">
      <c r="A38" t="s">
        <v>31</v>
      </c>
      <c r="B38" t="str">
        <f>"05106"</f>
        <v>05106</v>
      </c>
      <c r="C38" t="s">
        <v>12</v>
      </c>
      <c r="D38" t="s">
        <v>34</v>
      </c>
      <c r="E38" t="str">
        <f>"001"</f>
        <v>001</v>
      </c>
      <c r="F38">
        <v>2013</v>
      </c>
      <c r="G38" s="5">
        <v>35224300</v>
      </c>
      <c r="H38" s="5">
        <v>7198700</v>
      </c>
      <c r="I38" s="5">
        <v>28025600</v>
      </c>
    </row>
    <row r="39" spans="1:9" x14ac:dyDescent="0.3">
      <c r="A39" t="s">
        <v>31</v>
      </c>
      <c r="B39" t="str">
        <f>"05106"</f>
        <v>05106</v>
      </c>
      <c r="C39" t="s">
        <v>12</v>
      </c>
      <c r="D39" t="s">
        <v>34</v>
      </c>
      <c r="E39" t="str">
        <f>"002"</f>
        <v>002</v>
      </c>
      <c r="F39">
        <v>2016</v>
      </c>
      <c r="G39" s="5">
        <v>10635500</v>
      </c>
      <c r="H39" s="5">
        <v>2391100</v>
      </c>
      <c r="I39" s="5">
        <v>8244400</v>
      </c>
    </row>
    <row r="40" spans="1:9" x14ac:dyDescent="0.3">
      <c r="A40" t="s">
        <v>31</v>
      </c>
      <c r="B40" t="str">
        <f t="shared" ref="B40:B49" si="0">"05216"</f>
        <v>05216</v>
      </c>
      <c r="C40" t="s">
        <v>11</v>
      </c>
      <c r="D40" t="s">
        <v>35</v>
      </c>
      <c r="E40" t="str">
        <f>"005"</f>
        <v>005</v>
      </c>
      <c r="F40">
        <v>1996</v>
      </c>
      <c r="G40" s="5">
        <v>46600400</v>
      </c>
      <c r="H40" s="5">
        <v>11540700</v>
      </c>
      <c r="I40" s="5">
        <v>35059700</v>
      </c>
    </row>
    <row r="41" spans="1:9" x14ac:dyDescent="0.3">
      <c r="A41" t="s">
        <v>31</v>
      </c>
      <c r="B41" t="str">
        <f t="shared" si="0"/>
        <v>05216</v>
      </c>
      <c r="C41" t="s">
        <v>11</v>
      </c>
      <c r="D41" t="s">
        <v>35</v>
      </c>
      <c r="E41" t="str">
        <f>"006"</f>
        <v>006</v>
      </c>
      <c r="F41">
        <v>1998</v>
      </c>
      <c r="G41" s="5">
        <v>100128100</v>
      </c>
      <c r="H41" s="5">
        <v>7042900</v>
      </c>
      <c r="I41" s="5">
        <v>93085200</v>
      </c>
    </row>
    <row r="42" spans="1:9" x14ac:dyDescent="0.3">
      <c r="A42" t="s">
        <v>31</v>
      </c>
      <c r="B42" t="str">
        <f t="shared" si="0"/>
        <v>05216</v>
      </c>
      <c r="C42" t="s">
        <v>11</v>
      </c>
      <c r="D42" t="s">
        <v>35</v>
      </c>
      <c r="E42" t="str">
        <f>"007"</f>
        <v>007</v>
      </c>
      <c r="F42">
        <v>2007</v>
      </c>
      <c r="G42" s="5">
        <v>18799600</v>
      </c>
      <c r="H42" s="5">
        <v>12056000</v>
      </c>
      <c r="I42" s="5">
        <v>6743600</v>
      </c>
    </row>
    <row r="43" spans="1:9" x14ac:dyDescent="0.3">
      <c r="A43" t="s">
        <v>31</v>
      </c>
      <c r="B43" t="str">
        <f t="shared" si="0"/>
        <v>05216</v>
      </c>
      <c r="C43" t="s">
        <v>11</v>
      </c>
      <c r="D43" t="s">
        <v>35</v>
      </c>
      <c r="E43" t="str">
        <f>"008"</f>
        <v>008</v>
      </c>
      <c r="F43">
        <v>2007</v>
      </c>
      <c r="G43" s="5">
        <v>63658300</v>
      </c>
      <c r="H43" s="5">
        <v>36633200</v>
      </c>
      <c r="I43" s="5">
        <v>27025100</v>
      </c>
    </row>
    <row r="44" spans="1:9" x14ac:dyDescent="0.3">
      <c r="A44" t="s">
        <v>31</v>
      </c>
      <c r="B44" t="str">
        <f t="shared" si="0"/>
        <v>05216</v>
      </c>
      <c r="C44" t="s">
        <v>11</v>
      </c>
      <c r="D44" t="s">
        <v>35</v>
      </c>
      <c r="E44" t="str">
        <f>"009"</f>
        <v>009</v>
      </c>
      <c r="F44">
        <v>2012</v>
      </c>
      <c r="G44" s="5">
        <v>16904200</v>
      </c>
      <c r="H44" s="5">
        <v>14776100</v>
      </c>
      <c r="I44" s="5">
        <v>2128100</v>
      </c>
    </row>
    <row r="45" spans="1:9" x14ac:dyDescent="0.3">
      <c r="A45" t="s">
        <v>31</v>
      </c>
      <c r="B45" t="str">
        <f t="shared" si="0"/>
        <v>05216</v>
      </c>
      <c r="C45" t="s">
        <v>11</v>
      </c>
      <c r="D45" t="s">
        <v>35</v>
      </c>
      <c r="E45" t="str">
        <f>"010"</f>
        <v>010</v>
      </c>
      <c r="F45">
        <v>2012</v>
      </c>
      <c r="G45" s="5">
        <v>31698000</v>
      </c>
      <c r="H45" s="5">
        <v>24811900</v>
      </c>
      <c r="I45" s="5">
        <v>6886100</v>
      </c>
    </row>
    <row r="46" spans="1:9" x14ac:dyDescent="0.3">
      <c r="A46" t="s">
        <v>31</v>
      </c>
      <c r="B46" t="str">
        <f t="shared" si="0"/>
        <v>05216</v>
      </c>
      <c r="C46" t="s">
        <v>11</v>
      </c>
      <c r="D46" t="s">
        <v>35</v>
      </c>
      <c r="E46" t="str">
        <f>"011"</f>
        <v>011</v>
      </c>
      <c r="F46">
        <v>2015</v>
      </c>
      <c r="G46" s="5">
        <v>13721100</v>
      </c>
      <c r="H46" s="5">
        <v>6079500</v>
      </c>
      <c r="I46" s="5">
        <v>7641600</v>
      </c>
    </row>
    <row r="47" spans="1:9" x14ac:dyDescent="0.3">
      <c r="A47" t="s">
        <v>31</v>
      </c>
      <c r="B47" t="str">
        <f t="shared" si="0"/>
        <v>05216</v>
      </c>
      <c r="C47" t="s">
        <v>11</v>
      </c>
      <c r="D47" t="s">
        <v>35</v>
      </c>
      <c r="E47" t="str">
        <f>"012"</f>
        <v>012</v>
      </c>
      <c r="F47">
        <v>2015</v>
      </c>
      <c r="G47" s="5">
        <v>1663900</v>
      </c>
      <c r="H47" s="5">
        <v>129100</v>
      </c>
      <c r="I47" s="5">
        <v>1534800</v>
      </c>
    </row>
    <row r="48" spans="1:9" x14ac:dyDescent="0.3">
      <c r="A48" t="s">
        <v>31</v>
      </c>
      <c r="B48" t="str">
        <f t="shared" si="0"/>
        <v>05216</v>
      </c>
      <c r="C48" t="s">
        <v>11</v>
      </c>
      <c r="D48" t="s">
        <v>35</v>
      </c>
      <c r="E48" t="str">
        <f>"013"</f>
        <v>013</v>
      </c>
      <c r="F48">
        <v>2017</v>
      </c>
      <c r="G48" s="5">
        <v>57832700</v>
      </c>
      <c r="H48" s="5">
        <v>53361100</v>
      </c>
      <c r="I48" s="5">
        <v>4471600</v>
      </c>
    </row>
    <row r="49" spans="1:9" x14ac:dyDescent="0.3">
      <c r="A49" t="s">
        <v>31</v>
      </c>
      <c r="B49" t="str">
        <f t="shared" si="0"/>
        <v>05216</v>
      </c>
      <c r="C49" t="s">
        <v>11</v>
      </c>
      <c r="D49" t="s">
        <v>35</v>
      </c>
      <c r="E49" t="str">
        <f>"014"</f>
        <v>014</v>
      </c>
      <c r="F49">
        <v>2019</v>
      </c>
      <c r="G49" s="5">
        <v>574200</v>
      </c>
      <c r="H49" s="5">
        <v>579600</v>
      </c>
      <c r="I49" s="5">
        <v>-5400</v>
      </c>
    </row>
    <row r="50" spans="1:9" x14ac:dyDescent="0.3">
      <c r="A50" t="s">
        <v>31</v>
      </c>
      <c r="B50" t="str">
        <f t="shared" ref="B50:B65" si="1">"05231"</f>
        <v>05231</v>
      </c>
      <c r="C50" t="s">
        <v>11</v>
      </c>
      <c r="D50" t="s">
        <v>36</v>
      </c>
      <c r="E50" t="str">
        <f>"004"</f>
        <v>004</v>
      </c>
      <c r="F50">
        <v>1998</v>
      </c>
      <c r="G50" s="5">
        <v>50676100</v>
      </c>
      <c r="H50" s="5">
        <v>26954000</v>
      </c>
      <c r="I50" s="5">
        <v>23722100</v>
      </c>
    </row>
    <row r="51" spans="1:9" x14ac:dyDescent="0.3">
      <c r="A51" t="s">
        <v>31</v>
      </c>
      <c r="B51" t="str">
        <f t="shared" si="1"/>
        <v>05231</v>
      </c>
      <c r="C51" t="s">
        <v>11</v>
      </c>
      <c r="D51" t="s">
        <v>36</v>
      </c>
      <c r="E51" t="str">
        <f>"005"</f>
        <v>005</v>
      </c>
      <c r="F51">
        <v>2000</v>
      </c>
      <c r="G51" s="5">
        <v>138641100</v>
      </c>
      <c r="H51" s="5">
        <v>55249400</v>
      </c>
      <c r="I51" s="5">
        <v>83391700</v>
      </c>
    </row>
    <row r="52" spans="1:9" x14ac:dyDescent="0.3">
      <c r="A52" t="s">
        <v>31</v>
      </c>
      <c r="B52" t="str">
        <f t="shared" si="1"/>
        <v>05231</v>
      </c>
      <c r="C52" t="s">
        <v>11</v>
      </c>
      <c r="D52" t="s">
        <v>36</v>
      </c>
      <c r="E52" t="str">
        <f>"007"</f>
        <v>007</v>
      </c>
      <c r="F52">
        <v>2002</v>
      </c>
      <c r="G52" s="5">
        <v>48548100</v>
      </c>
      <c r="H52" s="5">
        <v>14369500</v>
      </c>
      <c r="I52" s="5">
        <v>34178600</v>
      </c>
    </row>
    <row r="53" spans="1:9" x14ac:dyDescent="0.3">
      <c r="A53" t="s">
        <v>31</v>
      </c>
      <c r="B53" t="str">
        <f t="shared" si="1"/>
        <v>05231</v>
      </c>
      <c r="C53" t="s">
        <v>11</v>
      </c>
      <c r="D53" t="s">
        <v>36</v>
      </c>
      <c r="E53" t="str">
        <f>"008"</f>
        <v>008</v>
      </c>
      <c r="F53">
        <v>2002</v>
      </c>
      <c r="G53" s="5">
        <v>23026900</v>
      </c>
      <c r="H53" s="5">
        <v>6338700</v>
      </c>
      <c r="I53" s="5">
        <v>16688200</v>
      </c>
    </row>
    <row r="54" spans="1:9" x14ac:dyDescent="0.3">
      <c r="A54" t="s">
        <v>31</v>
      </c>
      <c r="B54" t="str">
        <f t="shared" si="1"/>
        <v>05231</v>
      </c>
      <c r="C54" t="s">
        <v>11</v>
      </c>
      <c r="D54" t="s">
        <v>36</v>
      </c>
      <c r="E54" t="str">
        <f>"009"</f>
        <v>009</v>
      </c>
      <c r="F54">
        <v>2004</v>
      </c>
      <c r="G54" s="5">
        <v>11896200</v>
      </c>
      <c r="H54" s="5">
        <v>3792300</v>
      </c>
      <c r="I54" s="5">
        <v>8103900</v>
      </c>
    </row>
    <row r="55" spans="1:9" x14ac:dyDescent="0.3">
      <c r="A55" t="s">
        <v>31</v>
      </c>
      <c r="B55" t="str">
        <f t="shared" si="1"/>
        <v>05231</v>
      </c>
      <c r="C55" t="s">
        <v>11</v>
      </c>
      <c r="D55" t="s">
        <v>36</v>
      </c>
      <c r="E55" t="str">
        <f>"010"</f>
        <v>010</v>
      </c>
      <c r="F55">
        <v>2004</v>
      </c>
      <c r="G55" s="5">
        <v>35440300</v>
      </c>
      <c r="H55" s="5">
        <v>24402500</v>
      </c>
      <c r="I55" s="5">
        <v>11037800</v>
      </c>
    </row>
    <row r="56" spans="1:9" x14ac:dyDescent="0.3">
      <c r="A56" t="s">
        <v>31</v>
      </c>
      <c r="B56" t="str">
        <f t="shared" si="1"/>
        <v>05231</v>
      </c>
      <c r="C56" t="s">
        <v>11</v>
      </c>
      <c r="D56" t="s">
        <v>36</v>
      </c>
      <c r="E56" t="str">
        <f>"012"</f>
        <v>012</v>
      </c>
      <c r="F56">
        <v>2005</v>
      </c>
      <c r="G56" s="5">
        <v>304094500</v>
      </c>
      <c r="H56" s="5">
        <v>196591800</v>
      </c>
      <c r="I56" s="5">
        <v>107502700</v>
      </c>
    </row>
    <row r="57" spans="1:9" x14ac:dyDescent="0.3">
      <c r="A57" t="s">
        <v>31</v>
      </c>
      <c r="B57" t="str">
        <f t="shared" si="1"/>
        <v>05231</v>
      </c>
      <c r="C57" t="s">
        <v>11</v>
      </c>
      <c r="D57" t="s">
        <v>36</v>
      </c>
      <c r="E57" t="str">
        <f>"013"</f>
        <v>013</v>
      </c>
      <c r="F57">
        <v>2005</v>
      </c>
      <c r="G57" s="5">
        <v>157594200</v>
      </c>
      <c r="H57" s="5">
        <v>46360500</v>
      </c>
      <c r="I57" s="5">
        <v>111233700</v>
      </c>
    </row>
    <row r="58" spans="1:9" x14ac:dyDescent="0.3">
      <c r="A58" t="s">
        <v>31</v>
      </c>
      <c r="B58" t="str">
        <f t="shared" si="1"/>
        <v>05231</v>
      </c>
      <c r="C58" t="s">
        <v>11</v>
      </c>
      <c r="D58" t="s">
        <v>36</v>
      </c>
      <c r="E58" t="str">
        <f>"014"</f>
        <v>014</v>
      </c>
      <c r="F58">
        <v>2006</v>
      </c>
      <c r="G58" s="5">
        <v>29090600</v>
      </c>
      <c r="H58" s="5">
        <v>6155500</v>
      </c>
      <c r="I58" s="5">
        <v>22935100</v>
      </c>
    </row>
    <row r="59" spans="1:9" x14ac:dyDescent="0.3">
      <c r="A59" t="s">
        <v>31</v>
      </c>
      <c r="B59" t="str">
        <f t="shared" si="1"/>
        <v>05231</v>
      </c>
      <c r="C59" t="s">
        <v>11</v>
      </c>
      <c r="D59" t="s">
        <v>36</v>
      </c>
      <c r="E59" t="str">
        <f>"016"</f>
        <v>016</v>
      </c>
      <c r="F59">
        <v>2007</v>
      </c>
      <c r="G59" s="5">
        <v>101944200</v>
      </c>
      <c r="H59" s="5">
        <v>82363200</v>
      </c>
      <c r="I59" s="5">
        <v>19581000</v>
      </c>
    </row>
    <row r="60" spans="1:9" x14ac:dyDescent="0.3">
      <c r="A60" t="s">
        <v>31</v>
      </c>
      <c r="B60" t="str">
        <f t="shared" si="1"/>
        <v>05231</v>
      </c>
      <c r="C60" t="s">
        <v>11</v>
      </c>
      <c r="D60" t="s">
        <v>36</v>
      </c>
      <c r="E60" t="str">
        <f>"018"</f>
        <v>018</v>
      </c>
      <c r="F60">
        <v>2016</v>
      </c>
      <c r="G60" s="5">
        <v>50049600</v>
      </c>
      <c r="H60" s="5">
        <v>29760700</v>
      </c>
      <c r="I60" s="5">
        <v>20288900</v>
      </c>
    </row>
    <row r="61" spans="1:9" x14ac:dyDescent="0.3">
      <c r="A61" t="s">
        <v>31</v>
      </c>
      <c r="B61" t="str">
        <f t="shared" si="1"/>
        <v>05231</v>
      </c>
      <c r="C61" t="s">
        <v>11</v>
      </c>
      <c r="D61" t="s">
        <v>36</v>
      </c>
      <c r="E61" t="str">
        <f>"019"</f>
        <v>019</v>
      </c>
      <c r="F61">
        <v>2017</v>
      </c>
      <c r="G61" s="5">
        <v>36281100</v>
      </c>
      <c r="H61" s="5">
        <v>27027500</v>
      </c>
      <c r="I61" s="5">
        <v>9253600</v>
      </c>
    </row>
    <row r="62" spans="1:9" x14ac:dyDescent="0.3">
      <c r="A62" t="s">
        <v>31</v>
      </c>
      <c r="B62" t="str">
        <f t="shared" si="1"/>
        <v>05231</v>
      </c>
      <c r="C62" t="s">
        <v>11</v>
      </c>
      <c r="D62" t="s">
        <v>36</v>
      </c>
      <c r="E62" t="str">
        <f>"020"</f>
        <v>020</v>
      </c>
      <c r="F62">
        <v>2018</v>
      </c>
      <c r="G62" s="5">
        <v>10372300</v>
      </c>
      <c r="H62" s="5">
        <v>5285100</v>
      </c>
      <c r="I62" s="5">
        <v>5087200</v>
      </c>
    </row>
    <row r="63" spans="1:9" x14ac:dyDescent="0.3">
      <c r="A63" t="s">
        <v>31</v>
      </c>
      <c r="B63" t="str">
        <f t="shared" si="1"/>
        <v>05231</v>
      </c>
      <c r="C63" t="s">
        <v>11</v>
      </c>
      <c r="D63" t="s">
        <v>36</v>
      </c>
      <c r="E63" t="str">
        <f>"021"</f>
        <v>021</v>
      </c>
      <c r="F63">
        <v>2018</v>
      </c>
      <c r="G63" s="5">
        <v>93637900</v>
      </c>
      <c r="H63" s="5">
        <v>25446300</v>
      </c>
      <c r="I63" s="5">
        <v>68191600</v>
      </c>
    </row>
    <row r="64" spans="1:9" x14ac:dyDescent="0.3">
      <c r="A64" t="s">
        <v>31</v>
      </c>
      <c r="B64" t="str">
        <f t="shared" si="1"/>
        <v>05231</v>
      </c>
      <c r="C64" t="s">
        <v>11</v>
      </c>
      <c r="D64" t="s">
        <v>36</v>
      </c>
      <c r="E64" t="str">
        <f>"022"</f>
        <v>022</v>
      </c>
      <c r="F64">
        <v>2019</v>
      </c>
      <c r="G64" s="5">
        <v>3820600</v>
      </c>
      <c r="H64" s="5">
        <v>3941400</v>
      </c>
      <c r="I64" s="5">
        <v>-120800</v>
      </c>
    </row>
    <row r="65" spans="1:9" x14ac:dyDescent="0.3">
      <c r="A65" t="s">
        <v>31</v>
      </c>
      <c r="B65" t="str">
        <f t="shared" si="1"/>
        <v>05231</v>
      </c>
      <c r="C65" t="s">
        <v>11</v>
      </c>
      <c r="D65" t="s">
        <v>36</v>
      </c>
      <c r="E65" t="str">
        <f>"023"</f>
        <v>023</v>
      </c>
      <c r="F65">
        <v>2019</v>
      </c>
      <c r="G65" s="5">
        <v>12625900</v>
      </c>
      <c r="H65" s="5">
        <v>12027400</v>
      </c>
      <c r="I65" s="5">
        <v>598500</v>
      </c>
    </row>
    <row r="66" spans="1:9" x14ac:dyDescent="0.3">
      <c r="A66" t="s">
        <v>31</v>
      </c>
      <c r="B66" t="str">
        <f>"05126"</f>
        <v>05126</v>
      </c>
      <c r="C66" t="s">
        <v>12</v>
      </c>
      <c r="D66" t="s">
        <v>37</v>
      </c>
      <c r="E66" t="str">
        <f>"001"</f>
        <v>001</v>
      </c>
      <c r="F66">
        <v>2009</v>
      </c>
      <c r="G66" s="5">
        <v>218957800</v>
      </c>
      <c r="H66" s="5">
        <v>20991900</v>
      </c>
      <c r="I66" s="5">
        <v>197965900</v>
      </c>
    </row>
    <row r="67" spans="1:9" x14ac:dyDescent="0.3">
      <c r="A67" t="s">
        <v>31</v>
      </c>
      <c r="B67" t="str">
        <f>"05126"</f>
        <v>05126</v>
      </c>
      <c r="C67" t="s">
        <v>12</v>
      </c>
      <c r="D67" t="s">
        <v>37</v>
      </c>
      <c r="E67" t="str">
        <f>"002"</f>
        <v>002</v>
      </c>
      <c r="F67">
        <v>2011</v>
      </c>
      <c r="G67" s="5">
        <v>83905600</v>
      </c>
      <c r="H67" s="5">
        <v>3285500</v>
      </c>
      <c r="I67" s="5">
        <v>80620100</v>
      </c>
    </row>
    <row r="68" spans="1:9" x14ac:dyDescent="0.3">
      <c r="A68" t="s">
        <v>31</v>
      </c>
      <c r="B68" t="str">
        <f t="shared" ref="B68:B74" si="2">"05136"</f>
        <v>05136</v>
      </c>
      <c r="C68" t="s">
        <v>12</v>
      </c>
      <c r="D68" t="s">
        <v>38</v>
      </c>
      <c r="E68" t="str">
        <f>"003"</f>
        <v>003</v>
      </c>
      <c r="F68">
        <v>2006</v>
      </c>
      <c r="G68" s="5">
        <v>40693100</v>
      </c>
      <c r="H68" s="5">
        <v>16302800</v>
      </c>
      <c r="I68" s="5">
        <v>24390300</v>
      </c>
    </row>
    <row r="69" spans="1:9" x14ac:dyDescent="0.3">
      <c r="A69" t="s">
        <v>31</v>
      </c>
      <c r="B69" t="str">
        <f t="shared" si="2"/>
        <v>05136</v>
      </c>
      <c r="C69" t="s">
        <v>12</v>
      </c>
      <c r="D69" t="s">
        <v>38</v>
      </c>
      <c r="E69" t="str">
        <f>"004"</f>
        <v>004</v>
      </c>
      <c r="F69">
        <v>2007</v>
      </c>
      <c r="G69" s="5">
        <v>109611200</v>
      </c>
      <c r="H69" s="5">
        <v>68155700</v>
      </c>
      <c r="I69" s="5">
        <v>41455500</v>
      </c>
    </row>
    <row r="70" spans="1:9" x14ac:dyDescent="0.3">
      <c r="A70" t="s">
        <v>31</v>
      </c>
      <c r="B70" t="str">
        <f t="shared" si="2"/>
        <v>05136</v>
      </c>
      <c r="C70" t="s">
        <v>12</v>
      </c>
      <c r="D70" t="s">
        <v>38</v>
      </c>
      <c r="E70" t="str">
        <f>"005"</f>
        <v>005</v>
      </c>
      <c r="F70">
        <v>2008</v>
      </c>
      <c r="G70" s="5">
        <v>13299000</v>
      </c>
      <c r="H70" s="5">
        <v>9872400</v>
      </c>
      <c r="I70" s="5">
        <v>3426600</v>
      </c>
    </row>
    <row r="71" spans="1:9" x14ac:dyDescent="0.3">
      <c r="A71" t="s">
        <v>31</v>
      </c>
      <c r="B71" t="str">
        <f t="shared" si="2"/>
        <v>05136</v>
      </c>
      <c r="C71" t="s">
        <v>12</v>
      </c>
      <c r="D71" t="s">
        <v>38</v>
      </c>
      <c r="E71" t="str">
        <f>"006"</f>
        <v>006</v>
      </c>
      <c r="F71">
        <v>2008</v>
      </c>
      <c r="G71" s="5">
        <v>41016900</v>
      </c>
      <c r="H71" s="5">
        <v>7930100</v>
      </c>
      <c r="I71" s="5">
        <v>33086800</v>
      </c>
    </row>
    <row r="72" spans="1:9" x14ac:dyDescent="0.3">
      <c r="A72" t="s">
        <v>31</v>
      </c>
      <c r="B72" t="str">
        <f t="shared" si="2"/>
        <v>05136</v>
      </c>
      <c r="C72" t="s">
        <v>12</v>
      </c>
      <c r="D72" t="s">
        <v>38</v>
      </c>
      <c r="E72" t="str">
        <f>"007"</f>
        <v>007</v>
      </c>
      <c r="F72">
        <v>2012</v>
      </c>
      <c r="G72" s="5">
        <v>20202000</v>
      </c>
      <c r="H72" s="5">
        <v>18245700</v>
      </c>
      <c r="I72" s="5">
        <v>1956300</v>
      </c>
    </row>
    <row r="73" spans="1:9" x14ac:dyDescent="0.3">
      <c r="A73" t="s">
        <v>31</v>
      </c>
      <c r="B73" t="str">
        <f t="shared" si="2"/>
        <v>05136</v>
      </c>
      <c r="C73" t="s">
        <v>12</v>
      </c>
      <c r="D73" t="s">
        <v>38</v>
      </c>
      <c r="E73" t="str">
        <f>"008"</f>
        <v>008</v>
      </c>
      <c r="F73">
        <v>2015</v>
      </c>
      <c r="G73" s="5">
        <v>37679700</v>
      </c>
      <c r="H73" s="5">
        <v>8378100</v>
      </c>
      <c r="I73" s="5">
        <v>29301600</v>
      </c>
    </row>
    <row r="74" spans="1:9" x14ac:dyDescent="0.3">
      <c r="A74" t="s">
        <v>31</v>
      </c>
      <c r="B74" t="str">
        <f t="shared" si="2"/>
        <v>05136</v>
      </c>
      <c r="C74" t="s">
        <v>12</v>
      </c>
      <c r="D74" t="s">
        <v>38</v>
      </c>
      <c r="E74" t="str">
        <f>"009"</f>
        <v>009</v>
      </c>
      <c r="F74">
        <v>2019</v>
      </c>
      <c r="G74" s="5">
        <v>3026900</v>
      </c>
      <c r="H74" s="5">
        <v>6637800</v>
      </c>
      <c r="I74" s="5">
        <v>-3610900</v>
      </c>
    </row>
    <row r="75" spans="1:9" x14ac:dyDescent="0.3">
      <c r="A75" t="s">
        <v>31</v>
      </c>
      <c r="B75" t="str">
        <f>"05024"</f>
        <v>05024</v>
      </c>
      <c r="C75" t="s">
        <v>14</v>
      </c>
      <c r="D75" t="s">
        <v>39</v>
      </c>
      <c r="E75" t="str">
        <f>"001A"</f>
        <v>001A</v>
      </c>
      <c r="F75">
        <v>2018</v>
      </c>
      <c r="G75" s="5">
        <v>7800300</v>
      </c>
      <c r="H75" s="5">
        <v>212900</v>
      </c>
      <c r="I75" s="5">
        <v>7587400</v>
      </c>
    </row>
    <row r="76" spans="1:9" x14ac:dyDescent="0.3">
      <c r="A76" t="s">
        <v>31</v>
      </c>
      <c r="B76" t="str">
        <f>"05024"</f>
        <v>05024</v>
      </c>
      <c r="C76" t="s">
        <v>14</v>
      </c>
      <c r="D76" t="s">
        <v>39</v>
      </c>
      <c r="E76" t="str">
        <f>"002A"</f>
        <v>002A</v>
      </c>
      <c r="F76">
        <v>2018</v>
      </c>
      <c r="G76" s="5">
        <v>14873700</v>
      </c>
      <c r="H76" s="5">
        <v>1218900</v>
      </c>
      <c r="I76" s="5">
        <v>13654800</v>
      </c>
    </row>
    <row r="77" spans="1:9" x14ac:dyDescent="0.3">
      <c r="A77" t="s">
        <v>31</v>
      </c>
      <c r="B77" t="str">
        <f>"05025"</f>
        <v>05025</v>
      </c>
      <c r="C77" t="s">
        <v>14</v>
      </c>
      <c r="D77" t="s">
        <v>40</v>
      </c>
      <c r="E77" t="str">
        <f>"001A"</f>
        <v>001A</v>
      </c>
      <c r="F77">
        <v>2015</v>
      </c>
      <c r="G77" s="5">
        <v>53015900</v>
      </c>
      <c r="H77" s="5">
        <v>27418500</v>
      </c>
      <c r="I77" s="5">
        <v>25597400</v>
      </c>
    </row>
    <row r="78" spans="1:9" x14ac:dyDescent="0.3">
      <c r="A78" t="s">
        <v>31</v>
      </c>
      <c r="B78" t="str">
        <f>"05025"</f>
        <v>05025</v>
      </c>
      <c r="C78" t="s">
        <v>14</v>
      </c>
      <c r="D78" t="s">
        <v>40</v>
      </c>
      <c r="E78" t="str">
        <f>"002T"</f>
        <v>002T</v>
      </c>
      <c r="F78">
        <v>2019</v>
      </c>
      <c r="G78" s="5">
        <v>3944900</v>
      </c>
      <c r="H78" s="5">
        <v>440000</v>
      </c>
      <c r="I78" s="5">
        <v>3504900</v>
      </c>
    </row>
    <row r="79" spans="1:9" x14ac:dyDescent="0.3">
      <c r="A79" t="s">
        <v>31</v>
      </c>
      <c r="B79" t="str">
        <f>"05171"</f>
        <v>05171</v>
      </c>
      <c r="C79" t="s">
        <v>12</v>
      </c>
      <c r="D79" t="s">
        <v>41</v>
      </c>
      <c r="E79" t="str">
        <f>"002"</f>
        <v>002</v>
      </c>
      <c r="F79">
        <v>2005</v>
      </c>
      <c r="G79" s="5">
        <v>21113200</v>
      </c>
      <c r="H79" s="5">
        <v>10361100</v>
      </c>
      <c r="I79" s="5">
        <v>10752100</v>
      </c>
    </row>
    <row r="80" spans="1:9" x14ac:dyDescent="0.3">
      <c r="A80" t="s">
        <v>31</v>
      </c>
      <c r="B80" t="str">
        <f>"05171"</f>
        <v>05171</v>
      </c>
      <c r="C80" t="s">
        <v>12</v>
      </c>
      <c r="D80" t="s">
        <v>41</v>
      </c>
      <c r="E80" t="str">
        <f>"003"</f>
        <v>003</v>
      </c>
      <c r="F80">
        <v>2014</v>
      </c>
      <c r="G80" s="5">
        <v>5649200</v>
      </c>
      <c r="H80" s="5">
        <v>6000000</v>
      </c>
      <c r="I80" s="5">
        <v>-350800</v>
      </c>
    </row>
    <row r="81" spans="1:9" x14ac:dyDescent="0.3">
      <c r="A81" t="s">
        <v>31</v>
      </c>
      <c r="B81" t="str">
        <f>"05171"</f>
        <v>05171</v>
      </c>
      <c r="C81" t="s">
        <v>12</v>
      </c>
      <c r="D81" t="s">
        <v>41</v>
      </c>
      <c r="E81" t="str">
        <f>"004"</f>
        <v>004</v>
      </c>
      <c r="F81">
        <v>2015</v>
      </c>
      <c r="G81" s="5">
        <v>21812700</v>
      </c>
      <c r="H81" s="5">
        <v>1902300</v>
      </c>
      <c r="I81" s="5">
        <v>19910400</v>
      </c>
    </row>
    <row r="82" spans="1:9" x14ac:dyDescent="0.3">
      <c r="A82" t="s">
        <v>31</v>
      </c>
      <c r="B82" t="str">
        <f>"05178"</f>
        <v>05178</v>
      </c>
      <c r="C82" t="s">
        <v>12</v>
      </c>
      <c r="D82" t="s">
        <v>42</v>
      </c>
      <c r="E82" t="str">
        <f>"001"</f>
        <v>001</v>
      </c>
      <c r="F82">
        <v>2004</v>
      </c>
      <c r="G82" s="5">
        <v>57335900</v>
      </c>
      <c r="H82" s="5">
        <v>10470700</v>
      </c>
      <c r="I82" s="5">
        <v>46865200</v>
      </c>
    </row>
    <row r="83" spans="1:9" x14ac:dyDescent="0.3">
      <c r="A83" t="s">
        <v>31</v>
      </c>
      <c r="B83" t="str">
        <f>"05178"</f>
        <v>05178</v>
      </c>
      <c r="C83" t="s">
        <v>12</v>
      </c>
      <c r="D83" t="s">
        <v>42</v>
      </c>
      <c r="E83" t="str">
        <f>"002"</f>
        <v>002</v>
      </c>
      <c r="F83">
        <v>2006</v>
      </c>
      <c r="G83" s="5">
        <v>26123500</v>
      </c>
      <c r="H83" s="5">
        <v>10526200</v>
      </c>
      <c r="I83" s="5">
        <v>15597300</v>
      </c>
    </row>
    <row r="84" spans="1:9" x14ac:dyDescent="0.3">
      <c r="A84" t="s">
        <v>31</v>
      </c>
      <c r="B84" t="str">
        <f>"05178"</f>
        <v>05178</v>
      </c>
      <c r="C84" t="s">
        <v>12</v>
      </c>
      <c r="D84" t="s">
        <v>42</v>
      </c>
      <c r="E84" t="str">
        <f>"004"</f>
        <v>004</v>
      </c>
      <c r="F84">
        <v>2014</v>
      </c>
      <c r="G84" s="5">
        <v>67891900</v>
      </c>
      <c r="H84" s="5">
        <v>34008700</v>
      </c>
      <c r="I84" s="5">
        <v>33883200</v>
      </c>
    </row>
    <row r="85" spans="1:9" x14ac:dyDescent="0.3">
      <c r="A85" t="s">
        <v>31</v>
      </c>
      <c r="B85" t="str">
        <f>"05191"</f>
        <v>05191</v>
      </c>
      <c r="C85" t="s">
        <v>12</v>
      </c>
      <c r="D85" t="s">
        <v>43</v>
      </c>
      <c r="E85" t="str">
        <f>"003"</f>
        <v>003</v>
      </c>
      <c r="F85">
        <v>2015</v>
      </c>
      <c r="G85" s="5">
        <v>8519200</v>
      </c>
      <c r="H85" s="5">
        <v>8774500</v>
      </c>
      <c r="I85" s="5">
        <v>-255300</v>
      </c>
    </row>
    <row r="86" spans="1:9" x14ac:dyDescent="0.3">
      <c r="A86" t="s">
        <v>31</v>
      </c>
      <c r="B86" t="str">
        <f>"05191"</f>
        <v>05191</v>
      </c>
      <c r="C86" t="s">
        <v>12</v>
      </c>
      <c r="D86" t="s">
        <v>43</v>
      </c>
      <c r="E86" t="str">
        <f>"004"</f>
        <v>004</v>
      </c>
      <c r="F86">
        <v>2016</v>
      </c>
      <c r="G86" s="5">
        <v>12872900</v>
      </c>
      <c r="H86" s="5">
        <v>8400</v>
      </c>
      <c r="I86" s="5">
        <v>12864500</v>
      </c>
    </row>
    <row r="87" spans="1:9" x14ac:dyDescent="0.3">
      <c r="A87" t="s">
        <v>31</v>
      </c>
      <c r="B87" t="str">
        <f>"05191"</f>
        <v>05191</v>
      </c>
      <c r="C87" t="s">
        <v>12</v>
      </c>
      <c r="D87" t="s">
        <v>43</v>
      </c>
      <c r="E87" t="str">
        <f>"005"</f>
        <v>005</v>
      </c>
      <c r="F87">
        <v>2018</v>
      </c>
      <c r="G87" s="5">
        <v>7060400</v>
      </c>
      <c r="H87" s="5">
        <v>5315100</v>
      </c>
      <c r="I87" s="5">
        <v>1745300</v>
      </c>
    </row>
    <row r="88" spans="1:9" x14ac:dyDescent="0.3">
      <c r="A88" t="s">
        <v>44</v>
      </c>
      <c r="B88" t="str">
        <f>"06201"</f>
        <v>06201</v>
      </c>
      <c r="C88" t="s">
        <v>11</v>
      </c>
      <c r="D88" t="s">
        <v>45</v>
      </c>
      <c r="E88" t="str">
        <f>"001"</f>
        <v>001</v>
      </c>
      <c r="F88">
        <v>1994</v>
      </c>
      <c r="G88" s="5">
        <v>4311900</v>
      </c>
      <c r="H88" s="5">
        <v>769100</v>
      </c>
      <c r="I88" s="5">
        <v>3542800</v>
      </c>
    </row>
    <row r="89" spans="1:9" x14ac:dyDescent="0.3">
      <c r="A89" t="s">
        <v>44</v>
      </c>
      <c r="B89" t="str">
        <f>"06111"</f>
        <v>06111</v>
      </c>
      <c r="C89" t="s">
        <v>12</v>
      </c>
      <c r="D89" t="s">
        <v>46</v>
      </c>
      <c r="E89" t="str">
        <f>"001"</f>
        <v>001</v>
      </c>
      <c r="F89">
        <v>2019</v>
      </c>
      <c r="G89" s="5">
        <v>4156000</v>
      </c>
      <c r="H89" s="5">
        <v>1988700</v>
      </c>
      <c r="I89" s="5">
        <v>2167300</v>
      </c>
    </row>
    <row r="90" spans="1:9" x14ac:dyDescent="0.3">
      <c r="A90" t="s">
        <v>44</v>
      </c>
      <c r="B90" t="str">
        <f>"06251"</f>
        <v>06251</v>
      </c>
      <c r="C90" t="s">
        <v>11</v>
      </c>
      <c r="D90" t="s">
        <v>47</v>
      </c>
      <c r="E90" t="str">
        <f>"001"</f>
        <v>001</v>
      </c>
      <c r="F90">
        <v>1989</v>
      </c>
      <c r="G90" s="5">
        <v>13841200</v>
      </c>
      <c r="H90" s="5">
        <v>116300</v>
      </c>
      <c r="I90" s="5">
        <v>13724900</v>
      </c>
    </row>
    <row r="91" spans="1:9" x14ac:dyDescent="0.3">
      <c r="A91" t="s">
        <v>44</v>
      </c>
      <c r="B91" t="str">
        <f>"06251"</f>
        <v>06251</v>
      </c>
      <c r="C91" t="s">
        <v>11</v>
      </c>
      <c r="D91" t="s">
        <v>47</v>
      </c>
      <c r="E91" t="str">
        <f>"002"</f>
        <v>002</v>
      </c>
      <c r="F91">
        <v>2005</v>
      </c>
      <c r="G91" s="5">
        <v>10677600</v>
      </c>
      <c r="H91" s="5">
        <v>19900</v>
      </c>
      <c r="I91" s="5">
        <v>10657700</v>
      </c>
    </row>
    <row r="92" spans="1:9" x14ac:dyDescent="0.3">
      <c r="A92" t="s">
        <v>48</v>
      </c>
      <c r="B92" t="str">
        <f>"07131"</f>
        <v>07131</v>
      </c>
      <c r="C92" t="s">
        <v>12</v>
      </c>
      <c r="D92" t="s">
        <v>49</v>
      </c>
      <c r="E92" t="str">
        <f>"004"</f>
        <v>004</v>
      </c>
      <c r="F92">
        <v>2005</v>
      </c>
      <c r="G92" s="5">
        <v>4329500</v>
      </c>
      <c r="H92" s="5">
        <v>1091000</v>
      </c>
      <c r="I92" s="5">
        <v>3238500</v>
      </c>
    </row>
    <row r="93" spans="1:9" x14ac:dyDescent="0.3">
      <c r="A93" t="s">
        <v>48</v>
      </c>
      <c r="B93" t="str">
        <f>"07131"</f>
        <v>07131</v>
      </c>
      <c r="C93" t="s">
        <v>12</v>
      </c>
      <c r="D93" t="s">
        <v>49</v>
      </c>
      <c r="E93" t="str">
        <f>"005"</f>
        <v>005</v>
      </c>
      <c r="F93">
        <v>2008</v>
      </c>
      <c r="G93" s="5">
        <v>102000</v>
      </c>
      <c r="H93" s="5">
        <v>212600</v>
      </c>
      <c r="I93" s="5">
        <v>-110600</v>
      </c>
    </row>
    <row r="94" spans="1:9" x14ac:dyDescent="0.3">
      <c r="A94" t="s">
        <v>48</v>
      </c>
      <c r="B94" t="str">
        <f>"07181"</f>
        <v>07181</v>
      </c>
      <c r="C94" t="s">
        <v>12</v>
      </c>
      <c r="D94" t="s">
        <v>50</v>
      </c>
      <c r="E94" t="str">
        <f>"001"</f>
        <v>001</v>
      </c>
      <c r="F94">
        <v>1994</v>
      </c>
      <c r="G94" s="5">
        <v>1417300</v>
      </c>
      <c r="H94" s="5">
        <v>58700</v>
      </c>
      <c r="I94" s="5">
        <v>1358600</v>
      </c>
    </row>
    <row r="95" spans="1:9" x14ac:dyDescent="0.3">
      <c r="A95" t="s">
        <v>48</v>
      </c>
      <c r="B95" t="str">
        <f>"07181"</f>
        <v>07181</v>
      </c>
      <c r="C95" t="s">
        <v>12</v>
      </c>
      <c r="D95" t="s">
        <v>50</v>
      </c>
      <c r="E95" t="str">
        <f>"002"</f>
        <v>002</v>
      </c>
      <c r="F95">
        <v>2003</v>
      </c>
      <c r="G95" s="5">
        <v>26875000</v>
      </c>
      <c r="H95" s="5">
        <v>18762600</v>
      </c>
      <c r="I95" s="5">
        <v>8112400</v>
      </c>
    </row>
    <row r="96" spans="1:9" x14ac:dyDescent="0.3">
      <c r="A96" t="s">
        <v>48</v>
      </c>
      <c r="B96" t="str">
        <f>"07191"</f>
        <v>07191</v>
      </c>
      <c r="C96" t="s">
        <v>12</v>
      </c>
      <c r="D96" t="s">
        <v>51</v>
      </c>
      <c r="E96" t="str">
        <f>"002"</f>
        <v>002</v>
      </c>
      <c r="F96">
        <v>2005</v>
      </c>
      <c r="G96" s="5">
        <v>4064400</v>
      </c>
      <c r="H96" s="5">
        <v>3223200</v>
      </c>
      <c r="I96" s="5">
        <v>841200</v>
      </c>
    </row>
    <row r="97" spans="1:9" x14ac:dyDescent="0.3">
      <c r="A97" t="s">
        <v>52</v>
      </c>
      <c r="B97" t="str">
        <f>"08201"</f>
        <v>08201</v>
      </c>
      <c r="C97" t="s">
        <v>11</v>
      </c>
      <c r="D97" t="s">
        <v>53</v>
      </c>
      <c r="E97" t="str">
        <f>"006"</f>
        <v>006</v>
      </c>
      <c r="F97">
        <v>2000</v>
      </c>
      <c r="G97" s="5">
        <v>165211300</v>
      </c>
      <c r="H97" s="5">
        <v>12141600</v>
      </c>
      <c r="I97" s="5">
        <v>153069700</v>
      </c>
    </row>
    <row r="98" spans="1:9" x14ac:dyDescent="0.3">
      <c r="A98" t="s">
        <v>52</v>
      </c>
      <c r="B98" t="str">
        <f>"08206"</f>
        <v>08206</v>
      </c>
      <c r="C98" t="s">
        <v>11</v>
      </c>
      <c r="D98" t="s">
        <v>54</v>
      </c>
      <c r="E98" t="str">
        <f>"002"</f>
        <v>002</v>
      </c>
      <c r="F98">
        <v>2006</v>
      </c>
      <c r="G98" s="5">
        <v>5743600</v>
      </c>
      <c r="H98" s="5">
        <v>997500</v>
      </c>
      <c r="I98" s="5">
        <v>4746100</v>
      </c>
    </row>
    <row r="99" spans="1:9" x14ac:dyDescent="0.3">
      <c r="A99" t="s">
        <v>52</v>
      </c>
      <c r="B99" t="str">
        <f>"08206"</f>
        <v>08206</v>
      </c>
      <c r="C99" t="s">
        <v>11</v>
      </c>
      <c r="D99" t="s">
        <v>54</v>
      </c>
      <c r="E99" t="str">
        <f>"003"</f>
        <v>003</v>
      </c>
      <c r="F99">
        <v>2007</v>
      </c>
      <c r="G99" s="5">
        <v>10392400</v>
      </c>
      <c r="H99" s="5">
        <v>127200</v>
      </c>
      <c r="I99" s="5">
        <v>10265200</v>
      </c>
    </row>
    <row r="100" spans="1:9" x14ac:dyDescent="0.3">
      <c r="A100" t="s">
        <v>52</v>
      </c>
      <c r="B100" t="str">
        <f>"08206"</f>
        <v>08206</v>
      </c>
      <c r="C100" t="s">
        <v>11</v>
      </c>
      <c r="D100" t="s">
        <v>54</v>
      </c>
      <c r="E100" t="str">
        <f>"004"</f>
        <v>004</v>
      </c>
      <c r="F100">
        <v>2007</v>
      </c>
      <c r="G100" s="5">
        <v>17970200</v>
      </c>
      <c r="H100" s="5">
        <v>5412400</v>
      </c>
      <c r="I100" s="5">
        <v>12557800</v>
      </c>
    </row>
    <row r="101" spans="1:9" x14ac:dyDescent="0.3">
      <c r="A101" t="s">
        <v>52</v>
      </c>
      <c r="B101" t="str">
        <f>"08206"</f>
        <v>08206</v>
      </c>
      <c r="C101" t="s">
        <v>11</v>
      </c>
      <c r="D101" t="s">
        <v>54</v>
      </c>
      <c r="E101" t="str">
        <f>"005E"</f>
        <v>005E</v>
      </c>
      <c r="F101">
        <v>2018</v>
      </c>
      <c r="G101" s="5">
        <v>2277000</v>
      </c>
      <c r="H101" s="5">
        <v>3101</v>
      </c>
      <c r="I101" s="5">
        <v>2273899</v>
      </c>
    </row>
    <row r="102" spans="1:9" x14ac:dyDescent="0.3">
      <c r="A102" t="s">
        <v>52</v>
      </c>
      <c r="B102" t="str">
        <f>"08211"</f>
        <v>08211</v>
      </c>
      <c r="C102" t="s">
        <v>11</v>
      </c>
      <c r="D102" t="s">
        <v>55</v>
      </c>
      <c r="E102" t="str">
        <f>"004"</f>
        <v>004</v>
      </c>
      <c r="F102">
        <v>2005</v>
      </c>
      <c r="G102" s="5">
        <v>6307800</v>
      </c>
      <c r="H102" s="5">
        <v>2156300</v>
      </c>
      <c r="I102" s="5">
        <v>4151500</v>
      </c>
    </row>
    <row r="103" spans="1:9" x14ac:dyDescent="0.3">
      <c r="A103" t="s">
        <v>52</v>
      </c>
      <c r="B103" t="str">
        <f>"08211"</f>
        <v>08211</v>
      </c>
      <c r="C103" t="s">
        <v>11</v>
      </c>
      <c r="D103" t="s">
        <v>55</v>
      </c>
      <c r="E103" t="str">
        <f>"006"</f>
        <v>006</v>
      </c>
      <c r="F103">
        <v>2017</v>
      </c>
      <c r="G103" s="5">
        <v>7173000</v>
      </c>
      <c r="H103" s="5">
        <v>815900</v>
      </c>
      <c r="I103" s="5">
        <v>6357100</v>
      </c>
    </row>
    <row r="104" spans="1:9" x14ac:dyDescent="0.3">
      <c r="A104" t="s">
        <v>52</v>
      </c>
      <c r="B104" t="str">
        <f>"08211"</f>
        <v>08211</v>
      </c>
      <c r="C104" t="s">
        <v>11</v>
      </c>
      <c r="D104" t="s">
        <v>55</v>
      </c>
      <c r="E104" t="str">
        <f>"007"</f>
        <v>007</v>
      </c>
      <c r="F104">
        <v>2017</v>
      </c>
      <c r="G104" s="5">
        <v>67500</v>
      </c>
      <c r="H104" s="5">
        <v>45800</v>
      </c>
      <c r="I104" s="5">
        <v>21700</v>
      </c>
    </row>
    <row r="105" spans="1:9" x14ac:dyDescent="0.3">
      <c r="A105" t="s">
        <v>52</v>
      </c>
      <c r="B105" t="str">
        <f>"08131"</f>
        <v>08131</v>
      </c>
      <c r="C105" t="s">
        <v>12</v>
      </c>
      <c r="D105" t="s">
        <v>56</v>
      </c>
      <c r="E105" t="str">
        <f>"001"</f>
        <v>001</v>
      </c>
      <c r="F105">
        <v>2013</v>
      </c>
      <c r="G105" s="5">
        <v>36126800</v>
      </c>
      <c r="H105" s="5">
        <v>785100</v>
      </c>
      <c r="I105" s="5">
        <v>35341700</v>
      </c>
    </row>
    <row r="106" spans="1:9" x14ac:dyDescent="0.3">
      <c r="A106" t="s">
        <v>52</v>
      </c>
      <c r="B106" t="str">
        <f>"08131"</f>
        <v>08131</v>
      </c>
      <c r="C106" t="s">
        <v>12</v>
      </c>
      <c r="D106" t="s">
        <v>56</v>
      </c>
      <c r="E106" t="str">
        <f>"002"</f>
        <v>002</v>
      </c>
      <c r="F106">
        <v>2019</v>
      </c>
      <c r="G106" s="5">
        <v>5232900</v>
      </c>
      <c r="H106" s="5">
        <v>4708200</v>
      </c>
      <c r="I106" s="5">
        <v>524700</v>
      </c>
    </row>
    <row r="107" spans="1:9" x14ac:dyDescent="0.3">
      <c r="A107" t="s">
        <v>52</v>
      </c>
      <c r="B107" t="str">
        <f>"08136"</f>
        <v>08136</v>
      </c>
      <c r="C107" t="s">
        <v>12</v>
      </c>
      <c r="D107" t="s">
        <v>57</v>
      </c>
      <c r="E107" t="str">
        <f>"001"</f>
        <v>001</v>
      </c>
      <c r="F107">
        <v>1996</v>
      </c>
      <c r="G107" s="5">
        <v>6506400</v>
      </c>
      <c r="H107" s="5">
        <v>1772900</v>
      </c>
      <c r="I107" s="5">
        <v>4733500</v>
      </c>
    </row>
    <row r="108" spans="1:9" x14ac:dyDescent="0.3">
      <c r="A108" t="s">
        <v>52</v>
      </c>
      <c r="B108" t="str">
        <f>"08136"</f>
        <v>08136</v>
      </c>
      <c r="C108" t="s">
        <v>12</v>
      </c>
      <c r="D108" t="s">
        <v>57</v>
      </c>
      <c r="E108" t="str">
        <f>"002"</f>
        <v>002</v>
      </c>
      <c r="F108">
        <v>2007</v>
      </c>
      <c r="G108" s="5">
        <v>21359000</v>
      </c>
      <c r="H108" s="5">
        <v>2371700</v>
      </c>
      <c r="I108" s="5">
        <v>18987300</v>
      </c>
    </row>
    <row r="109" spans="1:9" x14ac:dyDescent="0.3">
      <c r="A109" t="s">
        <v>52</v>
      </c>
      <c r="B109" t="str">
        <f>"08241"</f>
        <v>08241</v>
      </c>
      <c r="C109" t="s">
        <v>11</v>
      </c>
      <c r="D109" t="s">
        <v>58</v>
      </c>
      <c r="E109" t="str">
        <f>"005"</f>
        <v>005</v>
      </c>
      <c r="F109">
        <v>2014</v>
      </c>
      <c r="G109" s="5">
        <v>30527800</v>
      </c>
      <c r="H109" s="5">
        <v>10935000</v>
      </c>
      <c r="I109" s="5">
        <v>19592800</v>
      </c>
    </row>
    <row r="110" spans="1:9" x14ac:dyDescent="0.3">
      <c r="A110" t="s">
        <v>52</v>
      </c>
      <c r="B110" t="str">
        <f>"08251"</f>
        <v>08251</v>
      </c>
      <c r="C110" t="s">
        <v>11</v>
      </c>
      <c r="D110" t="s">
        <v>59</v>
      </c>
      <c r="E110" t="str">
        <f>"009"</f>
        <v>009</v>
      </c>
      <c r="F110">
        <v>2005</v>
      </c>
      <c r="G110" s="5">
        <v>45790700</v>
      </c>
      <c r="H110" s="5">
        <v>3458400</v>
      </c>
      <c r="I110" s="5">
        <v>42332300</v>
      </c>
    </row>
    <row r="111" spans="1:9" x14ac:dyDescent="0.3">
      <c r="A111" t="s">
        <v>52</v>
      </c>
      <c r="B111" t="str">
        <f>"08251"</f>
        <v>08251</v>
      </c>
      <c r="C111" t="s">
        <v>11</v>
      </c>
      <c r="D111" t="s">
        <v>59</v>
      </c>
      <c r="E111" t="str">
        <f>"012"</f>
        <v>012</v>
      </c>
      <c r="F111">
        <v>2011</v>
      </c>
      <c r="G111" s="5">
        <v>71320800</v>
      </c>
      <c r="H111" s="5">
        <v>21715600</v>
      </c>
      <c r="I111" s="5">
        <v>49605200</v>
      </c>
    </row>
    <row r="112" spans="1:9" x14ac:dyDescent="0.3">
      <c r="A112" t="s">
        <v>52</v>
      </c>
      <c r="B112" t="str">
        <f>"08261"</f>
        <v>08261</v>
      </c>
      <c r="C112" t="s">
        <v>11</v>
      </c>
      <c r="D112" t="s">
        <v>60</v>
      </c>
      <c r="E112" t="str">
        <f>"004"</f>
        <v>004</v>
      </c>
      <c r="F112">
        <v>2018</v>
      </c>
      <c r="G112" s="5">
        <v>13409600</v>
      </c>
      <c r="H112" s="5">
        <v>9565200</v>
      </c>
      <c r="I112" s="5">
        <v>3844400</v>
      </c>
    </row>
    <row r="113" spans="1:9" x14ac:dyDescent="0.3">
      <c r="A113" t="s">
        <v>52</v>
      </c>
      <c r="B113" t="str">
        <f>"08261"</f>
        <v>08261</v>
      </c>
      <c r="C113" t="s">
        <v>11</v>
      </c>
      <c r="D113" t="s">
        <v>60</v>
      </c>
      <c r="E113" t="str">
        <f>"005"</f>
        <v>005</v>
      </c>
      <c r="F113">
        <v>2018</v>
      </c>
      <c r="G113" s="5">
        <v>2548300</v>
      </c>
      <c r="H113" s="5">
        <v>1286900</v>
      </c>
      <c r="I113" s="5">
        <v>1261400</v>
      </c>
    </row>
    <row r="114" spans="1:9" x14ac:dyDescent="0.3">
      <c r="A114" t="s">
        <v>52</v>
      </c>
      <c r="B114" t="str">
        <f>"08261"</f>
        <v>08261</v>
      </c>
      <c r="C114" t="s">
        <v>11</v>
      </c>
      <c r="D114" t="s">
        <v>60</v>
      </c>
      <c r="E114" t="str">
        <f>"006E"</f>
        <v>006E</v>
      </c>
      <c r="F114">
        <v>2019</v>
      </c>
      <c r="G114" s="5">
        <v>1067000</v>
      </c>
      <c r="H114" s="5">
        <v>1</v>
      </c>
      <c r="I114" s="5">
        <v>1066999</v>
      </c>
    </row>
    <row r="115" spans="1:9" x14ac:dyDescent="0.3">
      <c r="A115" t="s">
        <v>52</v>
      </c>
      <c r="B115" t="str">
        <f>"08179"</f>
        <v>08179</v>
      </c>
      <c r="C115" t="s">
        <v>12</v>
      </c>
      <c r="D115" t="s">
        <v>61</v>
      </c>
      <c r="E115" t="str">
        <f>"002"</f>
        <v>002</v>
      </c>
      <c r="F115">
        <v>2013</v>
      </c>
      <c r="G115" s="5">
        <v>4337700</v>
      </c>
      <c r="H115" s="5">
        <v>2827500</v>
      </c>
      <c r="I115" s="5">
        <v>1510200</v>
      </c>
    </row>
    <row r="116" spans="1:9" x14ac:dyDescent="0.3">
      <c r="A116" t="s">
        <v>52</v>
      </c>
      <c r="B116" t="str">
        <f>"08179"</f>
        <v>08179</v>
      </c>
      <c r="C116" t="s">
        <v>12</v>
      </c>
      <c r="D116" t="s">
        <v>61</v>
      </c>
      <c r="E116" t="str">
        <f>"003"</f>
        <v>003</v>
      </c>
      <c r="F116">
        <v>2013</v>
      </c>
      <c r="G116" s="5">
        <v>9776200</v>
      </c>
      <c r="H116" s="5">
        <v>8668600</v>
      </c>
      <c r="I116" s="5">
        <v>1107600</v>
      </c>
    </row>
    <row r="117" spans="1:9" x14ac:dyDescent="0.3">
      <c r="A117" t="s">
        <v>62</v>
      </c>
      <c r="B117" t="str">
        <f>"09206"</f>
        <v>09206</v>
      </c>
      <c r="C117" t="s">
        <v>11</v>
      </c>
      <c r="D117" t="s">
        <v>63</v>
      </c>
      <c r="E117" t="str">
        <f>"004"</f>
        <v>004</v>
      </c>
      <c r="F117">
        <v>2005</v>
      </c>
      <c r="G117" s="5">
        <v>26465500</v>
      </c>
      <c r="H117" s="5">
        <v>3787400</v>
      </c>
      <c r="I117" s="5">
        <v>22678100</v>
      </c>
    </row>
    <row r="118" spans="1:9" x14ac:dyDescent="0.3">
      <c r="A118" t="s">
        <v>62</v>
      </c>
      <c r="B118" t="str">
        <f>"09111"</f>
        <v>09111</v>
      </c>
      <c r="C118" t="s">
        <v>12</v>
      </c>
      <c r="D118" t="s">
        <v>64</v>
      </c>
      <c r="E118" t="str">
        <f>"004"</f>
        <v>004</v>
      </c>
      <c r="F118">
        <v>2013</v>
      </c>
      <c r="G118" s="5">
        <v>4042700</v>
      </c>
      <c r="H118" s="5">
        <v>2245200</v>
      </c>
      <c r="I118" s="5">
        <v>1797500</v>
      </c>
    </row>
    <row r="119" spans="1:9" x14ac:dyDescent="0.3">
      <c r="A119" t="s">
        <v>62</v>
      </c>
      <c r="B119" t="str">
        <f>"09111"</f>
        <v>09111</v>
      </c>
      <c r="C119" t="s">
        <v>12</v>
      </c>
      <c r="D119" t="s">
        <v>64</v>
      </c>
      <c r="E119" t="str">
        <f>"005"</f>
        <v>005</v>
      </c>
      <c r="F119">
        <v>2019</v>
      </c>
      <c r="G119" s="5">
        <v>701400</v>
      </c>
      <c r="H119" s="5">
        <v>663500</v>
      </c>
      <c r="I119" s="5">
        <v>37900</v>
      </c>
    </row>
    <row r="120" spans="1:9" x14ac:dyDescent="0.3">
      <c r="A120" t="s">
        <v>62</v>
      </c>
      <c r="B120" t="str">
        <f t="shared" ref="B120:B129" si="3">"09211"</f>
        <v>09211</v>
      </c>
      <c r="C120" t="s">
        <v>11</v>
      </c>
      <c r="D120" t="s">
        <v>65</v>
      </c>
      <c r="E120" t="str">
        <f>"004"</f>
        <v>004</v>
      </c>
      <c r="F120">
        <v>1994</v>
      </c>
      <c r="G120" s="5">
        <v>12922100</v>
      </c>
      <c r="H120" s="5">
        <v>6020500</v>
      </c>
      <c r="I120" s="5">
        <v>6901600</v>
      </c>
    </row>
    <row r="121" spans="1:9" x14ac:dyDescent="0.3">
      <c r="A121" t="s">
        <v>62</v>
      </c>
      <c r="B121" t="str">
        <f t="shared" si="3"/>
        <v>09211</v>
      </c>
      <c r="C121" t="s">
        <v>11</v>
      </c>
      <c r="D121" t="s">
        <v>65</v>
      </c>
      <c r="E121" t="str">
        <f>"005"</f>
        <v>005</v>
      </c>
      <c r="F121">
        <v>1998</v>
      </c>
      <c r="G121" s="5">
        <v>69667900</v>
      </c>
      <c r="H121" s="5">
        <v>35893400</v>
      </c>
      <c r="I121" s="5">
        <v>33774500</v>
      </c>
    </row>
    <row r="122" spans="1:9" x14ac:dyDescent="0.3">
      <c r="A122" t="s">
        <v>62</v>
      </c>
      <c r="B122" t="str">
        <f t="shared" si="3"/>
        <v>09211</v>
      </c>
      <c r="C122" t="s">
        <v>11</v>
      </c>
      <c r="D122" t="s">
        <v>65</v>
      </c>
      <c r="E122" t="str">
        <f>"007"</f>
        <v>007</v>
      </c>
      <c r="F122">
        <v>2001</v>
      </c>
      <c r="G122" s="5">
        <v>8318400</v>
      </c>
      <c r="H122" s="5">
        <v>1501600</v>
      </c>
      <c r="I122" s="5">
        <v>6816800</v>
      </c>
    </row>
    <row r="123" spans="1:9" x14ac:dyDescent="0.3">
      <c r="A123" t="s">
        <v>62</v>
      </c>
      <c r="B123" t="str">
        <f t="shared" si="3"/>
        <v>09211</v>
      </c>
      <c r="C123" t="s">
        <v>11</v>
      </c>
      <c r="D123" t="s">
        <v>65</v>
      </c>
      <c r="E123" t="str">
        <f>"008"</f>
        <v>008</v>
      </c>
      <c r="F123">
        <v>2002</v>
      </c>
      <c r="G123" s="5">
        <v>5176100</v>
      </c>
      <c r="H123" s="5">
        <v>439000</v>
      </c>
      <c r="I123" s="5">
        <v>4737100</v>
      </c>
    </row>
    <row r="124" spans="1:9" x14ac:dyDescent="0.3">
      <c r="A124" t="s">
        <v>62</v>
      </c>
      <c r="B124" t="str">
        <f t="shared" si="3"/>
        <v>09211</v>
      </c>
      <c r="C124" t="s">
        <v>11</v>
      </c>
      <c r="D124" t="s">
        <v>65</v>
      </c>
      <c r="E124" t="str">
        <f>"010"</f>
        <v>010</v>
      </c>
      <c r="F124">
        <v>2005</v>
      </c>
      <c r="G124" s="5">
        <v>3096400</v>
      </c>
      <c r="H124" s="5">
        <v>0</v>
      </c>
      <c r="I124" s="5">
        <v>3096400</v>
      </c>
    </row>
    <row r="125" spans="1:9" x14ac:dyDescent="0.3">
      <c r="A125" t="s">
        <v>62</v>
      </c>
      <c r="B125" t="str">
        <f t="shared" si="3"/>
        <v>09211</v>
      </c>
      <c r="C125" t="s">
        <v>11</v>
      </c>
      <c r="D125" t="s">
        <v>65</v>
      </c>
      <c r="E125" t="str">
        <f>"011"</f>
        <v>011</v>
      </c>
      <c r="F125">
        <v>2008</v>
      </c>
      <c r="G125" s="5">
        <v>44466400</v>
      </c>
      <c r="H125" s="5">
        <v>79500</v>
      </c>
      <c r="I125" s="5">
        <v>44386900</v>
      </c>
    </row>
    <row r="126" spans="1:9" x14ac:dyDescent="0.3">
      <c r="A126" t="s">
        <v>62</v>
      </c>
      <c r="B126" t="str">
        <f t="shared" si="3"/>
        <v>09211</v>
      </c>
      <c r="C126" t="s">
        <v>11</v>
      </c>
      <c r="D126" t="s">
        <v>65</v>
      </c>
      <c r="E126" t="str">
        <f>"012"</f>
        <v>012</v>
      </c>
      <c r="F126">
        <v>2012</v>
      </c>
      <c r="G126" s="5">
        <v>22525400</v>
      </c>
      <c r="H126" s="5">
        <v>5386700</v>
      </c>
      <c r="I126" s="5">
        <v>17138700</v>
      </c>
    </row>
    <row r="127" spans="1:9" x14ac:dyDescent="0.3">
      <c r="A127" t="s">
        <v>62</v>
      </c>
      <c r="B127" t="str">
        <f t="shared" si="3"/>
        <v>09211</v>
      </c>
      <c r="C127" t="s">
        <v>11</v>
      </c>
      <c r="D127" t="s">
        <v>65</v>
      </c>
      <c r="E127" t="str">
        <f>"013"</f>
        <v>013</v>
      </c>
      <c r="F127">
        <v>2015</v>
      </c>
      <c r="G127" s="5">
        <v>10563400</v>
      </c>
      <c r="H127" s="5">
        <v>3503000</v>
      </c>
      <c r="I127" s="5">
        <v>7060400</v>
      </c>
    </row>
    <row r="128" spans="1:9" x14ac:dyDescent="0.3">
      <c r="A128" t="s">
        <v>62</v>
      </c>
      <c r="B128" t="str">
        <f t="shared" si="3"/>
        <v>09211</v>
      </c>
      <c r="C128" t="s">
        <v>11</v>
      </c>
      <c r="D128" t="s">
        <v>65</v>
      </c>
      <c r="E128" t="str">
        <f>"014"</f>
        <v>014</v>
      </c>
      <c r="F128">
        <v>2015</v>
      </c>
      <c r="G128" s="5">
        <v>104572000</v>
      </c>
      <c r="H128" s="5">
        <v>0</v>
      </c>
      <c r="I128" s="5">
        <v>104572000</v>
      </c>
    </row>
    <row r="129" spans="1:9" x14ac:dyDescent="0.3">
      <c r="A129" t="s">
        <v>62</v>
      </c>
      <c r="B129" t="str">
        <f t="shared" si="3"/>
        <v>09211</v>
      </c>
      <c r="C129" t="s">
        <v>11</v>
      </c>
      <c r="D129" t="s">
        <v>65</v>
      </c>
      <c r="E129" t="str">
        <f>"015"</f>
        <v>015</v>
      </c>
      <c r="F129">
        <v>2018</v>
      </c>
      <c r="G129" s="5">
        <v>2255200</v>
      </c>
      <c r="H129" s="5">
        <v>1885100</v>
      </c>
      <c r="I129" s="5">
        <v>370100</v>
      </c>
    </row>
    <row r="130" spans="1:9" x14ac:dyDescent="0.3">
      <c r="A130" t="s">
        <v>62</v>
      </c>
      <c r="B130" t="str">
        <f>"09221"</f>
        <v>09221</v>
      </c>
      <c r="C130" t="s">
        <v>11</v>
      </c>
      <c r="D130" t="s">
        <v>66</v>
      </c>
      <c r="E130" t="str">
        <f>"009"</f>
        <v>009</v>
      </c>
      <c r="F130">
        <v>2008</v>
      </c>
      <c r="G130" s="5">
        <v>34500</v>
      </c>
      <c r="H130" s="5">
        <v>54500</v>
      </c>
      <c r="I130" s="5">
        <v>-20000</v>
      </c>
    </row>
    <row r="131" spans="1:9" x14ac:dyDescent="0.3">
      <c r="A131" t="s">
        <v>62</v>
      </c>
      <c r="B131" t="str">
        <f>"09128"</f>
        <v>09128</v>
      </c>
      <c r="C131" t="s">
        <v>12</v>
      </c>
      <c r="D131" t="s">
        <v>67</v>
      </c>
      <c r="E131" t="str">
        <f>"001"</f>
        <v>001</v>
      </c>
      <c r="F131">
        <v>2003</v>
      </c>
      <c r="G131" s="5">
        <v>98053500</v>
      </c>
      <c r="H131" s="5">
        <v>12138900</v>
      </c>
      <c r="I131" s="5">
        <v>85914600</v>
      </c>
    </row>
    <row r="132" spans="1:9" x14ac:dyDescent="0.3">
      <c r="A132" t="s">
        <v>62</v>
      </c>
      <c r="B132" t="str">
        <f>"09128"</f>
        <v>09128</v>
      </c>
      <c r="C132" t="s">
        <v>12</v>
      </c>
      <c r="D132" t="s">
        <v>67</v>
      </c>
      <c r="E132" t="str">
        <f>"002"</f>
        <v>002</v>
      </c>
      <c r="F132">
        <v>2003</v>
      </c>
      <c r="G132" s="5">
        <v>15883900</v>
      </c>
      <c r="H132" s="5">
        <v>131900</v>
      </c>
      <c r="I132" s="5">
        <v>15752000</v>
      </c>
    </row>
    <row r="133" spans="1:9" x14ac:dyDescent="0.3">
      <c r="A133" t="s">
        <v>62</v>
      </c>
      <c r="B133" t="str">
        <f>"09161"</f>
        <v>09161</v>
      </c>
      <c r="C133" t="s">
        <v>12</v>
      </c>
      <c r="D133" t="s">
        <v>68</v>
      </c>
      <c r="E133" t="str">
        <f>"001"</f>
        <v>001</v>
      </c>
      <c r="F133">
        <v>2008</v>
      </c>
      <c r="G133" s="5">
        <v>8355500</v>
      </c>
      <c r="H133" s="5">
        <v>283700</v>
      </c>
      <c r="I133" s="5">
        <v>8071800</v>
      </c>
    </row>
    <row r="134" spans="1:9" x14ac:dyDescent="0.3">
      <c r="A134" t="s">
        <v>62</v>
      </c>
      <c r="B134" t="str">
        <f>"09281"</f>
        <v>09281</v>
      </c>
      <c r="C134" t="s">
        <v>11</v>
      </c>
      <c r="D134" t="s">
        <v>69</v>
      </c>
      <c r="E134" t="str">
        <f>"003"</f>
        <v>003</v>
      </c>
      <c r="F134">
        <v>2001</v>
      </c>
      <c r="G134" s="5">
        <v>23039300</v>
      </c>
      <c r="H134" s="5">
        <v>4205200</v>
      </c>
      <c r="I134" s="5">
        <v>18834100</v>
      </c>
    </row>
    <row r="135" spans="1:9" x14ac:dyDescent="0.3">
      <c r="A135" t="s">
        <v>70</v>
      </c>
      <c r="B135" t="str">
        <f>"10201"</f>
        <v>10201</v>
      </c>
      <c r="C135" t="s">
        <v>11</v>
      </c>
      <c r="D135" t="s">
        <v>71</v>
      </c>
      <c r="E135" t="str">
        <f>"005"</f>
        <v>005</v>
      </c>
      <c r="F135">
        <v>2008</v>
      </c>
      <c r="G135" s="5">
        <v>593500</v>
      </c>
      <c r="H135" s="5">
        <v>458800</v>
      </c>
      <c r="I135" s="5">
        <v>134700</v>
      </c>
    </row>
    <row r="136" spans="1:9" x14ac:dyDescent="0.3">
      <c r="A136" t="s">
        <v>70</v>
      </c>
      <c r="B136" t="str">
        <f>"10201"</f>
        <v>10201</v>
      </c>
      <c r="C136" t="s">
        <v>11</v>
      </c>
      <c r="D136" t="s">
        <v>71</v>
      </c>
      <c r="E136" t="str">
        <f>"006"</f>
        <v>006</v>
      </c>
      <c r="F136">
        <v>2016</v>
      </c>
      <c r="G136" s="5">
        <v>17873300</v>
      </c>
      <c r="H136" s="5">
        <v>2947100</v>
      </c>
      <c r="I136" s="5">
        <v>14926200</v>
      </c>
    </row>
    <row r="137" spans="1:9" x14ac:dyDescent="0.3">
      <c r="A137" t="s">
        <v>70</v>
      </c>
      <c r="B137" t="str">
        <f>"10201"</f>
        <v>10201</v>
      </c>
      <c r="C137" t="s">
        <v>11</v>
      </c>
      <c r="D137" t="s">
        <v>71</v>
      </c>
      <c r="E137" t="str">
        <f>"007"</f>
        <v>007</v>
      </c>
      <c r="F137">
        <v>2016</v>
      </c>
      <c r="G137" s="5">
        <v>2070800</v>
      </c>
      <c r="H137" s="5">
        <v>1619500</v>
      </c>
      <c r="I137" s="5">
        <v>451300</v>
      </c>
    </row>
    <row r="138" spans="1:9" x14ac:dyDescent="0.3">
      <c r="A138" t="s">
        <v>70</v>
      </c>
      <c r="B138" t="str">
        <f>"10211"</f>
        <v>10211</v>
      </c>
      <c r="C138" t="s">
        <v>11</v>
      </c>
      <c r="D138" t="s">
        <v>72</v>
      </c>
      <c r="E138" t="str">
        <f>"002"</f>
        <v>002</v>
      </c>
      <c r="F138">
        <v>1993</v>
      </c>
      <c r="G138" s="5">
        <v>6294200</v>
      </c>
      <c r="H138" s="5">
        <v>257500</v>
      </c>
      <c r="I138" s="5">
        <v>6036700</v>
      </c>
    </row>
    <row r="139" spans="1:9" x14ac:dyDescent="0.3">
      <c r="A139" t="s">
        <v>70</v>
      </c>
      <c r="B139" t="str">
        <f>"10116"</f>
        <v>10116</v>
      </c>
      <c r="C139" t="s">
        <v>12</v>
      </c>
      <c r="D139" t="s">
        <v>73</v>
      </c>
      <c r="E139" t="str">
        <f>"001"</f>
        <v>001</v>
      </c>
      <c r="F139">
        <v>1992</v>
      </c>
      <c r="G139" s="5">
        <v>6851300</v>
      </c>
      <c r="H139" s="5">
        <v>233000</v>
      </c>
      <c r="I139" s="5">
        <v>6618300</v>
      </c>
    </row>
    <row r="140" spans="1:9" x14ac:dyDescent="0.3">
      <c r="A140" t="s">
        <v>70</v>
      </c>
      <c r="B140" t="str">
        <f>"10116"</f>
        <v>10116</v>
      </c>
      <c r="C140" t="s">
        <v>12</v>
      </c>
      <c r="D140" t="s">
        <v>73</v>
      </c>
      <c r="E140" t="str">
        <f>"002"</f>
        <v>002</v>
      </c>
      <c r="F140">
        <v>1995</v>
      </c>
      <c r="G140" s="5">
        <v>25051400</v>
      </c>
      <c r="H140" s="5">
        <v>15499400</v>
      </c>
      <c r="I140" s="5">
        <v>9552000</v>
      </c>
    </row>
    <row r="141" spans="1:9" x14ac:dyDescent="0.3">
      <c r="A141" t="s">
        <v>70</v>
      </c>
      <c r="B141" t="str">
        <f>"10131"</f>
        <v>10131</v>
      </c>
      <c r="C141" t="s">
        <v>12</v>
      </c>
      <c r="D141" t="s">
        <v>74</v>
      </c>
      <c r="E141" t="str">
        <f>"001"</f>
        <v>001</v>
      </c>
      <c r="F141">
        <v>2009</v>
      </c>
      <c r="G141" s="5">
        <v>2209200</v>
      </c>
      <c r="H141" s="5">
        <v>1363000</v>
      </c>
      <c r="I141" s="5">
        <v>846200</v>
      </c>
    </row>
    <row r="142" spans="1:9" x14ac:dyDescent="0.3">
      <c r="A142" t="s">
        <v>70</v>
      </c>
      <c r="B142" t="str">
        <f>"10231"</f>
        <v>10231</v>
      </c>
      <c r="C142" t="s">
        <v>11</v>
      </c>
      <c r="D142" t="s">
        <v>75</v>
      </c>
      <c r="E142" t="str">
        <f>"001"</f>
        <v>001</v>
      </c>
      <c r="F142">
        <v>1991</v>
      </c>
      <c r="G142" s="5">
        <v>1328900</v>
      </c>
      <c r="H142" s="5">
        <v>239000</v>
      </c>
      <c r="I142" s="5">
        <v>1089900</v>
      </c>
    </row>
    <row r="143" spans="1:9" x14ac:dyDescent="0.3">
      <c r="A143" t="s">
        <v>70</v>
      </c>
      <c r="B143" t="str">
        <f>"10231"</f>
        <v>10231</v>
      </c>
      <c r="C143" t="s">
        <v>11</v>
      </c>
      <c r="D143" t="s">
        <v>75</v>
      </c>
      <c r="E143" t="str">
        <f>"002"</f>
        <v>002</v>
      </c>
      <c r="F143">
        <v>1998</v>
      </c>
      <c r="G143" s="5">
        <v>268000</v>
      </c>
      <c r="H143" s="5">
        <v>58300</v>
      </c>
      <c r="I143" s="5">
        <v>209700</v>
      </c>
    </row>
    <row r="144" spans="1:9" x14ac:dyDescent="0.3">
      <c r="A144" t="s">
        <v>70</v>
      </c>
      <c r="B144" t="str">
        <f>"10231"</f>
        <v>10231</v>
      </c>
      <c r="C144" t="s">
        <v>11</v>
      </c>
      <c r="D144" t="s">
        <v>75</v>
      </c>
      <c r="E144" t="str">
        <f>"003"</f>
        <v>003</v>
      </c>
      <c r="F144">
        <v>2019</v>
      </c>
      <c r="G144" s="5">
        <v>416700</v>
      </c>
      <c r="H144" s="5">
        <v>394700</v>
      </c>
      <c r="I144" s="5">
        <v>22000</v>
      </c>
    </row>
    <row r="145" spans="1:9" x14ac:dyDescent="0.3">
      <c r="A145" t="s">
        <v>70</v>
      </c>
      <c r="B145" t="str">
        <f>"10246"</f>
        <v>10246</v>
      </c>
      <c r="C145" t="s">
        <v>11</v>
      </c>
      <c r="D145" t="s">
        <v>76</v>
      </c>
      <c r="E145" t="str">
        <f>"002"</f>
        <v>002</v>
      </c>
      <c r="F145">
        <v>2006</v>
      </c>
      <c r="G145" s="5">
        <v>9898600</v>
      </c>
      <c r="H145" s="5">
        <v>4567400</v>
      </c>
      <c r="I145" s="5">
        <v>5331200</v>
      </c>
    </row>
    <row r="146" spans="1:9" x14ac:dyDescent="0.3">
      <c r="A146" t="s">
        <v>70</v>
      </c>
      <c r="B146" t="str">
        <f>"10261"</f>
        <v>10261</v>
      </c>
      <c r="C146" t="s">
        <v>11</v>
      </c>
      <c r="D146" t="s">
        <v>77</v>
      </c>
      <c r="E146" t="str">
        <f>"002"</f>
        <v>002</v>
      </c>
      <c r="F146">
        <v>1999</v>
      </c>
      <c r="G146" s="5">
        <v>3568600</v>
      </c>
      <c r="H146" s="5">
        <v>107200</v>
      </c>
      <c r="I146" s="5">
        <v>3461400</v>
      </c>
    </row>
    <row r="147" spans="1:9" x14ac:dyDescent="0.3">
      <c r="A147" t="s">
        <v>70</v>
      </c>
      <c r="B147" t="str">
        <f>"10261"</f>
        <v>10261</v>
      </c>
      <c r="C147" t="s">
        <v>11</v>
      </c>
      <c r="D147" t="s">
        <v>77</v>
      </c>
      <c r="E147" t="str">
        <f>"003"</f>
        <v>003</v>
      </c>
      <c r="F147">
        <v>2006</v>
      </c>
      <c r="G147" s="5">
        <v>3380300</v>
      </c>
      <c r="H147" s="5">
        <v>304800</v>
      </c>
      <c r="I147" s="5">
        <v>3075500</v>
      </c>
    </row>
    <row r="148" spans="1:9" x14ac:dyDescent="0.3">
      <c r="A148" t="s">
        <v>70</v>
      </c>
      <c r="B148" t="str">
        <f>"10265"</f>
        <v>10265</v>
      </c>
      <c r="C148" t="s">
        <v>11</v>
      </c>
      <c r="D148" t="s">
        <v>78</v>
      </c>
      <c r="E148" t="str">
        <f>"003"</f>
        <v>003</v>
      </c>
      <c r="F148">
        <v>1996</v>
      </c>
      <c r="G148" s="5">
        <v>972900</v>
      </c>
      <c r="H148" s="5">
        <v>6100</v>
      </c>
      <c r="I148" s="5">
        <v>966800</v>
      </c>
    </row>
    <row r="149" spans="1:9" x14ac:dyDescent="0.3">
      <c r="A149" t="s">
        <v>70</v>
      </c>
      <c r="B149" t="str">
        <f>"10265"</f>
        <v>10265</v>
      </c>
      <c r="C149" t="s">
        <v>11</v>
      </c>
      <c r="D149" t="s">
        <v>78</v>
      </c>
      <c r="E149" t="str">
        <f>"004"</f>
        <v>004</v>
      </c>
      <c r="F149">
        <v>2004</v>
      </c>
      <c r="G149" s="5">
        <v>17113200</v>
      </c>
      <c r="H149" s="5">
        <v>2268400</v>
      </c>
      <c r="I149" s="5">
        <v>14844800</v>
      </c>
    </row>
    <row r="150" spans="1:9" x14ac:dyDescent="0.3">
      <c r="A150" t="s">
        <v>70</v>
      </c>
      <c r="B150" t="str">
        <f>"10286"</f>
        <v>10286</v>
      </c>
      <c r="C150" t="s">
        <v>11</v>
      </c>
      <c r="D150" t="s">
        <v>79</v>
      </c>
      <c r="E150" t="str">
        <f>"004"</f>
        <v>004</v>
      </c>
      <c r="F150">
        <v>1994</v>
      </c>
      <c r="G150" s="5">
        <v>6764300</v>
      </c>
      <c r="H150" s="5">
        <v>636000</v>
      </c>
      <c r="I150" s="5">
        <v>6128300</v>
      </c>
    </row>
    <row r="151" spans="1:9" x14ac:dyDescent="0.3">
      <c r="A151" t="s">
        <v>70</v>
      </c>
      <c r="B151" t="str">
        <f>"10286"</f>
        <v>10286</v>
      </c>
      <c r="C151" t="s">
        <v>11</v>
      </c>
      <c r="D151" t="s">
        <v>79</v>
      </c>
      <c r="E151" t="str">
        <f>"005"</f>
        <v>005</v>
      </c>
      <c r="F151">
        <v>1999</v>
      </c>
      <c r="G151" s="5">
        <v>8899300</v>
      </c>
      <c r="H151" s="5">
        <v>285400</v>
      </c>
      <c r="I151" s="5">
        <v>8613900</v>
      </c>
    </row>
    <row r="152" spans="1:9" x14ac:dyDescent="0.3">
      <c r="A152" t="s">
        <v>70</v>
      </c>
      <c r="B152" t="str">
        <f>"10286"</f>
        <v>10286</v>
      </c>
      <c r="C152" t="s">
        <v>11</v>
      </c>
      <c r="D152" t="s">
        <v>79</v>
      </c>
      <c r="E152" t="str">
        <f>"006"</f>
        <v>006</v>
      </c>
      <c r="F152">
        <v>2000</v>
      </c>
      <c r="G152" s="5">
        <v>6539700</v>
      </c>
      <c r="H152" s="5">
        <v>1582000</v>
      </c>
      <c r="I152" s="5">
        <v>4957700</v>
      </c>
    </row>
    <row r="153" spans="1:9" x14ac:dyDescent="0.3">
      <c r="A153" t="s">
        <v>70</v>
      </c>
      <c r="B153" t="str">
        <f>"10186"</f>
        <v>10186</v>
      </c>
      <c r="C153" t="s">
        <v>12</v>
      </c>
      <c r="D153" t="s">
        <v>80</v>
      </c>
      <c r="E153" t="str">
        <f>"001"</f>
        <v>001</v>
      </c>
      <c r="F153">
        <v>1998</v>
      </c>
      <c r="G153" s="5">
        <v>1094300</v>
      </c>
      <c r="H153" s="5">
        <v>119500</v>
      </c>
      <c r="I153" s="5">
        <v>974800</v>
      </c>
    </row>
    <row r="154" spans="1:9" x14ac:dyDescent="0.3">
      <c r="A154" t="s">
        <v>70</v>
      </c>
      <c r="B154" t="str">
        <f>"10191"</f>
        <v>10191</v>
      </c>
      <c r="C154" t="s">
        <v>12</v>
      </c>
      <c r="D154" t="s">
        <v>81</v>
      </c>
      <c r="E154" t="str">
        <f>"001"</f>
        <v>001</v>
      </c>
      <c r="F154">
        <v>1996</v>
      </c>
      <c r="G154" s="5">
        <v>2817600</v>
      </c>
      <c r="H154" s="5">
        <v>499800</v>
      </c>
      <c r="I154" s="5">
        <v>2317800</v>
      </c>
    </row>
    <row r="155" spans="1:9" x14ac:dyDescent="0.3">
      <c r="A155" t="s">
        <v>70</v>
      </c>
      <c r="B155" t="str">
        <f>"10191"</f>
        <v>10191</v>
      </c>
      <c r="C155" t="s">
        <v>12</v>
      </c>
      <c r="D155" t="s">
        <v>81</v>
      </c>
      <c r="E155" t="str">
        <f>"002"</f>
        <v>002</v>
      </c>
      <c r="F155">
        <v>2010</v>
      </c>
      <c r="G155" s="5">
        <v>1153600</v>
      </c>
      <c r="H155" s="5">
        <v>428700</v>
      </c>
      <c r="I155" s="5">
        <v>724900</v>
      </c>
    </row>
    <row r="156" spans="1:9" x14ac:dyDescent="0.3">
      <c r="A156" t="s">
        <v>70</v>
      </c>
      <c r="B156" t="str">
        <f>"10191"</f>
        <v>10191</v>
      </c>
      <c r="C156" t="s">
        <v>12</v>
      </c>
      <c r="D156" t="s">
        <v>81</v>
      </c>
      <c r="E156" t="str">
        <f>"003"</f>
        <v>003</v>
      </c>
      <c r="F156">
        <v>2012</v>
      </c>
      <c r="G156" s="5">
        <v>798900</v>
      </c>
      <c r="H156" s="5">
        <v>262800</v>
      </c>
      <c r="I156" s="5">
        <v>536100</v>
      </c>
    </row>
    <row r="157" spans="1:9" x14ac:dyDescent="0.3">
      <c r="A157" t="s">
        <v>82</v>
      </c>
      <c r="B157" t="str">
        <f>"11101"</f>
        <v>11101</v>
      </c>
      <c r="C157" t="s">
        <v>12</v>
      </c>
      <c r="D157" t="s">
        <v>83</v>
      </c>
      <c r="E157" t="str">
        <f>"001"</f>
        <v>001</v>
      </c>
      <c r="F157">
        <v>1999</v>
      </c>
      <c r="G157" s="5">
        <v>13373100</v>
      </c>
      <c r="H157" s="5">
        <v>2502900</v>
      </c>
      <c r="I157" s="5">
        <v>10870200</v>
      </c>
    </row>
    <row r="158" spans="1:9" x14ac:dyDescent="0.3">
      <c r="A158" t="s">
        <v>82</v>
      </c>
      <c r="B158" t="str">
        <f>"11211"</f>
        <v>11211</v>
      </c>
      <c r="C158" t="s">
        <v>11</v>
      </c>
      <c r="D158" t="s">
        <v>84</v>
      </c>
      <c r="E158" t="str">
        <f>"003"</f>
        <v>003</v>
      </c>
      <c r="F158">
        <v>1995</v>
      </c>
      <c r="G158" s="5">
        <v>27481400</v>
      </c>
      <c r="H158" s="5">
        <v>3581200</v>
      </c>
      <c r="I158" s="5">
        <v>23900200</v>
      </c>
    </row>
    <row r="159" spans="1:9" x14ac:dyDescent="0.3">
      <c r="A159" t="s">
        <v>82</v>
      </c>
      <c r="B159" t="str">
        <f>"11211"</f>
        <v>11211</v>
      </c>
      <c r="C159" t="s">
        <v>11</v>
      </c>
      <c r="D159" t="s">
        <v>84</v>
      </c>
      <c r="E159" t="str">
        <f>"004"</f>
        <v>004</v>
      </c>
      <c r="F159">
        <v>2015</v>
      </c>
      <c r="G159" s="5">
        <v>19728400</v>
      </c>
      <c r="H159" s="5">
        <v>3124100</v>
      </c>
      <c r="I159" s="5">
        <v>16604300</v>
      </c>
    </row>
    <row r="160" spans="1:9" x14ac:dyDescent="0.3">
      <c r="A160" t="s">
        <v>82</v>
      </c>
      <c r="B160" t="str">
        <f>"11211"</f>
        <v>11211</v>
      </c>
      <c r="C160" t="s">
        <v>11</v>
      </c>
      <c r="D160" t="s">
        <v>84</v>
      </c>
      <c r="E160" t="str">
        <f>"005"</f>
        <v>005</v>
      </c>
      <c r="F160">
        <v>2019</v>
      </c>
      <c r="G160" s="5">
        <v>5352000</v>
      </c>
      <c r="H160" s="5">
        <v>4315600</v>
      </c>
      <c r="I160" s="5">
        <v>1036400</v>
      </c>
    </row>
    <row r="161" spans="1:9" x14ac:dyDescent="0.3">
      <c r="A161" t="s">
        <v>82</v>
      </c>
      <c r="B161" t="str">
        <f>"11127"</f>
        <v>11127</v>
      </c>
      <c r="C161" t="s">
        <v>12</v>
      </c>
      <c r="D161" t="s">
        <v>85</v>
      </c>
      <c r="E161" t="str">
        <f>"001"</f>
        <v>001</v>
      </c>
      <c r="F161">
        <v>1995</v>
      </c>
      <c r="G161" s="5">
        <v>7792600</v>
      </c>
      <c r="H161" s="5">
        <v>2527700</v>
      </c>
      <c r="I161" s="5">
        <v>5264900</v>
      </c>
    </row>
    <row r="162" spans="1:9" x14ac:dyDescent="0.3">
      <c r="A162" t="s">
        <v>82</v>
      </c>
      <c r="B162" t="str">
        <f>"11246"</f>
        <v>11246</v>
      </c>
      <c r="C162" t="s">
        <v>11</v>
      </c>
      <c r="D162" t="s">
        <v>86</v>
      </c>
      <c r="E162" t="str">
        <f>"003"</f>
        <v>003</v>
      </c>
      <c r="F162">
        <v>2005</v>
      </c>
      <c r="G162" s="5">
        <v>1291800</v>
      </c>
      <c r="H162" s="5">
        <v>161000</v>
      </c>
      <c r="I162" s="5">
        <v>1130800</v>
      </c>
    </row>
    <row r="163" spans="1:9" x14ac:dyDescent="0.3">
      <c r="A163" t="s">
        <v>82</v>
      </c>
      <c r="B163" t="str">
        <f>"11246"</f>
        <v>11246</v>
      </c>
      <c r="C163" t="s">
        <v>11</v>
      </c>
      <c r="D163" t="s">
        <v>86</v>
      </c>
      <c r="E163" t="str">
        <f>"004"</f>
        <v>004</v>
      </c>
      <c r="F163">
        <v>2015</v>
      </c>
      <c r="G163" s="5">
        <v>23135100</v>
      </c>
      <c r="H163" s="5">
        <v>16032800</v>
      </c>
      <c r="I163" s="5">
        <v>7102300</v>
      </c>
    </row>
    <row r="164" spans="1:9" x14ac:dyDescent="0.3">
      <c r="A164" t="s">
        <v>82</v>
      </c>
      <c r="B164" t="str">
        <f>"11246"</f>
        <v>11246</v>
      </c>
      <c r="C164" t="s">
        <v>11</v>
      </c>
      <c r="D164" t="s">
        <v>86</v>
      </c>
      <c r="E164" t="str">
        <f>"005"</f>
        <v>005</v>
      </c>
      <c r="F164">
        <v>2015</v>
      </c>
      <c r="G164" s="5">
        <v>15104200</v>
      </c>
      <c r="H164" s="5">
        <v>12622800</v>
      </c>
      <c r="I164" s="5">
        <v>2481400</v>
      </c>
    </row>
    <row r="165" spans="1:9" x14ac:dyDescent="0.3">
      <c r="A165" t="s">
        <v>82</v>
      </c>
      <c r="B165" t="str">
        <f t="shared" ref="B165:B171" si="4">"11271"</f>
        <v>11271</v>
      </c>
      <c r="C165" t="s">
        <v>11</v>
      </c>
      <c r="D165" t="s">
        <v>87</v>
      </c>
      <c r="E165" t="str">
        <f>"004"</f>
        <v>004</v>
      </c>
      <c r="F165">
        <v>2003</v>
      </c>
      <c r="G165" s="5">
        <v>1034000</v>
      </c>
      <c r="H165" s="5">
        <v>211900</v>
      </c>
      <c r="I165" s="5">
        <v>822100</v>
      </c>
    </row>
    <row r="166" spans="1:9" x14ac:dyDescent="0.3">
      <c r="A166" t="s">
        <v>82</v>
      </c>
      <c r="B166" t="str">
        <f t="shared" si="4"/>
        <v>11271</v>
      </c>
      <c r="C166" t="s">
        <v>11</v>
      </c>
      <c r="D166" t="s">
        <v>87</v>
      </c>
      <c r="E166" t="str">
        <f>"005"</f>
        <v>005</v>
      </c>
      <c r="F166">
        <v>2004</v>
      </c>
      <c r="G166" s="5">
        <v>6135300</v>
      </c>
      <c r="H166" s="5">
        <v>1261500</v>
      </c>
      <c r="I166" s="5">
        <v>4873800</v>
      </c>
    </row>
    <row r="167" spans="1:9" x14ac:dyDescent="0.3">
      <c r="A167" t="s">
        <v>82</v>
      </c>
      <c r="B167" t="str">
        <f t="shared" si="4"/>
        <v>11271</v>
      </c>
      <c r="C167" t="s">
        <v>11</v>
      </c>
      <c r="D167" t="s">
        <v>87</v>
      </c>
      <c r="E167" t="str">
        <f>"006"</f>
        <v>006</v>
      </c>
      <c r="F167">
        <v>2008</v>
      </c>
      <c r="G167" s="5">
        <v>13437100</v>
      </c>
      <c r="H167" s="5">
        <v>13785500</v>
      </c>
      <c r="I167" s="5">
        <v>-348400</v>
      </c>
    </row>
    <row r="168" spans="1:9" x14ac:dyDescent="0.3">
      <c r="A168" t="s">
        <v>82</v>
      </c>
      <c r="B168" t="str">
        <f t="shared" si="4"/>
        <v>11271</v>
      </c>
      <c r="C168" t="s">
        <v>11</v>
      </c>
      <c r="D168" t="s">
        <v>87</v>
      </c>
      <c r="E168" t="str">
        <f>"007"</f>
        <v>007</v>
      </c>
      <c r="F168">
        <v>2010</v>
      </c>
      <c r="G168" s="5">
        <v>24356700</v>
      </c>
      <c r="H168" s="5">
        <v>20589600</v>
      </c>
      <c r="I168" s="5">
        <v>3767100</v>
      </c>
    </row>
    <row r="169" spans="1:9" x14ac:dyDescent="0.3">
      <c r="A169" t="s">
        <v>82</v>
      </c>
      <c r="B169" t="str">
        <f t="shared" si="4"/>
        <v>11271</v>
      </c>
      <c r="C169" t="s">
        <v>11</v>
      </c>
      <c r="D169" t="s">
        <v>87</v>
      </c>
      <c r="E169" t="str">
        <f>"008"</f>
        <v>008</v>
      </c>
      <c r="F169">
        <v>2014</v>
      </c>
      <c r="G169" s="5">
        <v>3161600</v>
      </c>
      <c r="H169" s="5">
        <v>654400</v>
      </c>
      <c r="I169" s="5">
        <v>2507200</v>
      </c>
    </row>
    <row r="170" spans="1:9" x14ac:dyDescent="0.3">
      <c r="A170" t="s">
        <v>82</v>
      </c>
      <c r="B170" t="str">
        <f t="shared" si="4"/>
        <v>11271</v>
      </c>
      <c r="C170" t="s">
        <v>11</v>
      </c>
      <c r="D170" t="s">
        <v>87</v>
      </c>
      <c r="E170" t="str">
        <f>"009"</f>
        <v>009</v>
      </c>
      <c r="F170">
        <v>2017</v>
      </c>
      <c r="G170" s="5">
        <v>28500</v>
      </c>
      <c r="H170" s="5">
        <v>28700</v>
      </c>
      <c r="I170" s="5">
        <v>-200</v>
      </c>
    </row>
    <row r="171" spans="1:9" x14ac:dyDescent="0.3">
      <c r="A171" t="s">
        <v>82</v>
      </c>
      <c r="B171" t="str">
        <f t="shared" si="4"/>
        <v>11271</v>
      </c>
      <c r="C171" t="s">
        <v>11</v>
      </c>
      <c r="D171" t="s">
        <v>87</v>
      </c>
      <c r="E171" t="str">
        <f>"010"</f>
        <v>010</v>
      </c>
      <c r="F171">
        <v>2019</v>
      </c>
      <c r="G171" s="5">
        <v>1500000</v>
      </c>
      <c r="H171" s="5">
        <v>910100</v>
      </c>
      <c r="I171" s="5">
        <v>589900</v>
      </c>
    </row>
    <row r="172" spans="1:9" x14ac:dyDescent="0.3">
      <c r="A172" t="s">
        <v>82</v>
      </c>
      <c r="B172" t="str">
        <f>"11177"</f>
        <v>11177</v>
      </c>
      <c r="C172" t="s">
        <v>12</v>
      </c>
      <c r="D172" t="s">
        <v>88</v>
      </c>
      <c r="E172" t="str">
        <f>"001"</f>
        <v>001</v>
      </c>
      <c r="F172">
        <v>1988</v>
      </c>
      <c r="G172" s="5">
        <v>3150400</v>
      </c>
      <c r="H172" s="5">
        <v>551400</v>
      </c>
      <c r="I172" s="5">
        <v>2599000</v>
      </c>
    </row>
    <row r="173" spans="1:9" x14ac:dyDescent="0.3">
      <c r="A173" t="s">
        <v>82</v>
      </c>
      <c r="B173" t="str">
        <f>"11177"</f>
        <v>11177</v>
      </c>
      <c r="C173" t="s">
        <v>12</v>
      </c>
      <c r="D173" t="s">
        <v>88</v>
      </c>
      <c r="E173" t="str">
        <f>"003"</f>
        <v>003</v>
      </c>
      <c r="F173">
        <v>1996</v>
      </c>
      <c r="G173" s="5">
        <v>7392800</v>
      </c>
      <c r="H173" s="5">
        <v>1268100</v>
      </c>
      <c r="I173" s="5">
        <v>6124700</v>
      </c>
    </row>
    <row r="174" spans="1:9" x14ac:dyDescent="0.3">
      <c r="A174" t="s">
        <v>82</v>
      </c>
      <c r="B174" t="str">
        <f>"11291"</f>
        <v>11291</v>
      </c>
      <c r="C174" t="s">
        <v>11</v>
      </c>
      <c r="D174" t="s">
        <v>17</v>
      </c>
      <c r="E174" t="str">
        <f>"003"</f>
        <v>003</v>
      </c>
      <c r="F174">
        <v>2005</v>
      </c>
      <c r="G174" s="5">
        <v>20246200</v>
      </c>
      <c r="H174" s="5">
        <v>15355400</v>
      </c>
      <c r="I174" s="5">
        <v>4890800</v>
      </c>
    </row>
    <row r="175" spans="1:9" x14ac:dyDescent="0.3">
      <c r="A175" t="s">
        <v>89</v>
      </c>
      <c r="B175" t="str">
        <f>"12116"</f>
        <v>12116</v>
      </c>
      <c r="C175" t="s">
        <v>12</v>
      </c>
      <c r="D175" t="s">
        <v>90</v>
      </c>
      <c r="E175" t="str">
        <f>"001"</f>
        <v>001</v>
      </c>
      <c r="F175">
        <v>2001</v>
      </c>
      <c r="G175" s="5">
        <v>462100</v>
      </c>
      <c r="H175" s="5">
        <v>161700</v>
      </c>
      <c r="I175" s="5">
        <v>300400</v>
      </c>
    </row>
    <row r="176" spans="1:9" x14ac:dyDescent="0.3">
      <c r="A176" t="s">
        <v>89</v>
      </c>
      <c r="B176" t="str">
        <f>"12126"</f>
        <v>12126</v>
      </c>
      <c r="C176" t="s">
        <v>12</v>
      </c>
      <c r="D176" t="s">
        <v>91</v>
      </c>
      <c r="E176" t="str">
        <f>"001"</f>
        <v>001</v>
      </c>
      <c r="F176">
        <v>2003</v>
      </c>
      <c r="G176" s="5">
        <v>337900</v>
      </c>
      <c r="H176" s="5">
        <v>52100</v>
      </c>
      <c r="I176" s="5">
        <v>285800</v>
      </c>
    </row>
    <row r="177" spans="1:9" x14ac:dyDescent="0.3">
      <c r="A177" t="s">
        <v>89</v>
      </c>
      <c r="B177" t="str">
        <f>"12131"</f>
        <v>12131</v>
      </c>
      <c r="C177" t="s">
        <v>12</v>
      </c>
      <c r="D177" t="s">
        <v>92</v>
      </c>
      <c r="E177" t="str">
        <f>"001"</f>
        <v>001</v>
      </c>
      <c r="F177">
        <v>2000</v>
      </c>
      <c r="G177" s="5">
        <v>2563600</v>
      </c>
      <c r="H177" s="5">
        <v>7900</v>
      </c>
      <c r="I177" s="5">
        <v>2555700</v>
      </c>
    </row>
    <row r="178" spans="1:9" x14ac:dyDescent="0.3">
      <c r="A178" t="s">
        <v>89</v>
      </c>
      <c r="B178" t="str">
        <f>"12131"</f>
        <v>12131</v>
      </c>
      <c r="C178" t="s">
        <v>12</v>
      </c>
      <c r="D178" t="s">
        <v>92</v>
      </c>
      <c r="E178" t="str">
        <f>"003"</f>
        <v>003</v>
      </c>
      <c r="F178">
        <v>2018</v>
      </c>
      <c r="G178" s="5">
        <v>26300</v>
      </c>
      <c r="H178" s="5">
        <v>0</v>
      </c>
      <c r="I178" s="5">
        <v>26300</v>
      </c>
    </row>
    <row r="179" spans="1:9" x14ac:dyDescent="0.3">
      <c r="A179" t="s">
        <v>89</v>
      </c>
      <c r="B179" t="str">
        <f>"12131"</f>
        <v>12131</v>
      </c>
      <c r="C179" t="s">
        <v>12</v>
      </c>
      <c r="D179" t="s">
        <v>92</v>
      </c>
      <c r="E179" t="str">
        <f>"004"</f>
        <v>004</v>
      </c>
      <c r="F179">
        <v>2018</v>
      </c>
      <c r="G179" s="5">
        <v>209800</v>
      </c>
      <c r="H179" s="5">
        <v>206800</v>
      </c>
      <c r="I179" s="5">
        <v>3000</v>
      </c>
    </row>
    <row r="180" spans="1:9" x14ac:dyDescent="0.3">
      <c r="A180" t="s">
        <v>89</v>
      </c>
      <c r="B180" t="str">
        <f>"12271"</f>
        <v>12271</v>
      </c>
      <c r="C180" t="s">
        <v>11</v>
      </c>
      <c r="D180" t="s">
        <v>93</v>
      </c>
      <c r="E180" t="str">
        <f>"001E"</f>
        <v>001E</v>
      </c>
      <c r="F180">
        <v>2007</v>
      </c>
      <c r="G180" s="5">
        <v>518500</v>
      </c>
      <c r="H180" s="5">
        <v>0</v>
      </c>
      <c r="I180" s="5">
        <v>518500</v>
      </c>
    </row>
    <row r="181" spans="1:9" x14ac:dyDescent="0.3">
      <c r="A181" t="s">
        <v>89</v>
      </c>
      <c r="B181" t="str">
        <f>"12271"</f>
        <v>12271</v>
      </c>
      <c r="C181" t="s">
        <v>11</v>
      </c>
      <c r="D181" t="s">
        <v>93</v>
      </c>
      <c r="E181" t="str">
        <f>"005"</f>
        <v>005</v>
      </c>
      <c r="F181">
        <v>1994</v>
      </c>
      <c r="G181" s="5">
        <v>7285500</v>
      </c>
      <c r="H181" s="5">
        <v>248800</v>
      </c>
      <c r="I181" s="5">
        <v>7036700</v>
      </c>
    </row>
    <row r="182" spans="1:9" x14ac:dyDescent="0.3">
      <c r="A182" t="s">
        <v>89</v>
      </c>
      <c r="B182" t="str">
        <f>"12271"</f>
        <v>12271</v>
      </c>
      <c r="C182" t="s">
        <v>11</v>
      </c>
      <c r="D182" t="s">
        <v>93</v>
      </c>
      <c r="E182" t="str">
        <f>"006"</f>
        <v>006</v>
      </c>
      <c r="F182">
        <v>1996</v>
      </c>
      <c r="G182" s="5">
        <v>54031400</v>
      </c>
      <c r="H182" s="5">
        <v>929600</v>
      </c>
      <c r="I182" s="5">
        <v>53101800</v>
      </c>
    </row>
    <row r="183" spans="1:9" x14ac:dyDescent="0.3">
      <c r="A183" t="s">
        <v>89</v>
      </c>
      <c r="B183" t="str">
        <f>"12191"</f>
        <v>12191</v>
      </c>
      <c r="C183" t="s">
        <v>12</v>
      </c>
      <c r="D183" t="s">
        <v>94</v>
      </c>
      <c r="E183" t="str">
        <f>"002"</f>
        <v>002</v>
      </c>
      <c r="F183">
        <v>1997</v>
      </c>
      <c r="G183" s="5">
        <v>2748000</v>
      </c>
      <c r="H183" s="5">
        <v>790100</v>
      </c>
      <c r="I183" s="5">
        <v>1957900</v>
      </c>
    </row>
    <row r="184" spans="1:9" x14ac:dyDescent="0.3">
      <c r="A184" t="s">
        <v>95</v>
      </c>
      <c r="B184" t="str">
        <f>"13106"</f>
        <v>13106</v>
      </c>
      <c r="C184" t="s">
        <v>12</v>
      </c>
      <c r="D184" t="s">
        <v>96</v>
      </c>
      <c r="E184" t="str">
        <f>"003"</f>
        <v>003</v>
      </c>
      <c r="F184">
        <v>2009</v>
      </c>
      <c r="G184" s="5">
        <v>6875900</v>
      </c>
      <c r="H184" s="5">
        <v>162400</v>
      </c>
      <c r="I184" s="5">
        <v>6713500</v>
      </c>
    </row>
    <row r="185" spans="1:9" x14ac:dyDescent="0.3">
      <c r="A185" t="s">
        <v>95</v>
      </c>
      <c r="B185" t="str">
        <f>"13106"</f>
        <v>13106</v>
      </c>
      <c r="C185" t="s">
        <v>12</v>
      </c>
      <c r="D185" t="s">
        <v>96</v>
      </c>
      <c r="E185" t="str">
        <f>"004"</f>
        <v>004</v>
      </c>
      <c r="F185">
        <v>2009</v>
      </c>
      <c r="G185" s="5">
        <v>1510200</v>
      </c>
      <c r="H185" s="5">
        <v>2331600</v>
      </c>
      <c r="I185" s="5">
        <v>-821400</v>
      </c>
    </row>
    <row r="186" spans="1:9" x14ac:dyDescent="0.3">
      <c r="A186" t="s">
        <v>95</v>
      </c>
      <c r="B186" t="str">
        <f>"13106"</f>
        <v>13106</v>
      </c>
      <c r="C186" t="s">
        <v>12</v>
      </c>
      <c r="D186" t="s">
        <v>96</v>
      </c>
      <c r="E186" t="str">
        <f>"005"</f>
        <v>005</v>
      </c>
      <c r="F186">
        <v>2009</v>
      </c>
      <c r="G186" s="5">
        <v>5728000</v>
      </c>
      <c r="H186" s="5">
        <v>6990200</v>
      </c>
      <c r="I186" s="5">
        <v>-1262200</v>
      </c>
    </row>
    <row r="187" spans="1:9" x14ac:dyDescent="0.3">
      <c r="A187" t="s">
        <v>95</v>
      </c>
      <c r="B187" t="str">
        <f>"13107"</f>
        <v>13107</v>
      </c>
      <c r="C187" t="s">
        <v>12</v>
      </c>
      <c r="D187" t="s">
        <v>97</v>
      </c>
      <c r="E187" t="str">
        <f>"003"</f>
        <v>003</v>
      </c>
      <c r="F187">
        <v>2009</v>
      </c>
      <c r="G187" s="5">
        <v>5082900</v>
      </c>
      <c r="H187" s="5">
        <v>3089300</v>
      </c>
      <c r="I187" s="5">
        <v>1993600</v>
      </c>
    </row>
    <row r="188" spans="1:9" x14ac:dyDescent="0.3">
      <c r="A188" t="s">
        <v>95</v>
      </c>
      <c r="B188" t="str">
        <f>"13107"</f>
        <v>13107</v>
      </c>
      <c r="C188" t="s">
        <v>12</v>
      </c>
      <c r="D188" t="s">
        <v>97</v>
      </c>
      <c r="E188" t="str">
        <f>"005"</f>
        <v>005</v>
      </c>
      <c r="F188">
        <v>2018</v>
      </c>
      <c r="G188" s="5">
        <v>6141900</v>
      </c>
      <c r="H188" s="5">
        <v>5748600</v>
      </c>
      <c r="I188" s="5">
        <v>393300</v>
      </c>
    </row>
    <row r="189" spans="1:9" x14ac:dyDescent="0.3">
      <c r="A189" t="s">
        <v>95</v>
      </c>
      <c r="B189" t="str">
        <f>"13109"</f>
        <v>13109</v>
      </c>
      <c r="C189" t="s">
        <v>12</v>
      </c>
      <c r="D189" t="s">
        <v>98</v>
      </c>
      <c r="E189" t="str">
        <f>"001"</f>
        <v>001</v>
      </c>
      <c r="F189">
        <v>2008</v>
      </c>
      <c r="G189" s="5">
        <v>1406500</v>
      </c>
      <c r="H189" s="5">
        <v>833000</v>
      </c>
      <c r="I189" s="5">
        <v>573500</v>
      </c>
    </row>
    <row r="190" spans="1:9" x14ac:dyDescent="0.3">
      <c r="A190" t="s">
        <v>95</v>
      </c>
      <c r="B190" t="str">
        <f>"13109"</f>
        <v>13109</v>
      </c>
      <c r="C190" t="s">
        <v>12</v>
      </c>
      <c r="D190" t="s">
        <v>98</v>
      </c>
      <c r="E190" t="str">
        <f>"002"</f>
        <v>002</v>
      </c>
      <c r="F190">
        <v>2013</v>
      </c>
      <c r="G190" s="5">
        <v>1793800</v>
      </c>
      <c r="H190" s="5">
        <v>21100</v>
      </c>
      <c r="I190" s="5">
        <v>1772700</v>
      </c>
    </row>
    <row r="191" spans="1:9" x14ac:dyDescent="0.3">
      <c r="A191" t="s">
        <v>95</v>
      </c>
      <c r="B191" t="str">
        <f>"13111"</f>
        <v>13111</v>
      </c>
      <c r="C191" t="s">
        <v>12</v>
      </c>
      <c r="D191" t="s">
        <v>99</v>
      </c>
      <c r="E191" t="str">
        <f>"004"</f>
        <v>004</v>
      </c>
      <c r="F191">
        <v>2013</v>
      </c>
      <c r="G191" s="5">
        <v>13479400</v>
      </c>
      <c r="H191" s="5">
        <v>10041000</v>
      </c>
      <c r="I191" s="5">
        <v>3438400</v>
      </c>
    </row>
    <row r="192" spans="1:9" x14ac:dyDescent="0.3">
      <c r="A192" t="s">
        <v>95</v>
      </c>
      <c r="B192" t="str">
        <f t="shared" ref="B192:B197" si="5">"13112"</f>
        <v>13112</v>
      </c>
      <c r="C192" t="s">
        <v>12</v>
      </c>
      <c r="D192" t="s">
        <v>100</v>
      </c>
      <c r="E192" t="str">
        <f>"005"</f>
        <v>005</v>
      </c>
      <c r="F192">
        <v>2003</v>
      </c>
      <c r="G192" s="5">
        <v>87530400</v>
      </c>
      <c r="H192" s="5">
        <v>2896100</v>
      </c>
      <c r="I192" s="5">
        <v>84634300</v>
      </c>
    </row>
    <row r="193" spans="1:9" x14ac:dyDescent="0.3">
      <c r="A193" t="s">
        <v>95</v>
      </c>
      <c r="B193" t="str">
        <f t="shared" si="5"/>
        <v>13112</v>
      </c>
      <c r="C193" t="s">
        <v>12</v>
      </c>
      <c r="D193" t="s">
        <v>100</v>
      </c>
      <c r="E193" t="str">
        <f>"006"</f>
        <v>006</v>
      </c>
      <c r="F193">
        <v>2005</v>
      </c>
      <c r="G193" s="5">
        <v>8682000</v>
      </c>
      <c r="H193" s="5">
        <v>6068800</v>
      </c>
      <c r="I193" s="5">
        <v>2613200</v>
      </c>
    </row>
    <row r="194" spans="1:9" x14ac:dyDescent="0.3">
      <c r="A194" t="s">
        <v>95</v>
      </c>
      <c r="B194" t="str">
        <f t="shared" si="5"/>
        <v>13112</v>
      </c>
      <c r="C194" t="s">
        <v>12</v>
      </c>
      <c r="D194" t="s">
        <v>100</v>
      </c>
      <c r="E194" t="str">
        <f>"007"</f>
        <v>007</v>
      </c>
      <c r="F194">
        <v>2005</v>
      </c>
      <c r="G194" s="5">
        <v>44798100</v>
      </c>
      <c r="H194" s="5">
        <v>14419000</v>
      </c>
      <c r="I194" s="5">
        <v>30379100</v>
      </c>
    </row>
    <row r="195" spans="1:9" x14ac:dyDescent="0.3">
      <c r="A195" t="s">
        <v>95</v>
      </c>
      <c r="B195" t="str">
        <f t="shared" si="5"/>
        <v>13112</v>
      </c>
      <c r="C195" t="s">
        <v>12</v>
      </c>
      <c r="D195" t="s">
        <v>100</v>
      </c>
      <c r="E195" t="str">
        <f>"008"</f>
        <v>008</v>
      </c>
      <c r="F195">
        <v>2018</v>
      </c>
      <c r="G195" s="5">
        <v>2486900</v>
      </c>
      <c r="H195" s="5">
        <v>2611600</v>
      </c>
      <c r="I195" s="5">
        <v>-124700</v>
      </c>
    </row>
    <row r="196" spans="1:9" x14ac:dyDescent="0.3">
      <c r="A196" t="s">
        <v>95</v>
      </c>
      <c r="B196" t="str">
        <f t="shared" si="5"/>
        <v>13112</v>
      </c>
      <c r="C196" t="s">
        <v>12</v>
      </c>
      <c r="D196" t="s">
        <v>100</v>
      </c>
      <c r="E196" t="str">
        <f>"009"</f>
        <v>009</v>
      </c>
      <c r="F196">
        <v>2018</v>
      </c>
      <c r="G196" s="5">
        <v>10601500</v>
      </c>
      <c r="H196" s="5">
        <v>9893500</v>
      </c>
      <c r="I196" s="5">
        <v>708000</v>
      </c>
    </row>
    <row r="197" spans="1:9" x14ac:dyDescent="0.3">
      <c r="A197" t="s">
        <v>95</v>
      </c>
      <c r="B197" t="str">
        <f t="shared" si="5"/>
        <v>13112</v>
      </c>
      <c r="C197" t="s">
        <v>12</v>
      </c>
      <c r="D197" t="s">
        <v>100</v>
      </c>
      <c r="E197" t="str">
        <f>"010"</f>
        <v>010</v>
      </c>
      <c r="F197">
        <v>2018</v>
      </c>
      <c r="G197" s="5">
        <v>1225400</v>
      </c>
      <c r="H197" s="5">
        <v>1241600</v>
      </c>
      <c r="I197" s="5">
        <v>-16200</v>
      </c>
    </row>
    <row r="198" spans="1:9" x14ac:dyDescent="0.3">
      <c r="A198" t="s">
        <v>95</v>
      </c>
      <c r="B198" t="str">
        <f>"13113"</f>
        <v>13113</v>
      </c>
      <c r="C198" t="s">
        <v>12</v>
      </c>
      <c r="D198" t="s">
        <v>101</v>
      </c>
      <c r="E198" t="str">
        <f>"003"</f>
        <v>003</v>
      </c>
      <c r="F198">
        <v>2008</v>
      </c>
      <c r="G198" s="5">
        <v>59305400</v>
      </c>
      <c r="H198" s="5">
        <v>28128600</v>
      </c>
      <c r="I198" s="5">
        <v>31176800</v>
      </c>
    </row>
    <row r="199" spans="1:9" x14ac:dyDescent="0.3">
      <c r="A199" t="s">
        <v>95</v>
      </c>
      <c r="B199" t="str">
        <f>"13116"</f>
        <v>13116</v>
      </c>
      <c r="C199" t="s">
        <v>12</v>
      </c>
      <c r="D199" t="s">
        <v>95</v>
      </c>
      <c r="E199" t="str">
        <f>"002"</f>
        <v>002</v>
      </c>
      <c r="F199">
        <v>2007</v>
      </c>
      <c r="G199" s="5">
        <v>5597400</v>
      </c>
      <c r="H199" s="5">
        <v>4426100</v>
      </c>
      <c r="I199" s="5">
        <v>1171300</v>
      </c>
    </row>
    <row r="200" spans="1:9" x14ac:dyDescent="0.3">
      <c r="A200" t="s">
        <v>95</v>
      </c>
      <c r="B200" t="str">
        <f>"13117"</f>
        <v>13117</v>
      </c>
      <c r="C200" t="s">
        <v>12</v>
      </c>
      <c r="D200" t="s">
        <v>102</v>
      </c>
      <c r="E200" t="str">
        <f>"003"</f>
        <v>003</v>
      </c>
      <c r="F200">
        <v>2005</v>
      </c>
      <c r="G200" s="5">
        <v>32069900</v>
      </c>
      <c r="H200" s="5">
        <v>9970400</v>
      </c>
      <c r="I200" s="5">
        <v>22099500</v>
      </c>
    </row>
    <row r="201" spans="1:9" x14ac:dyDescent="0.3">
      <c r="A201" t="s">
        <v>95</v>
      </c>
      <c r="B201" t="str">
        <f>"13117"</f>
        <v>13117</v>
      </c>
      <c r="C201" t="s">
        <v>12</v>
      </c>
      <c r="D201" t="s">
        <v>102</v>
      </c>
      <c r="E201" t="str">
        <f>"004"</f>
        <v>004</v>
      </c>
      <c r="F201">
        <v>2007</v>
      </c>
      <c r="G201" s="5">
        <v>1544800</v>
      </c>
      <c r="H201" s="5">
        <v>2401400</v>
      </c>
      <c r="I201" s="5">
        <v>-856600</v>
      </c>
    </row>
    <row r="202" spans="1:9" x14ac:dyDescent="0.3">
      <c r="A202" t="s">
        <v>95</v>
      </c>
      <c r="B202" t="str">
        <f>"13117"</f>
        <v>13117</v>
      </c>
      <c r="C202" t="s">
        <v>12</v>
      </c>
      <c r="D202" t="s">
        <v>102</v>
      </c>
      <c r="E202" t="str">
        <f>"005"</f>
        <v>005</v>
      </c>
      <c r="F202">
        <v>2008</v>
      </c>
      <c r="G202" s="5">
        <v>261900</v>
      </c>
      <c r="H202" s="5">
        <v>11700</v>
      </c>
      <c r="I202" s="5">
        <v>250200</v>
      </c>
    </row>
    <row r="203" spans="1:9" x14ac:dyDescent="0.3">
      <c r="A203" t="s">
        <v>95</v>
      </c>
      <c r="B203" t="str">
        <f>"13117"</f>
        <v>13117</v>
      </c>
      <c r="C203" t="s">
        <v>12</v>
      </c>
      <c r="D203" t="s">
        <v>102</v>
      </c>
      <c r="E203" t="str">
        <f>"006"</f>
        <v>006</v>
      </c>
      <c r="F203">
        <v>2019</v>
      </c>
      <c r="G203" s="5">
        <v>1081500</v>
      </c>
      <c r="H203" s="5">
        <v>1065700</v>
      </c>
      <c r="I203" s="5">
        <v>15800</v>
      </c>
    </row>
    <row r="204" spans="1:9" x14ac:dyDescent="0.3">
      <c r="A204" t="s">
        <v>95</v>
      </c>
      <c r="B204" t="str">
        <f t="shared" ref="B204:B211" si="6">"13118"</f>
        <v>13118</v>
      </c>
      <c r="C204" t="s">
        <v>12</v>
      </c>
      <c r="D204" t="s">
        <v>103</v>
      </c>
      <c r="E204" t="str">
        <f>"002"</f>
        <v>002</v>
      </c>
      <c r="F204">
        <v>2009</v>
      </c>
      <c r="G204" s="5">
        <v>56184400</v>
      </c>
      <c r="H204" s="5">
        <v>27900</v>
      </c>
      <c r="I204" s="5">
        <v>56156500</v>
      </c>
    </row>
    <row r="205" spans="1:9" x14ac:dyDescent="0.3">
      <c r="A205" t="s">
        <v>95</v>
      </c>
      <c r="B205" t="str">
        <f t="shared" si="6"/>
        <v>13118</v>
      </c>
      <c r="C205" t="s">
        <v>12</v>
      </c>
      <c r="D205" t="s">
        <v>103</v>
      </c>
      <c r="E205" t="str">
        <f>"003"</f>
        <v>003</v>
      </c>
      <c r="F205">
        <v>2009</v>
      </c>
      <c r="G205" s="5">
        <v>16785200</v>
      </c>
      <c r="H205" s="5">
        <v>981900</v>
      </c>
      <c r="I205" s="5">
        <v>15803300</v>
      </c>
    </row>
    <row r="206" spans="1:9" x14ac:dyDescent="0.3">
      <c r="A206" t="s">
        <v>95</v>
      </c>
      <c r="B206" t="str">
        <f t="shared" si="6"/>
        <v>13118</v>
      </c>
      <c r="C206" t="s">
        <v>12</v>
      </c>
      <c r="D206" t="s">
        <v>103</v>
      </c>
      <c r="E206" t="str">
        <f>"004"</f>
        <v>004</v>
      </c>
      <c r="F206">
        <v>2009</v>
      </c>
      <c r="G206" s="5">
        <v>52946400</v>
      </c>
      <c r="H206" s="5">
        <v>345700</v>
      </c>
      <c r="I206" s="5">
        <v>52600700</v>
      </c>
    </row>
    <row r="207" spans="1:9" x14ac:dyDescent="0.3">
      <c r="A207" t="s">
        <v>95</v>
      </c>
      <c r="B207" t="str">
        <f t="shared" si="6"/>
        <v>13118</v>
      </c>
      <c r="C207" t="s">
        <v>12</v>
      </c>
      <c r="D207" t="s">
        <v>103</v>
      </c>
      <c r="E207" t="str">
        <f>"005"</f>
        <v>005</v>
      </c>
      <c r="F207">
        <v>2010</v>
      </c>
      <c r="G207" s="5">
        <v>22064000</v>
      </c>
      <c r="H207" s="5">
        <v>350500</v>
      </c>
      <c r="I207" s="5">
        <v>21713500</v>
      </c>
    </row>
    <row r="208" spans="1:9" x14ac:dyDescent="0.3">
      <c r="A208" t="s">
        <v>95</v>
      </c>
      <c r="B208" t="str">
        <f t="shared" si="6"/>
        <v>13118</v>
      </c>
      <c r="C208" t="s">
        <v>12</v>
      </c>
      <c r="D208" t="s">
        <v>103</v>
      </c>
      <c r="E208" t="str">
        <f>"006"</f>
        <v>006</v>
      </c>
      <c r="F208">
        <v>2011</v>
      </c>
      <c r="G208" s="5">
        <v>37668200</v>
      </c>
      <c r="H208" s="5">
        <v>2764600</v>
      </c>
      <c r="I208" s="5">
        <v>34903600</v>
      </c>
    </row>
    <row r="209" spans="1:9" x14ac:dyDescent="0.3">
      <c r="A209" t="s">
        <v>95</v>
      </c>
      <c r="B209" t="str">
        <f t="shared" si="6"/>
        <v>13118</v>
      </c>
      <c r="C209" t="s">
        <v>12</v>
      </c>
      <c r="D209" t="s">
        <v>103</v>
      </c>
      <c r="E209" t="str">
        <f>"007"</f>
        <v>007</v>
      </c>
      <c r="F209">
        <v>2011</v>
      </c>
      <c r="G209" s="5">
        <v>22835300</v>
      </c>
      <c r="H209" s="5">
        <v>4492000</v>
      </c>
      <c r="I209" s="5">
        <v>18343300</v>
      </c>
    </row>
    <row r="210" spans="1:9" x14ac:dyDescent="0.3">
      <c r="A210" t="s">
        <v>95</v>
      </c>
      <c r="B210" t="str">
        <f t="shared" si="6"/>
        <v>13118</v>
      </c>
      <c r="C210" t="s">
        <v>12</v>
      </c>
      <c r="D210" t="s">
        <v>103</v>
      </c>
      <c r="E210" t="str">
        <f>"008"</f>
        <v>008</v>
      </c>
      <c r="F210">
        <v>2017</v>
      </c>
      <c r="G210" s="5">
        <v>35491700</v>
      </c>
      <c r="H210" s="5">
        <v>6728400</v>
      </c>
      <c r="I210" s="5">
        <v>28763300</v>
      </c>
    </row>
    <row r="211" spans="1:9" x14ac:dyDescent="0.3">
      <c r="A211" t="s">
        <v>95</v>
      </c>
      <c r="B211" t="str">
        <f t="shared" si="6"/>
        <v>13118</v>
      </c>
      <c r="C211" t="s">
        <v>12</v>
      </c>
      <c r="D211" t="s">
        <v>103</v>
      </c>
      <c r="E211" t="str">
        <f>"009"</f>
        <v>009</v>
      </c>
      <c r="F211">
        <v>2017</v>
      </c>
      <c r="G211" s="5">
        <v>26523000</v>
      </c>
      <c r="H211" s="5">
        <v>7580900</v>
      </c>
      <c r="I211" s="5">
        <v>18942100</v>
      </c>
    </row>
    <row r="212" spans="1:9" x14ac:dyDescent="0.3">
      <c r="A212" t="s">
        <v>95</v>
      </c>
      <c r="B212" t="str">
        <f>"13221"</f>
        <v>13221</v>
      </c>
      <c r="C212" t="s">
        <v>11</v>
      </c>
      <c r="D212" t="s">
        <v>104</v>
      </c>
      <c r="E212" t="str">
        <f>"005"</f>
        <v>005</v>
      </c>
      <c r="F212">
        <v>1998</v>
      </c>
      <c r="G212" s="5">
        <v>15250100</v>
      </c>
      <c r="H212" s="5">
        <v>632600</v>
      </c>
      <c r="I212" s="5">
        <v>14617500</v>
      </c>
    </row>
    <row r="213" spans="1:9" x14ac:dyDescent="0.3">
      <c r="A213" t="s">
        <v>95</v>
      </c>
      <c r="B213" t="str">
        <f t="shared" ref="B213:B219" si="7">"13225"</f>
        <v>13225</v>
      </c>
      <c r="C213" t="s">
        <v>11</v>
      </c>
      <c r="D213" t="s">
        <v>105</v>
      </c>
      <c r="E213" t="str">
        <f>"004"</f>
        <v>004</v>
      </c>
      <c r="F213">
        <v>2003</v>
      </c>
      <c r="G213" s="5">
        <v>278802500</v>
      </c>
      <c r="H213" s="5">
        <v>49144000</v>
      </c>
      <c r="I213" s="5">
        <v>229658500</v>
      </c>
    </row>
    <row r="214" spans="1:9" x14ac:dyDescent="0.3">
      <c r="A214" t="s">
        <v>95</v>
      </c>
      <c r="B214" t="str">
        <f t="shared" si="7"/>
        <v>13225</v>
      </c>
      <c r="C214" t="s">
        <v>11</v>
      </c>
      <c r="D214" t="s">
        <v>105</v>
      </c>
      <c r="E214" t="str">
        <f>"006"</f>
        <v>006</v>
      </c>
      <c r="F214">
        <v>2006</v>
      </c>
      <c r="G214" s="5">
        <v>225050900</v>
      </c>
      <c r="H214" s="5">
        <v>86800800</v>
      </c>
      <c r="I214" s="5">
        <v>138250100</v>
      </c>
    </row>
    <row r="215" spans="1:9" x14ac:dyDescent="0.3">
      <c r="A215" t="s">
        <v>95</v>
      </c>
      <c r="B215" t="str">
        <f t="shared" si="7"/>
        <v>13225</v>
      </c>
      <c r="C215" t="s">
        <v>11</v>
      </c>
      <c r="D215" t="s">
        <v>105</v>
      </c>
      <c r="E215" t="str">
        <f>"009"</f>
        <v>009</v>
      </c>
      <c r="F215">
        <v>2015</v>
      </c>
      <c r="G215" s="5">
        <v>94574300</v>
      </c>
      <c r="H215" s="5">
        <v>46009600</v>
      </c>
      <c r="I215" s="5">
        <v>48564700</v>
      </c>
    </row>
    <row r="216" spans="1:9" x14ac:dyDescent="0.3">
      <c r="A216" t="s">
        <v>95</v>
      </c>
      <c r="B216" t="str">
        <f t="shared" si="7"/>
        <v>13225</v>
      </c>
      <c r="C216" t="s">
        <v>11</v>
      </c>
      <c r="D216" t="s">
        <v>105</v>
      </c>
      <c r="E216" t="str">
        <f>"010"</f>
        <v>010</v>
      </c>
      <c r="F216">
        <v>2016</v>
      </c>
      <c r="G216" s="5">
        <v>75972400</v>
      </c>
      <c r="H216" s="5">
        <v>42872500</v>
      </c>
      <c r="I216" s="5">
        <v>33099900</v>
      </c>
    </row>
    <row r="217" spans="1:9" x14ac:dyDescent="0.3">
      <c r="A217" t="s">
        <v>95</v>
      </c>
      <c r="B217" t="str">
        <f t="shared" si="7"/>
        <v>13225</v>
      </c>
      <c r="C217" t="s">
        <v>11</v>
      </c>
      <c r="D217" t="s">
        <v>105</v>
      </c>
      <c r="E217" t="str">
        <f>"011"</f>
        <v>011</v>
      </c>
      <c r="F217">
        <v>2018</v>
      </c>
      <c r="G217" s="5">
        <v>393400</v>
      </c>
      <c r="H217" s="5">
        <v>436200</v>
      </c>
      <c r="I217" s="5">
        <v>-42800</v>
      </c>
    </row>
    <row r="218" spans="1:9" x14ac:dyDescent="0.3">
      <c r="A218" t="s">
        <v>95</v>
      </c>
      <c r="B218" t="str">
        <f t="shared" si="7"/>
        <v>13225</v>
      </c>
      <c r="C218" t="s">
        <v>11</v>
      </c>
      <c r="D218" t="s">
        <v>105</v>
      </c>
      <c r="E218" t="str">
        <f>"012"</f>
        <v>012</v>
      </c>
      <c r="F218">
        <v>2018</v>
      </c>
      <c r="G218" s="5">
        <v>169854200</v>
      </c>
      <c r="H218" s="5">
        <v>128190000</v>
      </c>
      <c r="I218" s="5">
        <v>41664200</v>
      </c>
    </row>
    <row r="219" spans="1:9" x14ac:dyDescent="0.3">
      <c r="A219" t="s">
        <v>95</v>
      </c>
      <c r="B219" t="str">
        <f t="shared" si="7"/>
        <v>13225</v>
      </c>
      <c r="C219" t="s">
        <v>11</v>
      </c>
      <c r="D219" t="s">
        <v>105</v>
      </c>
      <c r="E219" t="str">
        <f>"013"</f>
        <v>013</v>
      </c>
      <c r="F219">
        <v>2018</v>
      </c>
      <c r="G219" s="5">
        <v>5436900</v>
      </c>
      <c r="H219" s="5">
        <v>16000</v>
      </c>
      <c r="I219" s="5">
        <v>5420900</v>
      </c>
    </row>
    <row r="220" spans="1:9" x14ac:dyDescent="0.3">
      <c r="A220" t="s">
        <v>95</v>
      </c>
      <c r="B220" t="str">
        <f>"13032"</f>
        <v>13032</v>
      </c>
      <c r="C220" t="s">
        <v>14</v>
      </c>
      <c r="D220" t="s">
        <v>106</v>
      </c>
      <c r="E220" t="str">
        <f>"002O"</f>
        <v>002O</v>
      </c>
      <c r="F220">
        <v>2006</v>
      </c>
      <c r="G220" s="5">
        <v>54230800</v>
      </c>
      <c r="H220" s="5">
        <v>24846800</v>
      </c>
      <c r="I220" s="5">
        <v>29384000</v>
      </c>
    </row>
    <row r="221" spans="1:9" x14ac:dyDescent="0.3">
      <c r="A221" t="s">
        <v>95</v>
      </c>
      <c r="B221" t="str">
        <f t="shared" ref="B221:B233" si="8">"13251"</f>
        <v>13251</v>
      </c>
      <c r="C221" t="s">
        <v>11</v>
      </c>
      <c r="D221" t="s">
        <v>106</v>
      </c>
      <c r="E221" t="str">
        <f>"025"</f>
        <v>025</v>
      </c>
      <c r="F221">
        <v>1995</v>
      </c>
      <c r="G221" s="5">
        <v>236001600</v>
      </c>
      <c r="H221" s="5">
        <v>38606700</v>
      </c>
      <c r="I221" s="5">
        <v>197394900</v>
      </c>
    </row>
    <row r="222" spans="1:9" x14ac:dyDescent="0.3">
      <c r="A222" t="s">
        <v>95</v>
      </c>
      <c r="B222" t="str">
        <f t="shared" si="8"/>
        <v>13251</v>
      </c>
      <c r="C222" t="s">
        <v>11</v>
      </c>
      <c r="D222" t="s">
        <v>106</v>
      </c>
      <c r="E222" t="str">
        <f>"029"</f>
        <v>029</v>
      </c>
      <c r="F222">
        <v>2000</v>
      </c>
      <c r="G222" s="5">
        <v>73784600</v>
      </c>
      <c r="H222" s="5">
        <v>41741400</v>
      </c>
      <c r="I222" s="5">
        <v>32043200</v>
      </c>
    </row>
    <row r="223" spans="1:9" x14ac:dyDescent="0.3">
      <c r="A223" t="s">
        <v>95</v>
      </c>
      <c r="B223" t="str">
        <f t="shared" si="8"/>
        <v>13251</v>
      </c>
      <c r="C223" t="s">
        <v>11</v>
      </c>
      <c r="D223" t="s">
        <v>106</v>
      </c>
      <c r="E223" t="str">
        <f>"035"</f>
        <v>035</v>
      </c>
      <c r="F223">
        <v>2005</v>
      </c>
      <c r="G223" s="5">
        <v>79634400</v>
      </c>
      <c r="H223" s="5">
        <v>25800600</v>
      </c>
      <c r="I223" s="5">
        <v>53833800</v>
      </c>
    </row>
    <row r="224" spans="1:9" x14ac:dyDescent="0.3">
      <c r="A224" t="s">
        <v>95</v>
      </c>
      <c r="B224" t="str">
        <f t="shared" si="8"/>
        <v>13251</v>
      </c>
      <c r="C224" t="s">
        <v>11</v>
      </c>
      <c r="D224" t="s">
        <v>106</v>
      </c>
      <c r="E224" t="str">
        <f>"036"</f>
        <v>036</v>
      </c>
      <c r="F224">
        <v>2005</v>
      </c>
      <c r="G224" s="5">
        <v>505488400</v>
      </c>
      <c r="H224" s="5">
        <v>97652400</v>
      </c>
      <c r="I224" s="5">
        <v>407836000</v>
      </c>
    </row>
    <row r="225" spans="1:9" x14ac:dyDescent="0.3">
      <c r="A225" t="s">
        <v>95</v>
      </c>
      <c r="B225" t="str">
        <f t="shared" si="8"/>
        <v>13251</v>
      </c>
      <c r="C225" t="s">
        <v>11</v>
      </c>
      <c r="D225" t="s">
        <v>106</v>
      </c>
      <c r="E225" t="str">
        <f>"037"</f>
        <v>037</v>
      </c>
      <c r="F225">
        <v>2006</v>
      </c>
      <c r="G225" s="5">
        <v>162740800</v>
      </c>
      <c r="H225" s="5">
        <v>43466900</v>
      </c>
      <c r="I225" s="5">
        <v>119273900</v>
      </c>
    </row>
    <row r="226" spans="1:9" x14ac:dyDescent="0.3">
      <c r="A226" t="s">
        <v>95</v>
      </c>
      <c r="B226" t="str">
        <f t="shared" si="8"/>
        <v>13251</v>
      </c>
      <c r="C226" t="s">
        <v>11</v>
      </c>
      <c r="D226" t="s">
        <v>106</v>
      </c>
      <c r="E226" t="str">
        <f>"038"</f>
        <v>038</v>
      </c>
      <c r="F226">
        <v>2008</v>
      </c>
      <c r="G226" s="5">
        <v>56390600</v>
      </c>
      <c r="H226" s="5">
        <v>54203700</v>
      </c>
      <c r="I226" s="5">
        <v>2186900</v>
      </c>
    </row>
    <row r="227" spans="1:9" x14ac:dyDescent="0.3">
      <c r="A227" t="s">
        <v>95</v>
      </c>
      <c r="B227" t="str">
        <f t="shared" si="8"/>
        <v>13251</v>
      </c>
      <c r="C227" t="s">
        <v>11</v>
      </c>
      <c r="D227" t="s">
        <v>106</v>
      </c>
      <c r="E227" t="str">
        <f>"039"</f>
        <v>039</v>
      </c>
      <c r="F227">
        <v>2008</v>
      </c>
      <c r="G227" s="5">
        <v>378027200</v>
      </c>
      <c r="H227" s="5">
        <v>263256500</v>
      </c>
      <c r="I227" s="5">
        <v>114770700</v>
      </c>
    </row>
    <row r="228" spans="1:9" x14ac:dyDescent="0.3">
      <c r="A228" t="s">
        <v>95</v>
      </c>
      <c r="B228" t="str">
        <f t="shared" si="8"/>
        <v>13251</v>
      </c>
      <c r="C228" t="s">
        <v>11</v>
      </c>
      <c r="D228" t="s">
        <v>106</v>
      </c>
      <c r="E228" t="str">
        <f>"041"</f>
        <v>041</v>
      </c>
      <c r="F228">
        <v>2011</v>
      </c>
      <c r="G228" s="5">
        <v>69765100</v>
      </c>
      <c r="H228" s="5">
        <v>18703300</v>
      </c>
      <c r="I228" s="5">
        <v>51061800</v>
      </c>
    </row>
    <row r="229" spans="1:9" x14ac:dyDescent="0.3">
      <c r="A229" t="s">
        <v>95</v>
      </c>
      <c r="B229" t="str">
        <f t="shared" si="8"/>
        <v>13251</v>
      </c>
      <c r="C229" t="s">
        <v>11</v>
      </c>
      <c r="D229" t="s">
        <v>106</v>
      </c>
      <c r="E229" t="str">
        <f>"042"</f>
        <v>042</v>
      </c>
      <c r="F229">
        <v>2012</v>
      </c>
      <c r="G229" s="5">
        <v>108393400</v>
      </c>
      <c r="H229" s="5">
        <v>50866200</v>
      </c>
      <c r="I229" s="5">
        <v>57527200</v>
      </c>
    </row>
    <row r="230" spans="1:9" x14ac:dyDescent="0.3">
      <c r="A230" t="s">
        <v>95</v>
      </c>
      <c r="B230" t="str">
        <f t="shared" si="8"/>
        <v>13251</v>
      </c>
      <c r="C230" t="s">
        <v>11</v>
      </c>
      <c r="D230" t="s">
        <v>106</v>
      </c>
      <c r="E230" t="str">
        <f>"044"</f>
        <v>044</v>
      </c>
      <c r="F230">
        <v>2013</v>
      </c>
      <c r="G230" s="5">
        <v>66325000</v>
      </c>
      <c r="H230" s="5">
        <v>30448400</v>
      </c>
      <c r="I230" s="5">
        <v>35876600</v>
      </c>
    </row>
    <row r="231" spans="1:9" x14ac:dyDescent="0.3">
      <c r="A231" t="s">
        <v>95</v>
      </c>
      <c r="B231" t="str">
        <f t="shared" si="8"/>
        <v>13251</v>
      </c>
      <c r="C231" t="s">
        <v>11</v>
      </c>
      <c r="D231" t="s">
        <v>106</v>
      </c>
      <c r="E231" t="str">
        <f>"045"</f>
        <v>045</v>
      </c>
      <c r="F231">
        <v>2015</v>
      </c>
      <c r="G231" s="5">
        <v>182438600</v>
      </c>
      <c r="H231" s="5">
        <v>79304000</v>
      </c>
      <c r="I231" s="5">
        <v>103134600</v>
      </c>
    </row>
    <row r="232" spans="1:9" x14ac:dyDescent="0.3">
      <c r="A232" t="s">
        <v>95</v>
      </c>
      <c r="B232" t="str">
        <f t="shared" si="8"/>
        <v>13251</v>
      </c>
      <c r="C232" t="s">
        <v>11</v>
      </c>
      <c r="D232" t="s">
        <v>106</v>
      </c>
      <c r="E232" t="str">
        <f>"046"</f>
        <v>046</v>
      </c>
      <c r="F232">
        <v>2015</v>
      </c>
      <c r="G232" s="5">
        <v>370410400</v>
      </c>
      <c r="H232" s="5">
        <v>129904000</v>
      </c>
      <c r="I232" s="5">
        <v>240506400</v>
      </c>
    </row>
    <row r="233" spans="1:9" x14ac:dyDescent="0.3">
      <c r="A233" t="s">
        <v>95</v>
      </c>
      <c r="B233" t="str">
        <f t="shared" si="8"/>
        <v>13251</v>
      </c>
      <c r="C233" t="s">
        <v>11</v>
      </c>
      <c r="D233" t="s">
        <v>106</v>
      </c>
      <c r="E233" t="str">
        <f>"047"</f>
        <v>047</v>
      </c>
      <c r="F233">
        <v>2017</v>
      </c>
      <c r="G233" s="5">
        <v>28263500</v>
      </c>
      <c r="H233" s="5">
        <v>10032600</v>
      </c>
      <c r="I233" s="5">
        <v>18230900</v>
      </c>
    </row>
    <row r="234" spans="1:9" x14ac:dyDescent="0.3">
      <c r="A234" t="s">
        <v>95</v>
      </c>
      <c r="B234" t="str">
        <f>"13151"</f>
        <v>13151</v>
      </c>
      <c r="C234" t="s">
        <v>12</v>
      </c>
      <c r="D234" t="s">
        <v>107</v>
      </c>
      <c r="E234" t="str">
        <f>"001"</f>
        <v>001</v>
      </c>
      <c r="F234">
        <v>2014</v>
      </c>
      <c r="G234" s="5">
        <v>14654200</v>
      </c>
      <c r="H234" s="5">
        <v>5689400</v>
      </c>
      <c r="I234" s="5">
        <v>8964800</v>
      </c>
    </row>
    <row r="235" spans="1:9" x14ac:dyDescent="0.3">
      <c r="A235" t="s">
        <v>95</v>
      </c>
      <c r="B235" t="str">
        <f>"13152"</f>
        <v>13152</v>
      </c>
      <c r="C235" t="s">
        <v>12</v>
      </c>
      <c r="D235" t="s">
        <v>108</v>
      </c>
      <c r="E235" t="str">
        <f>"002"</f>
        <v>002</v>
      </c>
      <c r="F235">
        <v>2018</v>
      </c>
      <c r="G235" s="5">
        <v>14158500</v>
      </c>
      <c r="H235" s="5">
        <v>14377100</v>
      </c>
      <c r="I235" s="5">
        <v>-218600</v>
      </c>
    </row>
    <row r="236" spans="1:9" x14ac:dyDescent="0.3">
      <c r="A236" t="s">
        <v>95</v>
      </c>
      <c r="B236" t="str">
        <f>"13153"</f>
        <v>13153</v>
      </c>
      <c r="C236" t="s">
        <v>12</v>
      </c>
      <c r="D236" t="s">
        <v>109</v>
      </c>
      <c r="E236" t="str">
        <f>"004"</f>
        <v>004</v>
      </c>
      <c r="F236">
        <v>2005</v>
      </c>
      <c r="G236" s="5">
        <v>18708600</v>
      </c>
      <c r="H236" s="5">
        <v>5583500</v>
      </c>
      <c r="I236" s="5">
        <v>13125100</v>
      </c>
    </row>
    <row r="237" spans="1:9" x14ac:dyDescent="0.3">
      <c r="A237" t="s">
        <v>95</v>
      </c>
      <c r="B237" t="str">
        <f>"13153"</f>
        <v>13153</v>
      </c>
      <c r="C237" t="s">
        <v>12</v>
      </c>
      <c r="D237" t="s">
        <v>109</v>
      </c>
      <c r="E237" t="str">
        <f>"005"</f>
        <v>005</v>
      </c>
      <c r="F237">
        <v>2005</v>
      </c>
      <c r="G237" s="5">
        <v>5428000</v>
      </c>
      <c r="H237" s="5">
        <v>4594600</v>
      </c>
      <c r="I237" s="5">
        <v>833400</v>
      </c>
    </row>
    <row r="238" spans="1:9" x14ac:dyDescent="0.3">
      <c r="A238" t="s">
        <v>95</v>
      </c>
      <c r="B238" t="str">
        <f>"13154"</f>
        <v>13154</v>
      </c>
      <c r="C238" t="s">
        <v>12</v>
      </c>
      <c r="D238" t="s">
        <v>110</v>
      </c>
      <c r="E238" t="str">
        <f>"003"</f>
        <v>003</v>
      </c>
      <c r="F238">
        <v>2004</v>
      </c>
      <c r="G238" s="5">
        <v>71663800</v>
      </c>
      <c r="H238" s="5">
        <v>26997400</v>
      </c>
      <c r="I238" s="5">
        <v>44666400</v>
      </c>
    </row>
    <row r="239" spans="1:9" x14ac:dyDescent="0.3">
      <c r="A239" t="s">
        <v>95</v>
      </c>
      <c r="B239" t="str">
        <f>"13154"</f>
        <v>13154</v>
      </c>
      <c r="C239" t="s">
        <v>12</v>
      </c>
      <c r="D239" t="s">
        <v>110</v>
      </c>
      <c r="E239" t="str">
        <f>"004"</f>
        <v>004</v>
      </c>
      <c r="F239">
        <v>2008</v>
      </c>
      <c r="G239" s="5">
        <v>12284800</v>
      </c>
      <c r="H239" s="5">
        <v>7583100</v>
      </c>
      <c r="I239" s="5">
        <v>4701700</v>
      </c>
    </row>
    <row r="240" spans="1:9" x14ac:dyDescent="0.3">
      <c r="A240" t="s">
        <v>95</v>
      </c>
      <c r="B240" t="str">
        <f>"13154"</f>
        <v>13154</v>
      </c>
      <c r="C240" t="s">
        <v>12</v>
      </c>
      <c r="D240" t="s">
        <v>110</v>
      </c>
      <c r="E240" t="str">
        <f>"005"</f>
        <v>005</v>
      </c>
      <c r="F240">
        <v>2018</v>
      </c>
      <c r="G240" s="5">
        <v>19234800</v>
      </c>
      <c r="H240" s="5">
        <v>17030100</v>
      </c>
      <c r="I240" s="5">
        <v>2204700</v>
      </c>
    </row>
    <row r="241" spans="1:9" x14ac:dyDescent="0.3">
      <c r="A241" t="s">
        <v>95</v>
      </c>
      <c r="B241" t="str">
        <f>"13255"</f>
        <v>13255</v>
      </c>
      <c r="C241" t="s">
        <v>11</v>
      </c>
      <c r="D241" t="s">
        <v>111</v>
      </c>
      <c r="E241" t="str">
        <f>"003"</f>
        <v>003</v>
      </c>
      <c r="F241">
        <v>1993</v>
      </c>
      <c r="G241" s="5">
        <v>694800700</v>
      </c>
      <c r="H241" s="5">
        <v>59669200</v>
      </c>
      <c r="I241" s="5">
        <v>635131500</v>
      </c>
    </row>
    <row r="242" spans="1:9" x14ac:dyDescent="0.3">
      <c r="A242" t="s">
        <v>95</v>
      </c>
      <c r="B242" t="str">
        <f>"13255"</f>
        <v>13255</v>
      </c>
      <c r="C242" t="s">
        <v>11</v>
      </c>
      <c r="D242" t="s">
        <v>111</v>
      </c>
      <c r="E242" t="str">
        <f>"005"</f>
        <v>005</v>
      </c>
      <c r="F242">
        <v>2009</v>
      </c>
      <c r="G242" s="5">
        <v>171362200</v>
      </c>
      <c r="H242" s="5">
        <v>89665500</v>
      </c>
      <c r="I242" s="5">
        <v>81696700</v>
      </c>
    </row>
    <row r="243" spans="1:9" x14ac:dyDescent="0.3">
      <c r="A243" t="s">
        <v>95</v>
      </c>
      <c r="B243" t="str">
        <f t="shared" ref="B243:B248" si="9">"13258"</f>
        <v>13258</v>
      </c>
      <c r="C243" t="s">
        <v>11</v>
      </c>
      <c r="D243" t="s">
        <v>112</v>
      </c>
      <c r="E243" t="str">
        <f>"004"</f>
        <v>004</v>
      </c>
      <c r="F243">
        <v>2000</v>
      </c>
      <c r="G243" s="5">
        <v>55528400</v>
      </c>
      <c r="H243" s="5">
        <v>29942500</v>
      </c>
      <c r="I243" s="5">
        <v>25585900</v>
      </c>
    </row>
    <row r="244" spans="1:9" x14ac:dyDescent="0.3">
      <c r="A244" t="s">
        <v>95</v>
      </c>
      <c r="B244" t="str">
        <f t="shared" si="9"/>
        <v>13258</v>
      </c>
      <c r="C244" t="s">
        <v>11</v>
      </c>
      <c r="D244" t="s">
        <v>112</v>
      </c>
      <c r="E244" t="str">
        <f>"005"</f>
        <v>005</v>
      </c>
      <c r="F244">
        <v>2008</v>
      </c>
      <c r="G244" s="5">
        <v>27782500</v>
      </c>
      <c r="H244" s="5">
        <v>8979700</v>
      </c>
      <c r="I244" s="5">
        <v>18802800</v>
      </c>
    </row>
    <row r="245" spans="1:9" x14ac:dyDescent="0.3">
      <c r="A245" t="s">
        <v>95</v>
      </c>
      <c r="B245" t="str">
        <f t="shared" si="9"/>
        <v>13258</v>
      </c>
      <c r="C245" t="s">
        <v>11</v>
      </c>
      <c r="D245" t="s">
        <v>112</v>
      </c>
      <c r="E245" t="str">
        <f>"006"</f>
        <v>006</v>
      </c>
      <c r="F245">
        <v>2010</v>
      </c>
      <c r="G245" s="5">
        <v>44330700</v>
      </c>
      <c r="H245" s="5">
        <v>17693000</v>
      </c>
      <c r="I245" s="5">
        <v>26637700</v>
      </c>
    </row>
    <row r="246" spans="1:9" x14ac:dyDescent="0.3">
      <c r="A246" t="s">
        <v>95</v>
      </c>
      <c r="B246" t="str">
        <f t="shared" si="9"/>
        <v>13258</v>
      </c>
      <c r="C246" t="s">
        <v>11</v>
      </c>
      <c r="D246" t="s">
        <v>112</v>
      </c>
      <c r="E246" t="str">
        <f>"007"</f>
        <v>007</v>
      </c>
      <c r="F246">
        <v>2012</v>
      </c>
      <c r="G246" s="5">
        <v>16900100</v>
      </c>
      <c r="H246" s="5">
        <v>8247500</v>
      </c>
      <c r="I246" s="5">
        <v>8652600</v>
      </c>
    </row>
    <row r="247" spans="1:9" x14ac:dyDescent="0.3">
      <c r="A247" t="s">
        <v>95</v>
      </c>
      <c r="B247" t="str">
        <f t="shared" si="9"/>
        <v>13258</v>
      </c>
      <c r="C247" t="s">
        <v>11</v>
      </c>
      <c r="D247" t="s">
        <v>112</v>
      </c>
      <c r="E247" t="str">
        <f>"008"</f>
        <v>008</v>
      </c>
      <c r="F247">
        <v>2012</v>
      </c>
      <c r="G247" s="5">
        <v>26025000</v>
      </c>
      <c r="H247" s="5">
        <v>416000</v>
      </c>
      <c r="I247" s="5">
        <v>25609000</v>
      </c>
    </row>
    <row r="248" spans="1:9" x14ac:dyDescent="0.3">
      <c r="A248" t="s">
        <v>95</v>
      </c>
      <c r="B248" t="str">
        <f t="shared" si="9"/>
        <v>13258</v>
      </c>
      <c r="C248" t="s">
        <v>11</v>
      </c>
      <c r="D248" t="s">
        <v>112</v>
      </c>
      <c r="E248" t="str">
        <f>"009"</f>
        <v>009</v>
      </c>
      <c r="F248">
        <v>2015</v>
      </c>
      <c r="G248" s="5">
        <v>32924600</v>
      </c>
      <c r="H248" s="5">
        <v>7246100</v>
      </c>
      <c r="I248" s="5">
        <v>25678500</v>
      </c>
    </row>
    <row r="249" spans="1:9" x14ac:dyDescent="0.3">
      <c r="A249" t="s">
        <v>95</v>
      </c>
      <c r="B249" t="str">
        <f>"13157"</f>
        <v>13157</v>
      </c>
      <c r="C249" t="s">
        <v>12</v>
      </c>
      <c r="D249" t="s">
        <v>113</v>
      </c>
      <c r="E249" t="str">
        <f>"003"</f>
        <v>003</v>
      </c>
      <c r="F249">
        <v>2004</v>
      </c>
      <c r="G249" s="5">
        <v>39512900</v>
      </c>
      <c r="H249" s="5">
        <v>2588300</v>
      </c>
      <c r="I249" s="5">
        <v>36924600</v>
      </c>
    </row>
    <row r="250" spans="1:9" x14ac:dyDescent="0.3">
      <c r="A250" t="s">
        <v>95</v>
      </c>
      <c r="B250" t="str">
        <f>"13157"</f>
        <v>13157</v>
      </c>
      <c r="C250" t="s">
        <v>12</v>
      </c>
      <c r="D250" t="s">
        <v>113</v>
      </c>
      <c r="E250" t="str">
        <f>"004"</f>
        <v>004</v>
      </c>
      <c r="F250">
        <v>2007</v>
      </c>
      <c r="G250" s="5">
        <v>8528500</v>
      </c>
      <c r="H250" s="5">
        <v>3948100</v>
      </c>
      <c r="I250" s="5">
        <v>4580400</v>
      </c>
    </row>
    <row r="251" spans="1:9" x14ac:dyDescent="0.3">
      <c r="A251" t="s">
        <v>95</v>
      </c>
      <c r="B251" t="str">
        <f>"13157"</f>
        <v>13157</v>
      </c>
      <c r="C251" t="s">
        <v>12</v>
      </c>
      <c r="D251" t="s">
        <v>113</v>
      </c>
      <c r="E251" t="str">
        <f>"005"</f>
        <v>005</v>
      </c>
      <c r="F251">
        <v>2016</v>
      </c>
      <c r="G251" s="5">
        <v>58546500</v>
      </c>
      <c r="H251" s="5">
        <v>25350000</v>
      </c>
      <c r="I251" s="5">
        <v>33196500</v>
      </c>
    </row>
    <row r="252" spans="1:9" x14ac:dyDescent="0.3">
      <c r="A252" t="s">
        <v>95</v>
      </c>
      <c r="B252" t="str">
        <f>"13165"</f>
        <v>13165</v>
      </c>
      <c r="C252" t="s">
        <v>12</v>
      </c>
      <c r="D252" t="s">
        <v>114</v>
      </c>
      <c r="E252" t="str">
        <f>"003"</f>
        <v>003</v>
      </c>
      <c r="F252">
        <v>2005</v>
      </c>
      <c r="G252" s="5">
        <v>25883200</v>
      </c>
      <c r="H252" s="5">
        <v>15880800</v>
      </c>
      <c r="I252" s="5">
        <v>10002400</v>
      </c>
    </row>
    <row r="253" spans="1:9" x14ac:dyDescent="0.3">
      <c r="A253" t="s">
        <v>95</v>
      </c>
      <c r="B253" t="str">
        <f>"13165"</f>
        <v>13165</v>
      </c>
      <c r="C253" t="s">
        <v>12</v>
      </c>
      <c r="D253" t="s">
        <v>114</v>
      </c>
      <c r="E253" t="str">
        <f>"004"</f>
        <v>004</v>
      </c>
      <c r="F253">
        <v>2008</v>
      </c>
      <c r="G253" s="5">
        <v>17581000</v>
      </c>
      <c r="H253" s="5">
        <v>12818100</v>
      </c>
      <c r="I253" s="5">
        <v>4762900</v>
      </c>
    </row>
    <row r="254" spans="1:9" x14ac:dyDescent="0.3">
      <c r="A254" t="s">
        <v>95</v>
      </c>
      <c r="B254" t="str">
        <f>"13165"</f>
        <v>13165</v>
      </c>
      <c r="C254" t="s">
        <v>12</v>
      </c>
      <c r="D254" t="s">
        <v>114</v>
      </c>
      <c r="E254" t="str">
        <f>"005"</f>
        <v>005</v>
      </c>
      <c r="F254">
        <v>2017</v>
      </c>
      <c r="G254" s="5">
        <v>63428500</v>
      </c>
      <c r="H254" s="5">
        <v>53696700</v>
      </c>
      <c r="I254" s="5">
        <v>9731800</v>
      </c>
    </row>
    <row r="255" spans="1:9" x14ac:dyDescent="0.3">
      <c r="A255" t="s">
        <v>95</v>
      </c>
      <c r="B255" t="str">
        <f>"13181"</f>
        <v>13181</v>
      </c>
      <c r="C255" t="s">
        <v>12</v>
      </c>
      <c r="D255" t="s">
        <v>115</v>
      </c>
      <c r="E255" t="str">
        <f>"003"</f>
        <v>003</v>
      </c>
      <c r="F255">
        <v>2008</v>
      </c>
      <c r="G255" s="5">
        <v>70034600</v>
      </c>
      <c r="H255" s="5">
        <v>21225400</v>
      </c>
      <c r="I255" s="5">
        <v>48809200</v>
      </c>
    </row>
    <row r="256" spans="1:9" x14ac:dyDescent="0.3">
      <c r="A256" t="s">
        <v>95</v>
      </c>
      <c r="B256" t="str">
        <f>"13181"</f>
        <v>13181</v>
      </c>
      <c r="C256" t="s">
        <v>12</v>
      </c>
      <c r="D256" t="s">
        <v>115</v>
      </c>
      <c r="E256" t="str">
        <f>"004"</f>
        <v>004</v>
      </c>
      <c r="F256">
        <v>2010</v>
      </c>
      <c r="G256" s="5">
        <v>22679300</v>
      </c>
      <c r="H256" s="5">
        <v>8265800</v>
      </c>
      <c r="I256" s="5">
        <v>14413500</v>
      </c>
    </row>
    <row r="257" spans="1:9" x14ac:dyDescent="0.3">
      <c r="A257" t="s">
        <v>95</v>
      </c>
      <c r="B257" t="str">
        <f>"13181"</f>
        <v>13181</v>
      </c>
      <c r="C257" t="s">
        <v>12</v>
      </c>
      <c r="D257" t="s">
        <v>115</v>
      </c>
      <c r="E257" t="str">
        <f>"005"</f>
        <v>005</v>
      </c>
      <c r="F257">
        <v>2016</v>
      </c>
      <c r="G257" s="5">
        <v>12374600</v>
      </c>
      <c r="H257" s="5">
        <v>4252600</v>
      </c>
      <c r="I257" s="5">
        <v>8122000</v>
      </c>
    </row>
    <row r="258" spans="1:9" x14ac:dyDescent="0.3">
      <c r="A258" t="s">
        <v>95</v>
      </c>
      <c r="B258" t="str">
        <f>"13056"</f>
        <v>13056</v>
      </c>
      <c r="C258" t="s">
        <v>14</v>
      </c>
      <c r="D258" t="s">
        <v>116</v>
      </c>
      <c r="E258" t="str">
        <f>"001E"</f>
        <v>001E</v>
      </c>
      <c r="F258">
        <v>2014</v>
      </c>
      <c r="G258" s="5">
        <v>8855800</v>
      </c>
      <c r="H258" s="5">
        <v>408400</v>
      </c>
      <c r="I258" s="5">
        <v>8447400</v>
      </c>
    </row>
    <row r="259" spans="1:9" x14ac:dyDescent="0.3">
      <c r="A259" t="s">
        <v>95</v>
      </c>
      <c r="B259" t="str">
        <f t="shared" ref="B259:B264" si="10">"13281"</f>
        <v>13281</v>
      </c>
      <c r="C259" t="s">
        <v>11</v>
      </c>
      <c r="D259" t="s">
        <v>117</v>
      </c>
      <c r="E259" t="str">
        <f>"003"</f>
        <v>003</v>
      </c>
      <c r="F259">
        <v>1993</v>
      </c>
      <c r="G259" s="5">
        <v>23243800</v>
      </c>
      <c r="H259" s="5">
        <v>94000</v>
      </c>
      <c r="I259" s="5">
        <v>23149800</v>
      </c>
    </row>
    <row r="260" spans="1:9" x14ac:dyDescent="0.3">
      <c r="A260" t="s">
        <v>95</v>
      </c>
      <c r="B260" t="str">
        <f t="shared" si="10"/>
        <v>13281</v>
      </c>
      <c r="C260" t="s">
        <v>11</v>
      </c>
      <c r="D260" t="s">
        <v>117</v>
      </c>
      <c r="E260" t="str">
        <f>"004"</f>
        <v>004</v>
      </c>
      <c r="F260">
        <v>1999</v>
      </c>
      <c r="G260" s="5">
        <v>17631400</v>
      </c>
      <c r="H260" s="5">
        <v>9765300</v>
      </c>
      <c r="I260" s="5">
        <v>7866100</v>
      </c>
    </row>
    <row r="261" spans="1:9" x14ac:dyDescent="0.3">
      <c r="A261" t="s">
        <v>95</v>
      </c>
      <c r="B261" t="str">
        <f t="shared" si="10"/>
        <v>13281</v>
      </c>
      <c r="C261" t="s">
        <v>11</v>
      </c>
      <c r="D261" t="s">
        <v>117</v>
      </c>
      <c r="E261" t="str">
        <f>"005"</f>
        <v>005</v>
      </c>
      <c r="F261">
        <v>2010</v>
      </c>
      <c r="G261" s="5">
        <v>12510000</v>
      </c>
      <c r="H261" s="5">
        <v>10269200</v>
      </c>
      <c r="I261" s="5">
        <v>2240800</v>
      </c>
    </row>
    <row r="262" spans="1:9" x14ac:dyDescent="0.3">
      <c r="A262" t="s">
        <v>95</v>
      </c>
      <c r="B262" t="str">
        <f t="shared" si="10"/>
        <v>13281</v>
      </c>
      <c r="C262" t="s">
        <v>11</v>
      </c>
      <c r="D262" t="s">
        <v>117</v>
      </c>
      <c r="E262" t="str">
        <f>"006"</f>
        <v>006</v>
      </c>
      <c r="F262">
        <v>2015</v>
      </c>
      <c r="G262" s="5">
        <v>1107600</v>
      </c>
      <c r="H262" s="5">
        <v>10000</v>
      </c>
      <c r="I262" s="5">
        <v>1097600</v>
      </c>
    </row>
    <row r="263" spans="1:9" x14ac:dyDescent="0.3">
      <c r="A263" t="s">
        <v>95</v>
      </c>
      <c r="B263" t="str">
        <f t="shared" si="10"/>
        <v>13281</v>
      </c>
      <c r="C263" t="s">
        <v>11</v>
      </c>
      <c r="D263" t="s">
        <v>117</v>
      </c>
      <c r="E263" t="str">
        <f>"007"</f>
        <v>007</v>
      </c>
      <c r="F263">
        <v>2015</v>
      </c>
      <c r="G263" s="5">
        <v>35544300</v>
      </c>
      <c r="H263" s="5">
        <v>1111800</v>
      </c>
      <c r="I263" s="5">
        <v>34432500</v>
      </c>
    </row>
    <row r="264" spans="1:9" x14ac:dyDescent="0.3">
      <c r="A264" t="s">
        <v>95</v>
      </c>
      <c r="B264" t="str">
        <f t="shared" si="10"/>
        <v>13281</v>
      </c>
      <c r="C264" t="s">
        <v>11</v>
      </c>
      <c r="D264" t="s">
        <v>117</v>
      </c>
      <c r="E264" t="str">
        <f>"008"</f>
        <v>008</v>
      </c>
      <c r="F264">
        <v>2018</v>
      </c>
      <c r="G264" s="5">
        <v>7629300</v>
      </c>
      <c r="H264" s="5">
        <v>7376600</v>
      </c>
      <c r="I264" s="5">
        <v>252700</v>
      </c>
    </row>
    <row r="265" spans="1:9" x14ac:dyDescent="0.3">
      <c r="A265" t="s">
        <v>95</v>
      </c>
      <c r="B265" t="str">
        <f t="shared" ref="B265:B270" si="11">"13282"</f>
        <v>13282</v>
      </c>
      <c r="C265" t="s">
        <v>11</v>
      </c>
      <c r="D265" t="s">
        <v>118</v>
      </c>
      <c r="E265" t="str">
        <f>"006"</f>
        <v>006</v>
      </c>
      <c r="F265">
        <v>1997</v>
      </c>
      <c r="G265" s="5">
        <v>7071300</v>
      </c>
      <c r="H265" s="5">
        <v>117600</v>
      </c>
      <c r="I265" s="5">
        <v>6953700</v>
      </c>
    </row>
    <row r="266" spans="1:9" x14ac:dyDescent="0.3">
      <c r="A266" t="s">
        <v>95</v>
      </c>
      <c r="B266" t="str">
        <f t="shared" si="11"/>
        <v>13282</v>
      </c>
      <c r="C266" t="s">
        <v>11</v>
      </c>
      <c r="D266" t="s">
        <v>118</v>
      </c>
      <c r="E266" t="str">
        <f>"008"</f>
        <v>008</v>
      </c>
      <c r="F266">
        <v>2002</v>
      </c>
      <c r="G266" s="5">
        <v>110776300</v>
      </c>
      <c r="H266" s="5">
        <v>22279000</v>
      </c>
      <c r="I266" s="5">
        <v>88497300</v>
      </c>
    </row>
    <row r="267" spans="1:9" x14ac:dyDescent="0.3">
      <c r="A267" t="s">
        <v>95</v>
      </c>
      <c r="B267" t="str">
        <f t="shared" si="11"/>
        <v>13282</v>
      </c>
      <c r="C267" t="s">
        <v>11</v>
      </c>
      <c r="D267" t="s">
        <v>118</v>
      </c>
      <c r="E267" t="str">
        <f>"009"</f>
        <v>009</v>
      </c>
      <c r="F267">
        <v>2007</v>
      </c>
      <c r="G267" s="5">
        <v>97500000</v>
      </c>
      <c r="H267" s="5">
        <v>12294900</v>
      </c>
      <c r="I267" s="5">
        <v>85205100</v>
      </c>
    </row>
    <row r="268" spans="1:9" x14ac:dyDescent="0.3">
      <c r="A268" t="s">
        <v>95</v>
      </c>
      <c r="B268" t="str">
        <f t="shared" si="11"/>
        <v>13282</v>
      </c>
      <c r="C268" t="s">
        <v>11</v>
      </c>
      <c r="D268" t="s">
        <v>118</v>
      </c>
      <c r="E268" t="str">
        <f>"011"</f>
        <v>011</v>
      </c>
      <c r="F268">
        <v>2015</v>
      </c>
      <c r="G268" s="5">
        <v>69614100</v>
      </c>
      <c r="H268" s="5">
        <v>32499300</v>
      </c>
      <c r="I268" s="5">
        <v>37114800</v>
      </c>
    </row>
    <row r="269" spans="1:9" x14ac:dyDescent="0.3">
      <c r="A269" t="s">
        <v>95</v>
      </c>
      <c r="B269" t="str">
        <f t="shared" si="11"/>
        <v>13282</v>
      </c>
      <c r="C269" t="s">
        <v>11</v>
      </c>
      <c r="D269" t="s">
        <v>118</v>
      </c>
      <c r="E269" t="str">
        <f>"012"</f>
        <v>012</v>
      </c>
      <c r="F269">
        <v>2016</v>
      </c>
      <c r="G269" s="5">
        <v>13709800</v>
      </c>
      <c r="H269" s="5">
        <v>3774500</v>
      </c>
      <c r="I269" s="5">
        <v>9935300</v>
      </c>
    </row>
    <row r="270" spans="1:9" x14ac:dyDescent="0.3">
      <c r="A270" t="s">
        <v>95</v>
      </c>
      <c r="B270" t="str">
        <f t="shared" si="11"/>
        <v>13282</v>
      </c>
      <c r="C270" t="s">
        <v>11</v>
      </c>
      <c r="D270" t="s">
        <v>118</v>
      </c>
      <c r="E270" t="str">
        <f>"013"</f>
        <v>013</v>
      </c>
      <c r="F270">
        <v>2017</v>
      </c>
      <c r="G270" s="5">
        <v>26376200</v>
      </c>
      <c r="H270" s="5">
        <v>618200</v>
      </c>
      <c r="I270" s="5">
        <v>25758000</v>
      </c>
    </row>
    <row r="271" spans="1:9" x14ac:dyDescent="0.3">
      <c r="A271" t="s">
        <v>95</v>
      </c>
      <c r="B271" t="str">
        <f>"13286"</f>
        <v>13286</v>
      </c>
      <c r="C271" t="s">
        <v>11</v>
      </c>
      <c r="D271" t="s">
        <v>119</v>
      </c>
      <c r="E271" t="str">
        <f>"004"</f>
        <v>004</v>
      </c>
      <c r="F271">
        <v>1996</v>
      </c>
      <c r="G271" s="5">
        <v>43254300</v>
      </c>
      <c r="H271" s="5">
        <v>8842400</v>
      </c>
      <c r="I271" s="5">
        <v>34411900</v>
      </c>
    </row>
    <row r="272" spans="1:9" x14ac:dyDescent="0.3">
      <c r="A272" t="s">
        <v>95</v>
      </c>
      <c r="B272" t="str">
        <f>"13286"</f>
        <v>13286</v>
      </c>
      <c r="C272" t="s">
        <v>11</v>
      </c>
      <c r="D272" t="s">
        <v>119</v>
      </c>
      <c r="E272" t="str">
        <f>"006"</f>
        <v>006</v>
      </c>
      <c r="F272">
        <v>2000</v>
      </c>
      <c r="G272" s="5">
        <v>80000000</v>
      </c>
      <c r="H272" s="5">
        <v>475200</v>
      </c>
      <c r="I272" s="5">
        <v>79524800</v>
      </c>
    </row>
    <row r="273" spans="1:9" x14ac:dyDescent="0.3">
      <c r="A273" t="s">
        <v>95</v>
      </c>
      <c r="B273" t="str">
        <f>"13286"</f>
        <v>13286</v>
      </c>
      <c r="C273" t="s">
        <v>11</v>
      </c>
      <c r="D273" t="s">
        <v>119</v>
      </c>
      <c r="E273" t="str">
        <f>"008"</f>
        <v>008</v>
      </c>
      <c r="F273">
        <v>2017</v>
      </c>
      <c r="G273" s="5">
        <v>29164700</v>
      </c>
      <c r="H273" s="5">
        <v>29164700</v>
      </c>
      <c r="I273" s="5">
        <v>0</v>
      </c>
    </row>
    <row r="274" spans="1:9" x14ac:dyDescent="0.3">
      <c r="A274" t="s">
        <v>95</v>
      </c>
      <c r="B274" t="str">
        <f>"13286"</f>
        <v>13286</v>
      </c>
      <c r="C274" t="s">
        <v>11</v>
      </c>
      <c r="D274" t="s">
        <v>119</v>
      </c>
      <c r="E274" t="str">
        <f>"009"</f>
        <v>009</v>
      </c>
      <c r="F274">
        <v>2017</v>
      </c>
      <c r="G274" s="5">
        <v>6218300</v>
      </c>
      <c r="H274" s="5">
        <v>5619100</v>
      </c>
      <c r="I274" s="5">
        <v>599200</v>
      </c>
    </row>
    <row r="275" spans="1:9" x14ac:dyDescent="0.3">
      <c r="A275" t="s">
        <v>95</v>
      </c>
      <c r="B275" t="str">
        <f t="shared" ref="B275:B282" si="12">"13191"</f>
        <v>13191</v>
      </c>
      <c r="C275" t="s">
        <v>12</v>
      </c>
      <c r="D275" t="s">
        <v>120</v>
      </c>
      <c r="E275" t="str">
        <f>"002"</f>
        <v>002</v>
      </c>
      <c r="F275">
        <v>2000</v>
      </c>
      <c r="G275" s="5">
        <v>21569800</v>
      </c>
      <c r="H275" s="5">
        <v>98800</v>
      </c>
      <c r="I275" s="5">
        <v>21471000</v>
      </c>
    </row>
    <row r="276" spans="1:9" x14ac:dyDescent="0.3">
      <c r="A276" t="s">
        <v>95</v>
      </c>
      <c r="B276" t="str">
        <f t="shared" si="12"/>
        <v>13191</v>
      </c>
      <c r="C276" t="s">
        <v>12</v>
      </c>
      <c r="D276" t="s">
        <v>120</v>
      </c>
      <c r="E276" t="str">
        <f>"003"</f>
        <v>003</v>
      </c>
      <c r="F276">
        <v>2000</v>
      </c>
      <c r="G276" s="5">
        <v>59295300</v>
      </c>
      <c r="H276" s="5">
        <v>634700</v>
      </c>
      <c r="I276" s="5">
        <v>58660600</v>
      </c>
    </row>
    <row r="277" spans="1:9" x14ac:dyDescent="0.3">
      <c r="A277" t="s">
        <v>95</v>
      </c>
      <c r="B277" t="str">
        <f t="shared" si="12"/>
        <v>13191</v>
      </c>
      <c r="C277" t="s">
        <v>12</v>
      </c>
      <c r="D277" t="s">
        <v>120</v>
      </c>
      <c r="E277" t="str">
        <f>"004"</f>
        <v>004</v>
      </c>
      <c r="F277">
        <v>2003</v>
      </c>
      <c r="G277" s="5">
        <v>6203800</v>
      </c>
      <c r="H277" s="5">
        <v>677400</v>
      </c>
      <c r="I277" s="5">
        <v>5526400</v>
      </c>
    </row>
    <row r="278" spans="1:9" x14ac:dyDescent="0.3">
      <c r="A278" t="s">
        <v>95</v>
      </c>
      <c r="B278" t="str">
        <f t="shared" si="12"/>
        <v>13191</v>
      </c>
      <c r="C278" t="s">
        <v>12</v>
      </c>
      <c r="D278" t="s">
        <v>120</v>
      </c>
      <c r="E278" t="str">
        <f>"005"</f>
        <v>005</v>
      </c>
      <c r="F278">
        <v>2005</v>
      </c>
      <c r="G278" s="5">
        <v>54460800</v>
      </c>
      <c r="H278" s="5">
        <v>27543200</v>
      </c>
      <c r="I278" s="5">
        <v>26917600</v>
      </c>
    </row>
    <row r="279" spans="1:9" x14ac:dyDescent="0.3">
      <c r="A279" t="s">
        <v>95</v>
      </c>
      <c r="B279" t="str">
        <f t="shared" si="12"/>
        <v>13191</v>
      </c>
      <c r="C279" t="s">
        <v>12</v>
      </c>
      <c r="D279" t="s">
        <v>120</v>
      </c>
      <c r="E279" t="str">
        <f>"006"</f>
        <v>006</v>
      </c>
      <c r="F279">
        <v>2015</v>
      </c>
      <c r="G279" s="5">
        <v>78088500</v>
      </c>
      <c r="H279" s="5">
        <v>11761100</v>
      </c>
      <c r="I279" s="5">
        <v>66327400</v>
      </c>
    </row>
    <row r="280" spans="1:9" x14ac:dyDescent="0.3">
      <c r="A280" t="s">
        <v>95</v>
      </c>
      <c r="B280" t="str">
        <f t="shared" si="12"/>
        <v>13191</v>
      </c>
      <c r="C280" t="s">
        <v>12</v>
      </c>
      <c r="D280" t="s">
        <v>120</v>
      </c>
      <c r="E280" t="str">
        <f>"007"</f>
        <v>007</v>
      </c>
      <c r="F280">
        <v>2016</v>
      </c>
      <c r="G280" s="5">
        <v>9814200</v>
      </c>
      <c r="H280" s="5">
        <v>4445700</v>
      </c>
      <c r="I280" s="5">
        <v>5368500</v>
      </c>
    </row>
    <row r="281" spans="1:9" x14ac:dyDescent="0.3">
      <c r="A281" t="s">
        <v>95</v>
      </c>
      <c r="B281" t="str">
        <f t="shared" si="12"/>
        <v>13191</v>
      </c>
      <c r="C281" t="s">
        <v>12</v>
      </c>
      <c r="D281" t="s">
        <v>120</v>
      </c>
      <c r="E281" t="str">
        <f>"008"</f>
        <v>008</v>
      </c>
      <c r="F281">
        <v>2018</v>
      </c>
      <c r="G281" s="5">
        <v>34024800</v>
      </c>
      <c r="H281" s="5">
        <v>15985400</v>
      </c>
      <c r="I281" s="5">
        <v>18039400</v>
      </c>
    </row>
    <row r="282" spans="1:9" x14ac:dyDescent="0.3">
      <c r="A282" t="s">
        <v>95</v>
      </c>
      <c r="B282" t="str">
        <f t="shared" si="12"/>
        <v>13191</v>
      </c>
      <c r="C282" t="s">
        <v>12</v>
      </c>
      <c r="D282" t="s">
        <v>120</v>
      </c>
      <c r="E282" t="str">
        <f>"009"</f>
        <v>009</v>
      </c>
      <c r="F282">
        <v>2018</v>
      </c>
      <c r="G282" s="5">
        <v>1055700</v>
      </c>
      <c r="H282" s="5">
        <v>1147000</v>
      </c>
      <c r="I282" s="5">
        <v>-91300</v>
      </c>
    </row>
    <row r="283" spans="1:9" x14ac:dyDescent="0.3">
      <c r="A283" t="s">
        <v>95</v>
      </c>
      <c r="B283" t="str">
        <f>"13196"</f>
        <v>13196</v>
      </c>
      <c r="C283" t="s">
        <v>12</v>
      </c>
      <c r="D283" t="s">
        <v>121</v>
      </c>
      <c r="E283" t="str">
        <f>"001"</f>
        <v>001</v>
      </c>
      <c r="F283">
        <v>2014</v>
      </c>
      <c r="G283" s="5">
        <v>23251500</v>
      </c>
      <c r="H283" s="5">
        <v>382600</v>
      </c>
      <c r="I283" s="5">
        <v>22868900</v>
      </c>
    </row>
    <row r="284" spans="1:9" x14ac:dyDescent="0.3">
      <c r="A284" t="s">
        <v>122</v>
      </c>
      <c r="B284" t="str">
        <f>"14206"</f>
        <v>14206</v>
      </c>
      <c r="C284" t="s">
        <v>11</v>
      </c>
      <c r="D284" t="s">
        <v>123</v>
      </c>
      <c r="E284" t="str">
        <f>"004"</f>
        <v>004</v>
      </c>
      <c r="F284">
        <v>1994</v>
      </c>
      <c r="G284" s="5">
        <v>81739400</v>
      </c>
      <c r="H284" s="5">
        <v>10065100</v>
      </c>
      <c r="I284" s="5">
        <v>71674300</v>
      </c>
    </row>
    <row r="285" spans="1:9" x14ac:dyDescent="0.3">
      <c r="A285" t="s">
        <v>122</v>
      </c>
      <c r="B285" t="str">
        <f>"14206"</f>
        <v>14206</v>
      </c>
      <c r="C285" t="s">
        <v>11</v>
      </c>
      <c r="D285" t="s">
        <v>123</v>
      </c>
      <c r="E285" t="str">
        <f>"006"</f>
        <v>006</v>
      </c>
      <c r="F285">
        <v>2009</v>
      </c>
      <c r="G285" s="5">
        <v>7086200</v>
      </c>
      <c r="H285" s="5">
        <v>832700</v>
      </c>
      <c r="I285" s="5">
        <v>6253500</v>
      </c>
    </row>
    <row r="286" spans="1:9" x14ac:dyDescent="0.3">
      <c r="A286" t="s">
        <v>122</v>
      </c>
      <c r="B286" t="str">
        <f>"14206"</f>
        <v>14206</v>
      </c>
      <c r="C286" t="s">
        <v>11</v>
      </c>
      <c r="D286" t="s">
        <v>123</v>
      </c>
      <c r="E286" t="str">
        <f>"007"</f>
        <v>007</v>
      </c>
      <c r="F286">
        <v>2016</v>
      </c>
      <c r="G286" s="5">
        <v>26649300</v>
      </c>
      <c r="H286" s="5">
        <v>0</v>
      </c>
      <c r="I286" s="5">
        <v>26649300</v>
      </c>
    </row>
    <row r="287" spans="1:9" x14ac:dyDescent="0.3">
      <c r="A287" t="s">
        <v>122</v>
      </c>
      <c r="B287" t="str">
        <f>"14206"</f>
        <v>14206</v>
      </c>
      <c r="C287" t="s">
        <v>11</v>
      </c>
      <c r="D287" t="s">
        <v>123</v>
      </c>
      <c r="E287" t="str">
        <f>"008"</f>
        <v>008</v>
      </c>
      <c r="F287">
        <v>2018</v>
      </c>
      <c r="G287" s="5">
        <v>17008000</v>
      </c>
      <c r="H287" s="5">
        <v>7192000</v>
      </c>
      <c r="I287" s="5">
        <v>9816000</v>
      </c>
    </row>
    <row r="288" spans="1:9" x14ac:dyDescent="0.3">
      <c r="A288" t="s">
        <v>122</v>
      </c>
      <c r="B288" t="str">
        <f>"14206"</f>
        <v>14206</v>
      </c>
      <c r="C288" t="s">
        <v>11</v>
      </c>
      <c r="D288" t="s">
        <v>123</v>
      </c>
      <c r="E288" t="str">
        <f>"009"</f>
        <v>009</v>
      </c>
      <c r="F288">
        <v>2019</v>
      </c>
      <c r="G288" s="5">
        <v>642900</v>
      </c>
      <c r="H288" s="5">
        <v>642700</v>
      </c>
      <c r="I288" s="5">
        <v>200</v>
      </c>
    </row>
    <row r="289" spans="1:9" x14ac:dyDescent="0.3">
      <c r="A289" t="s">
        <v>122</v>
      </c>
      <c r="B289" t="str">
        <f>"14226"</f>
        <v>14226</v>
      </c>
      <c r="C289" t="s">
        <v>11</v>
      </c>
      <c r="D289" t="s">
        <v>124</v>
      </c>
      <c r="E289" t="str">
        <f>"002"</f>
        <v>002</v>
      </c>
      <c r="F289">
        <v>2015</v>
      </c>
      <c r="G289" s="5">
        <v>14064600</v>
      </c>
      <c r="H289" s="5">
        <v>7196000</v>
      </c>
      <c r="I289" s="5">
        <v>6868600</v>
      </c>
    </row>
    <row r="290" spans="1:9" x14ac:dyDescent="0.3">
      <c r="A290" t="s">
        <v>122</v>
      </c>
      <c r="B290" t="str">
        <f>"14226"</f>
        <v>14226</v>
      </c>
      <c r="C290" t="s">
        <v>11</v>
      </c>
      <c r="D290" t="s">
        <v>124</v>
      </c>
      <c r="E290" t="str">
        <f>"003"</f>
        <v>003</v>
      </c>
      <c r="F290">
        <v>2016</v>
      </c>
      <c r="G290" s="5">
        <v>8778600</v>
      </c>
      <c r="H290" s="5">
        <v>4634300</v>
      </c>
      <c r="I290" s="5">
        <v>4144300</v>
      </c>
    </row>
    <row r="291" spans="1:9" x14ac:dyDescent="0.3">
      <c r="A291" t="s">
        <v>122</v>
      </c>
      <c r="B291" t="str">
        <f>"14230"</f>
        <v>14230</v>
      </c>
      <c r="C291" t="s">
        <v>11</v>
      </c>
      <c r="D291" t="s">
        <v>125</v>
      </c>
      <c r="E291" t="str">
        <f>"007"</f>
        <v>007</v>
      </c>
      <c r="F291">
        <v>2011</v>
      </c>
      <c r="G291" s="5">
        <v>6451300</v>
      </c>
      <c r="H291" s="5">
        <v>13800</v>
      </c>
      <c r="I291" s="5">
        <v>6437500</v>
      </c>
    </row>
    <row r="292" spans="1:9" x14ac:dyDescent="0.3">
      <c r="A292" t="s">
        <v>122</v>
      </c>
      <c r="B292" t="str">
        <f>"14230"</f>
        <v>14230</v>
      </c>
      <c r="C292" t="s">
        <v>11</v>
      </c>
      <c r="D292" t="s">
        <v>125</v>
      </c>
      <c r="E292" t="str">
        <f>"009"</f>
        <v>009</v>
      </c>
      <c r="F292">
        <v>2015</v>
      </c>
      <c r="G292" s="5">
        <v>11004100</v>
      </c>
      <c r="H292" s="5">
        <v>4428900</v>
      </c>
      <c r="I292" s="5">
        <v>6575200</v>
      </c>
    </row>
    <row r="293" spans="1:9" x14ac:dyDescent="0.3">
      <c r="A293" t="s">
        <v>122</v>
      </c>
      <c r="B293" t="str">
        <f>"14236"</f>
        <v>14236</v>
      </c>
      <c r="C293" t="s">
        <v>11</v>
      </c>
      <c r="D293" t="s">
        <v>126</v>
      </c>
      <c r="E293" t="str">
        <f>"004"</f>
        <v>004</v>
      </c>
      <c r="F293">
        <v>2007</v>
      </c>
      <c r="G293" s="5">
        <v>16817700</v>
      </c>
      <c r="H293" s="5">
        <v>4962700</v>
      </c>
      <c r="I293" s="5">
        <v>11855000</v>
      </c>
    </row>
    <row r="294" spans="1:9" x14ac:dyDescent="0.3">
      <c r="A294" t="s">
        <v>122</v>
      </c>
      <c r="B294" t="str">
        <f>"14236"</f>
        <v>14236</v>
      </c>
      <c r="C294" t="s">
        <v>11</v>
      </c>
      <c r="D294" t="s">
        <v>126</v>
      </c>
      <c r="E294" t="str">
        <f>"005"</f>
        <v>005</v>
      </c>
      <c r="F294">
        <v>2015</v>
      </c>
      <c r="G294" s="5">
        <v>31837100</v>
      </c>
      <c r="H294" s="5">
        <v>4402600</v>
      </c>
      <c r="I294" s="5">
        <v>27434500</v>
      </c>
    </row>
    <row r="295" spans="1:9" x14ac:dyDescent="0.3">
      <c r="A295" t="s">
        <v>122</v>
      </c>
      <c r="B295" t="str">
        <f>"14236"</f>
        <v>14236</v>
      </c>
      <c r="C295" t="s">
        <v>11</v>
      </c>
      <c r="D295" t="s">
        <v>126</v>
      </c>
      <c r="E295" t="str">
        <f>"006"</f>
        <v>006</v>
      </c>
      <c r="F295">
        <v>2017</v>
      </c>
      <c r="G295" s="5">
        <v>14477700</v>
      </c>
      <c r="H295" s="5">
        <v>13427800</v>
      </c>
      <c r="I295" s="5">
        <v>1049900</v>
      </c>
    </row>
    <row r="296" spans="1:9" x14ac:dyDescent="0.3">
      <c r="A296" t="s">
        <v>122</v>
      </c>
      <c r="B296" t="str">
        <f>"14136"</f>
        <v>14136</v>
      </c>
      <c r="C296" t="s">
        <v>12</v>
      </c>
      <c r="D296" t="s">
        <v>127</v>
      </c>
      <c r="E296" t="str">
        <f>"001"</f>
        <v>001</v>
      </c>
      <c r="F296">
        <v>2017</v>
      </c>
      <c r="G296" s="5">
        <v>7224800</v>
      </c>
      <c r="H296" s="5">
        <v>5412600</v>
      </c>
      <c r="I296" s="5">
        <v>1812200</v>
      </c>
    </row>
    <row r="297" spans="1:9" x14ac:dyDescent="0.3">
      <c r="A297" t="s">
        <v>122</v>
      </c>
      <c r="B297" t="str">
        <f>"14241"</f>
        <v>14241</v>
      </c>
      <c r="C297" t="s">
        <v>11</v>
      </c>
      <c r="D297" t="s">
        <v>128</v>
      </c>
      <c r="E297" t="str">
        <f>"004"</f>
        <v>004</v>
      </c>
      <c r="F297">
        <v>2018</v>
      </c>
      <c r="G297" s="5">
        <v>8891300</v>
      </c>
      <c r="H297" s="5">
        <v>7477100</v>
      </c>
      <c r="I297" s="5">
        <v>1414200</v>
      </c>
    </row>
    <row r="298" spans="1:9" x14ac:dyDescent="0.3">
      <c r="A298" t="s">
        <v>122</v>
      </c>
      <c r="B298" t="str">
        <f>"14146"</f>
        <v>14146</v>
      </c>
      <c r="C298" t="s">
        <v>12</v>
      </c>
      <c r="D298" t="s">
        <v>129</v>
      </c>
      <c r="E298" t="str">
        <f>"004"</f>
        <v>004</v>
      </c>
      <c r="F298">
        <v>2006</v>
      </c>
      <c r="G298" s="5">
        <v>12766800</v>
      </c>
      <c r="H298" s="5">
        <v>894000</v>
      </c>
      <c r="I298" s="5">
        <v>11872800</v>
      </c>
    </row>
    <row r="299" spans="1:9" x14ac:dyDescent="0.3">
      <c r="A299" t="s">
        <v>122</v>
      </c>
      <c r="B299" t="str">
        <f>"14146"</f>
        <v>14146</v>
      </c>
      <c r="C299" t="s">
        <v>12</v>
      </c>
      <c r="D299" t="s">
        <v>129</v>
      </c>
      <c r="E299" t="str">
        <f>"005"</f>
        <v>005</v>
      </c>
      <c r="F299">
        <v>2015</v>
      </c>
      <c r="G299" s="5">
        <v>13917000</v>
      </c>
      <c r="H299" s="5">
        <v>297600</v>
      </c>
      <c r="I299" s="5">
        <v>13619400</v>
      </c>
    </row>
    <row r="300" spans="1:9" x14ac:dyDescent="0.3">
      <c r="A300" t="s">
        <v>122</v>
      </c>
      <c r="B300" t="str">
        <f>"14251"</f>
        <v>14251</v>
      </c>
      <c r="C300" t="s">
        <v>11</v>
      </c>
      <c r="D300" t="s">
        <v>130</v>
      </c>
      <c r="E300" t="str">
        <f>"004"</f>
        <v>004</v>
      </c>
      <c r="F300">
        <v>2009</v>
      </c>
      <c r="G300" s="5">
        <v>2368200</v>
      </c>
      <c r="H300" s="5">
        <v>1548600</v>
      </c>
      <c r="I300" s="5">
        <v>819600</v>
      </c>
    </row>
    <row r="301" spans="1:9" x14ac:dyDescent="0.3">
      <c r="A301" t="s">
        <v>122</v>
      </c>
      <c r="B301" t="str">
        <f>"14251"</f>
        <v>14251</v>
      </c>
      <c r="C301" t="s">
        <v>11</v>
      </c>
      <c r="D301" t="s">
        <v>130</v>
      </c>
      <c r="E301" t="str">
        <f>"005"</f>
        <v>005</v>
      </c>
      <c r="F301">
        <v>2013</v>
      </c>
      <c r="G301" s="5">
        <v>6187900</v>
      </c>
      <c r="H301" s="5">
        <v>2333200</v>
      </c>
      <c r="I301" s="5">
        <v>3854700</v>
      </c>
    </row>
    <row r="302" spans="1:9" x14ac:dyDescent="0.3">
      <c r="A302" t="s">
        <v>122</v>
      </c>
      <c r="B302" t="str">
        <f>"14177"</f>
        <v>14177</v>
      </c>
      <c r="C302" t="s">
        <v>12</v>
      </c>
      <c r="D302" t="s">
        <v>131</v>
      </c>
      <c r="E302" t="str">
        <f>"002"</f>
        <v>002</v>
      </c>
      <c r="F302">
        <v>1998</v>
      </c>
      <c r="G302" s="5">
        <v>8600</v>
      </c>
      <c r="H302" s="5">
        <v>26900</v>
      </c>
      <c r="I302" s="5">
        <v>-18300</v>
      </c>
    </row>
    <row r="303" spans="1:9" x14ac:dyDescent="0.3">
      <c r="A303" t="s">
        <v>122</v>
      </c>
      <c r="B303" t="str">
        <f>"14177"</f>
        <v>14177</v>
      </c>
      <c r="C303" t="s">
        <v>12</v>
      </c>
      <c r="D303" t="s">
        <v>131</v>
      </c>
      <c r="E303" t="str">
        <f>"003"</f>
        <v>003</v>
      </c>
      <c r="F303">
        <v>2011</v>
      </c>
      <c r="G303" s="5">
        <v>8062900</v>
      </c>
      <c r="H303" s="5">
        <v>912700</v>
      </c>
      <c r="I303" s="5">
        <v>7150200</v>
      </c>
    </row>
    <row r="304" spans="1:9" x14ac:dyDescent="0.3">
      <c r="A304" t="s">
        <v>122</v>
      </c>
      <c r="B304" t="str">
        <f>"14292"</f>
        <v>14292</v>
      </c>
      <c r="C304" t="s">
        <v>11</v>
      </c>
      <c r="D304" t="s">
        <v>132</v>
      </c>
      <c r="E304" t="str">
        <f>"001"</f>
        <v>001</v>
      </c>
      <c r="F304">
        <v>1987</v>
      </c>
      <c r="G304" s="5">
        <v>13481300</v>
      </c>
      <c r="H304" s="5">
        <v>858500</v>
      </c>
      <c r="I304" s="5">
        <v>12622800</v>
      </c>
    </row>
    <row r="305" spans="1:9" x14ac:dyDescent="0.3">
      <c r="A305" t="s">
        <v>122</v>
      </c>
      <c r="B305" t="str">
        <f>"14292"</f>
        <v>14292</v>
      </c>
      <c r="C305" t="s">
        <v>11</v>
      </c>
      <c r="D305" t="s">
        <v>132</v>
      </c>
      <c r="E305" t="str">
        <f>"003"</f>
        <v>003</v>
      </c>
      <c r="F305">
        <v>2005</v>
      </c>
      <c r="G305" s="5">
        <v>8928500</v>
      </c>
      <c r="H305" s="5">
        <v>7038800</v>
      </c>
      <c r="I305" s="5">
        <v>1889700</v>
      </c>
    </row>
    <row r="306" spans="1:9" x14ac:dyDescent="0.3">
      <c r="A306" t="s">
        <v>122</v>
      </c>
      <c r="B306" t="str">
        <f>"14292"</f>
        <v>14292</v>
      </c>
      <c r="C306" t="s">
        <v>11</v>
      </c>
      <c r="D306" t="s">
        <v>132</v>
      </c>
      <c r="E306" t="str">
        <f>"005"</f>
        <v>005</v>
      </c>
      <c r="F306">
        <v>2008</v>
      </c>
      <c r="G306" s="5">
        <v>17921500</v>
      </c>
      <c r="H306" s="5">
        <v>1950300</v>
      </c>
      <c r="I306" s="5">
        <v>15971200</v>
      </c>
    </row>
    <row r="307" spans="1:9" x14ac:dyDescent="0.3">
      <c r="A307" t="s">
        <v>122</v>
      </c>
      <c r="B307" t="str">
        <f>"14292"</f>
        <v>14292</v>
      </c>
      <c r="C307" t="s">
        <v>11</v>
      </c>
      <c r="D307" t="s">
        <v>132</v>
      </c>
      <c r="E307" t="str">
        <f>"006"</f>
        <v>006</v>
      </c>
      <c r="F307">
        <v>2012</v>
      </c>
      <c r="G307" s="5">
        <v>11285100</v>
      </c>
      <c r="H307" s="5">
        <v>5180600</v>
      </c>
      <c r="I307" s="5">
        <v>6104500</v>
      </c>
    </row>
    <row r="308" spans="1:9" x14ac:dyDescent="0.3">
      <c r="A308" t="s">
        <v>122</v>
      </c>
      <c r="B308" t="str">
        <f>"14292"</f>
        <v>14292</v>
      </c>
      <c r="C308" t="s">
        <v>11</v>
      </c>
      <c r="D308" t="s">
        <v>132</v>
      </c>
      <c r="E308" t="str">
        <f>"007"</f>
        <v>007</v>
      </c>
      <c r="F308">
        <v>2017</v>
      </c>
      <c r="G308" s="5">
        <v>2983300</v>
      </c>
      <c r="H308" s="5">
        <v>22100</v>
      </c>
      <c r="I308" s="5">
        <v>2961200</v>
      </c>
    </row>
    <row r="309" spans="1:9" x14ac:dyDescent="0.3">
      <c r="A309" t="s">
        <v>133</v>
      </c>
      <c r="B309" t="str">
        <f>"15181"</f>
        <v>15181</v>
      </c>
      <c r="C309" t="s">
        <v>12</v>
      </c>
      <c r="D309" t="s">
        <v>134</v>
      </c>
      <c r="E309" t="str">
        <f>"001"</f>
        <v>001</v>
      </c>
      <c r="F309">
        <v>2008</v>
      </c>
      <c r="G309" s="5">
        <v>62020600</v>
      </c>
      <c r="H309" s="5">
        <v>44718300</v>
      </c>
      <c r="I309" s="5">
        <v>17302300</v>
      </c>
    </row>
    <row r="310" spans="1:9" x14ac:dyDescent="0.3">
      <c r="A310" t="s">
        <v>133</v>
      </c>
      <c r="B310" t="str">
        <f>"15181"</f>
        <v>15181</v>
      </c>
      <c r="C310" t="s">
        <v>12</v>
      </c>
      <c r="D310" t="s">
        <v>134</v>
      </c>
      <c r="E310" t="str">
        <f>"002"</f>
        <v>002</v>
      </c>
      <c r="F310">
        <v>2018</v>
      </c>
      <c r="G310" s="5">
        <v>9665000</v>
      </c>
      <c r="H310" s="5">
        <v>9649500</v>
      </c>
      <c r="I310" s="5">
        <v>15500</v>
      </c>
    </row>
    <row r="311" spans="1:9" x14ac:dyDescent="0.3">
      <c r="A311" t="s">
        <v>133</v>
      </c>
      <c r="B311" t="str">
        <f>"15281"</f>
        <v>15281</v>
      </c>
      <c r="C311" t="s">
        <v>11</v>
      </c>
      <c r="D311" t="s">
        <v>135</v>
      </c>
      <c r="E311" t="str">
        <f>"001"</f>
        <v>001</v>
      </c>
      <c r="F311">
        <v>1991</v>
      </c>
      <c r="G311" s="5">
        <v>45965200</v>
      </c>
      <c r="H311" s="5">
        <v>9634200</v>
      </c>
      <c r="I311" s="5">
        <v>36331000</v>
      </c>
    </row>
    <row r="312" spans="1:9" x14ac:dyDescent="0.3">
      <c r="A312" t="s">
        <v>133</v>
      </c>
      <c r="B312" t="str">
        <f>"15281"</f>
        <v>15281</v>
      </c>
      <c r="C312" t="s">
        <v>11</v>
      </c>
      <c r="D312" t="s">
        <v>135</v>
      </c>
      <c r="E312" t="str">
        <f>"002"</f>
        <v>002</v>
      </c>
      <c r="F312">
        <v>1994</v>
      </c>
      <c r="G312" s="5">
        <v>83481200</v>
      </c>
      <c r="H312" s="5">
        <v>16123000</v>
      </c>
      <c r="I312" s="5">
        <v>67358200</v>
      </c>
    </row>
    <row r="313" spans="1:9" x14ac:dyDescent="0.3">
      <c r="A313" t="s">
        <v>133</v>
      </c>
      <c r="B313" t="str">
        <f>"15281"</f>
        <v>15281</v>
      </c>
      <c r="C313" t="s">
        <v>11</v>
      </c>
      <c r="D313" t="s">
        <v>135</v>
      </c>
      <c r="E313" t="str">
        <f>"003"</f>
        <v>003</v>
      </c>
      <c r="F313">
        <v>2008</v>
      </c>
      <c r="G313" s="5">
        <v>3401200</v>
      </c>
      <c r="H313" s="5">
        <v>916900</v>
      </c>
      <c r="I313" s="5">
        <v>2484300</v>
      </c>
    </row>
    <row r="314" spans="1:9" x14ac:dyDescent="0.3">
      <c r="A314" t="s">
        <v>133</v>
      </c>
      <c r="B314" t="str">
        <f>"15281"</f>
        <v>15281</v>
      </c>
      <c r="C314" t="s">
        <v>11</v>
      </c>
      <c r="D314" t="s">
        <v>135</v>
      </c>
      <c r="E314" t="str">
        <f>"004"</f>
        <v>004</v>
      </c>
      <c r="F314">
        <v>2013</v>
      </c>
      <c r="G314" s="5">
        <v>6519100</v>
      </c>
      <c r="H314" s="5">
        <v>415900</v>
      </c>
      <c r="I314" s="5">
        <v>6103200</v>
      </c>
    </row>
    <row r="315" spans="1:9" x14ac:dyDescent="0.3">
      <c r="A315" t="s">
        <v>136</v>
      </c>
      <c r="B315" t="str">
        <f>"16181"</f>
        <v>16181</v>
      </c>
      <c r="C315" t="s">
        <v>12</v>
      </c>
      <c r="D315" t="s">
        <v>137</v>
      </c>
      <c r="E315" t="str">
        <f>"002"</f>
        <v>002</v>
      </c>
      <c r="F315">
        <v>1999</v>
      </c>
      <c r="G315" s="5">
        <v>2657200</v>
      </c>
      <c r="H315" s="5">
        <v>312900</v>
      </c>
      <c r="I315" s="5">
        <v>2344300</v>
      </c>
    </row>
    <row r="316" spans="1:9" x14ac:dyDescent="0.3">
      <c r="A316" t="s">
        <v>136</v>
      </c>
      <c r="B316" t="str">
        <f>"16181"</f>
        <v>16181</v>
      </c>
      <c r="C316" t="s">
        <v>12</v>
      </c>
      <c r="D316" t="s">
        <v>137</v>
      </c>
      <c r="E316" t="str">
        <f>"003"</f>
        <v>003</v>
      </c>
      <c r="F316">
        <v>2011</v>
      </c>
      <c r="G316" s="5">
        <v>1380400</v>
      </c>
      <c r="H316" s="5">
        <v>53900</v>
      </c>
      <c r="I316" s="5">
        <v>1326500</v>
      </c>
    </row>
    <row r="317" spans="1:9" x14ac:dyDescent="0.3">
      <c r="A317" t="s">
        <v>136</v>
      </c>
      <c r="B317" t="str">
        <f t="shared" ref="B317:B322" si="13">"16281"</f>
        <v>16281</v>
      </c>
      <c r="C317" t="s">
        <v>11</v>
      </c>
      <c r="D317" t="s">
        <v>138</v>
      </c>
      <c r="E317" t="str">
        <f>"007"</f>
        <v>007</v>
      </c>
      <c r="F317">
        <v>1996</v>
      </c>
      <c r="G317" s="5">
        <v>20913100</v>
      </c>
      <c r="H317" s="5">
        <v>7399500</v>
      </c>
      <c r="I317" s="5">
        <v>13513600</v>
      </c>
    </row>
    <row r="318" spans="1:9" x14ac:dyDescent="0.3">
      <c r="A318" t="s">
        <v>136</v>
      </c>
      <c r="B318" t="str">
        <f t="shared" si="13"/>
        <v>16281</v>
      </c>
      <c r="C318" t="s">
        <v>11</v>
      </c>
      <c r="D318" t="s">
        <v>138</v>
      </c>
      <c r="E318" t="str">
        <f>"008"</f>
        <v>008</v>
      </c>
      <c r="F318">
        <v>1997</v>
      </c>
      <c r="G318" s="5">
        <v>17787000</v>
      </c>
      <c r="H318" s="5">
        <v>1882700</v>
      </c>
      <c r="I318" s="5">
        <v>15904300</v>
      </c>
    </row>
    <row r="319" spans="1:9" x14ac:dyDescent="0.3">
      <c r="A319" t="s">
        <v>136</v>
      </c>
      <c r="B319" t="str">
        <f t="shared" si="13"/>
        <v>16281</v>
      </c>
      <c r="C319" t="s">
        <v>11</v>
      </c>
      <c r="D319" t="s">
        <v>138</v>
      </c>
      <c r="E319" t="str">
        <f>"009"</f>
        <v>009</v>
      </c>
      <c r="F319">
        <v>2002</v>
      </c>
      <c r="G319" s="5">
        <v>29756100</v>
      </c>
      <c r="H319" s="5">
        <v>8175600</v>
      </c>
      <c r="I319" s="5">
        <v>21580500</v>
      </c>
    </row>
    <row r="320" spans="1:9" x14ac:dyDescent="0.3">
      <c r="A320" t="s">
        <v>136</v>
      </c>
      <c r="B320" t="str">
        <f t="shared" si="13"/>
        <v>16281</v>
      </c>
      <c r="C320" t="s">
        <v>11</v>
      </c>
      <c r="D320" t="s">
        <v>138</v>
      </c>
      <c r="E320" t="str">
        <f>"011"</f>
        <v>011</v>
      </c>
      <c r="F320">
        <v>2008</v>
      </c>
      <c r="G320" s="5">
        <v>10955500</v>
      </c>
      <c r="H320" s="5">
        <v>2387000</v>
      </c>
      <c r="I320" s="5">
        <v>8568500</v>
      </c>
    </row>
    <row r="321" spans="1:9" x14ac:dyDescent="0.3">
      <c r="A321" t="s">
        <v>136</v>
      </c>
      <c r="B321" t="str">
        <f t="shared" si="13"/>
        <v>16281</v>
      </c>
      <c r="C321" t="s">
        <v>11</v>
      </c>
      <c r="D321" t="s">
        <v>138</v>
      </c>
      <c r="E321" t="str">
        <f>"013"</f>
        <v>013</v>
      </c>
      <c r="F321">
        <v>2014</v>
      </c>
      <c r="G321" s="5">
        <v>27424200</v>
      </c>
      <c r="H321" s="5">
        <v>2400400</v>
      </c>
      <c r="I321" s="5">
        <v>25023800</v>
      </c>
    </row>
    <row r="322" spans="1:9" x14ac:dyDescent="0.3">
      <c r="A322" t="s">
        <v>136</v>
      </c>
      <c r="B322" t="str">
        <f t="shared" si="13"/>
        <v>16281</v>
      </c>
      <c r="C322" t="s">
        <v>11</v>
      </c>
      <c r="D322" t="s">
        <v>138</v>
      </c>
      <c r="E322" t="str">
        <f>"014"</f>
        <v>014</v>
      </c>
      <c r="F322">
        <v>2019</v>
      </c>
      <c r="G322" s="5">
        <v>156600</v>
      </c>
      <c r="H322" s="5">
        <v>147700</v>
      </c>
      <c r="I322" s="5">
        <v>8900</v>
      </c>
    </row>
    <row r="323" spans="1:9" x14ac:dyDescent="0.3">
      <c r="A323" t="s">
        <v>139</v>
      </c>
      <c r="B323" t="str">
        <f>"17106"</f>
        <v>17106</v>
      </c>
      <c r="C323" t="s">
        <v>12</v>
      </c>
      <c r="D323" t="s">
        <v>140</v>
      </c>
      <c r="E323" t="str">
        <f>"002"</f>
        <v>002</v>
      </c>
      <c r="F323">
        <v>1996</v>
      </c>
      <c r="G323" s="5">
        <v>7545500</v>
      </c>
      <c r="H323" s="5">
        <v>334900</v>
      </c>
      <c r="I323" s="5">
        <v>7210600</v>
      </c>
    </row>
    <row r="324" spans="1:9" x14ac:dyDescent="0.3">
      <c r="A324" t="s">
        <v>139</v>
      </c>
      <c r="B324" t="str">
        <f>"17106"</f>
        <v>17106</v>
      </c>
      <c r="C324" t="s">
        <v>12</v>
      </c>
      <c r="D324" t="s">
        <v>140</v>
      </c>
      <c r="E324" t="str">
        <f>"003"</f>
        <v>003</v>
      </c>
      <c r="F324">
        <v>2007</v>
      </c>
      <c r="G324" s="5">
        <v>1628500</v>
      </c>
      <c r="H324" s="5">
        <v>1520500</v>
      </c>
      <c r="I324" s="5">
        <v>108000</v>
      </c>
    </row>
    <row r="325" spans="1:9" x14ac:dyDescent="0.3">
      <c r="A325" t="s">
        <v>139</v>
      </c>
      <c r="B325" t="str">
        <f>"17111"</f>
        <v>17111</v>
      </c>
      <c r="C325" t="s">
        <v>12</v>
      </c>
      <c r="D325" t="s">
        <v>141</v>
      </c>
      <c r="E325" t="str">
        <f>"003"</f>
        <v>003</v>
      </c>
      <c r="F325">
        <v>2002</v>
      </c>
      <c r="G325" s="5">
        <v>7948700</v>
      </c>
      <c r="H325" s="5">
        <v>4436900</v>
      </c>
      <c r="I325" s="5">
        <v>3511800</v>
      </c>
    </row>
    <row r="326" spans="1:9" x14ac:dyDescent="0.3">
      <c r="A326" t="s">
        <v>139</v>
      </c>
      <c r="B326" t="str">
        <f>"17111"</f>
        <v>17111</v>
      </c>
      <c r="C326" t="s">
        <v>12</v>
      </c>
      <c r="D326" t="s">
        <v>141</v>
      </c>
      <c r="E326" t="str">
        <f>"004"</f>
        <v>004</v>
      </c>
      <c r="F326">
        <v>2006</v>
      </c>
      <c r="G326" s="5">
        <v>3814400</v>
      </c>
      <c r="H326" s="5">
        <v>1876600</v>
      </c>
      <c r="I326" s="5">
        <v>1937800</v>
      </c>
    </row>
    <row r="327" spans="1:9" x14ac:dyDescent="0.3">
      <c r="A327" t="s">
        <v>139</v>
      </c>
      <c r="B327" t="str">
        <f>"17121"</f>
        <v>17121</v>
      </c>
      <c r="C327" t="s">
        <v>12</v>
      </c>
      <c r="D327" t="s">
        <v>142</v>
      </c>
      <c r="E327" t="str">
        <f>"001"</f>
        <v>001</v>
      </c>
      <c r="F327">
        <v>2007</v>
      </c>
      <c r="G327" s="5">
        <v>4523000</v>
      </c>
      <c r="H327" s="5">
        <v>2499700</v>
      </c>
      <c r="I327" s="5">
        <v>2023300</v>
      </c>
    </row>
    <row r="328" spans="1:9" x14ac:dyDescent="0.3">
      <c r="A328" t="s">
        <v>139</v>
      </c>
      <c r="B328" t="str">
        <f>"17141"</f>
        <v>17141</v>
      </c>
      <c r="C328" t="s">
        <v>12</v>
      </c>
      <c r="D328" t="s">
        <v>143</v>
      </c>
      <c r="E328" t="str">
        <f>"003"</f>
        <v>003</v>
      </c>
      <c r="F328">
        <v>2005</v>
      </c>
      <c r="G328" s="5">
        <v>2805700</v>
      </c>
      <c r="H328" s="5">
        <v>201200</v>
      </c>
      <c r="I328" s="5">
        <v>2604500</v>
      </c>
    </row>
    <row r="329" spans="1:9" x14ac:dyDescent="0.3">
      <c r="A329" t="s">
        <v>139</v>
      </c>
      <c r="B329" t="str">
        <f t="shared" ref="B329:B334" si="14">"17251"</f>
        <v>17251</v>
      </c>
      <c r="C329" t="s">
        <v>11</v>
      </c>
      <c r="D329" t="s">
        <v>144</v>
      </c>
      <c r="E329" t="str">
        <f>"011"</f>
        <v>011</v>
      </c>
      <c r="F329">
        <v>2001</v>
      </c>
      <c r="G329" s="5">
        <v>92459000</v>
      </c>
      <c r="H329" s="5">
        <v>6998100</v>
      </c>
      <c r="I329" s="5">
        <v>85460900</v>
      </c>
    </row>
    <row r="330" spans="1:9" x14ac:dyDescent="0.3">
      <c r="A330" t="s">
        <v>139</v>
      </c>
      <c r="B330" t="str">
        <f t="shared" si="14"/>
        <v>17251</v>
      </c>
      <c r="C330" t="s">
        <v>11</v>
      </c>
      <c r="D330" t="s">
        <v>144</v>
      </c>
      <c r="E330" t="str">
        <f>"012"</f>
        <v>012</v>
      </c>
      <c r="F330">
        <v>2003</v>
      </c>
      <c r="G330" s="5">
        <v>24416300</v>
      </c>
      <c r="H330" s="5">
        <v>1671200</v>
      </c>
      <c r="I330" s="5">
        <v>22745100</v>
      </c>
    </row>
    <row r="331" spans="1:9" x14ac:dyDescent="0.3">
      <c r="A331" t="s">
        <v>139</v>
      </c>
      <c r="B331" t="str">
        <f t="shared" si="14"/>
        <v>17251</v>
      </c>
      <c r="C331" t="s">
        <v>11</v>
      </c>
      <c r="D331" t="s">
        <v>144</v>
      </c>
      <c r="E331" t="str">
        <f>"013"</f>
        <v>013</v>
      </c>
      <c r="F331">
        <v>2004</v>
      </c>
      <c r="G331" s="5">
        <v>4017300</v>
      </c>
      <c r="H331" s="5">
        <v>161900</v>
      </c>
      <c r="I331" s="5">
        <v>3855400</v>
      </c>
    </row>
    <row r="332" spans="1:9" x14ac:dyDescent="0.3">
      <c r="A332" t="s">
        <v>139</v>
      </c>
      <c r="B332" t="str">
        <f t="shared" si="14"/>
        <v>17251</v>
      </c>
      <c r="C332" t="s">
        <v>11</v>
      </c>
      <c r="D332" t="s">
        <v>144</v>
      </c>
      <c r="E332" t="str">
        <f>"014"</f>
        <v>014</v>
      </c>
      <c r="F332">
        <v>2004</v>
      </c>
      <c r="G332" s="5">
        <v>11232700</v>
      </c>
      <c r="H332" s="5">
        <v>7879600</v>
      </c>
      <c r="I332" s="5">
        <v>3353100</v>
      </c>
    </row>
    <row r="333" spans="1:9" x14ac:dyDescent="0.3">
      <c r="A333" t="s">
        <v>139</v>
      </c>
      <c r="B333" t="str">
        <f t="shared" si="14"/>
        <v>17251</v>
      </c>
      <c r="C333" t="s">
        <v>11</v>
      </c>
      <c r="D333" t="s">
        <v>144</v>
      </c>
      <c r="E333" t="str">
        <f>"015"</f>
        <v>015</v>
      </c>
      <c r="F333">
        <v>2005</v>
      </c>
      <c r="G333" s="5">
        <v>42791700</v>
      </c>
      <c r="H333" s="5">
        <v>22246100</v>
      </c>
      <c r="I333" s="5">
        <v>20545600</v>
      </c>
    </row>
    <row r="334" spans="1:9" x14ac:dyDescent="0.3">
      <c r="A334" t="s">
        <v>139</v>
      </c>
      <c r="B334" t="str">
        <f t="shared" si="14"/>
        <v>17251</v>
      </c>
      <c r="C334" t="s">
        <v>11</v>
      </c>
      <c r="D334" t="s">
        <v>144</v>
      </c>
      <c r="E334" t="str">
        <f>"016"</f>
        <v>016</v>
      </c>
      <c r="F334">
        <v>2019</v>
      </c>
      <c r="G334" s="5">
        <v>618500</v>
      </c>
      <c r="H334" s="5">
        <v>560100</v>
      </c>
      <c r="I334" s="5">
        <v>58400</v>
      </c>
    </row>
    <row r="335" spans="1:9" x14ac:dyDescent="0.3">
      <c r="A335" t="s">
        <v>139</v>
      </c>
      <c r="B335" t="str">
        <f>"17176"</f>
        <v>17176</v>
      </c>
      <c r="C335" t="s">
        <v>12</v>
      </c>
      <c r="D335" t="s">
        <v>145</v>
      </c>
      <c r="E335" t="str">
        <f>"001"</f>
        <v>001</v>
      </c>
      <c r="F335">
        <v>2006</v>
      </c>
      <c r="G335" s="5">
        <v>2804300</v>
      </c>
      <c r="H335" s="5">
        <v>1614000</v>
      </c>
      <c r="I335" s="5">
        <v>1190300</v>
      </c>
    </row>
    <row r="336" spans="1:9" x14ac:dyDescent="0.3">
      <c r="A336" t="s">
        <v>66</v>
      </c>
      <c r="B336" t="str">
        <f>"18201"</f>
        <v>18201</v>
      </c>
      <c r="C336" t="s">
        <v>11</v>
      </c>
      <c r="D336" t="s">
        <v>146</v>
      </c>
      <c r="E336" t="str">
        <f>"002"</f>
        <v>002</v>
      </c>
      <c r="F336">
        <v>2000</v>
      </c>
      <c r="G336" s="5">
        <v>13748800</v>
      </c>
      <c r="H336" s="5">
        <v>1194900</v>
      </c>
      <c r="I336" s="5">
        <v>12553900</v>
      </c>
    </row>
    <row r="337" spans="1:9" x14ac:dyDescent="0.3">
      <c r="A337" t="s">
        <v>66</v>
      </c>
      <c r="B337" t="str">
        <f>"18201"</f>
        <v>18201</v>
      </c>
      <c r="C337" t="s">
        <v>11</v>
      </c>
      <c r="D337" t="s">
        <v>146</v>
      </c>
      <c r="E337" t="str">
        <f>"003"</f>
        <v>003</v>
      </c>
      <c r="F337">
        <v>2001</v>
      </c>
      <c r="G337" s="5">
        <v>256273400</v>
      </c>
      <c r="H337" s="5">
        <v>4837300</v>
      </c>
      <c r="I337" s="5">
        <v>251436100</v>
      </c>
    </row>
    <row r="338" spans="1:9" x14ac:dyDescent="0.3">
      <c r="A338" t="s">
        <v>66</v>
      </c>
      <c r="B338" t="str">
        <f>"18201"</f>
        <v>18201</v>
      </c>
      <c r="C338" t="s">
        <v>11</v>
      </c>
      <c r="D338" t="s">
        <v>146</v>
      </c>
      <c r="E338" t="str">
        <f>"004"</f>
        <v>004</v>
      </c>
      <c r="F338">
        <v>2008</v>
      </c>
      <c r="G338" s="5">
        <v>20482700</v>
      </c>
      <c r="H338" s="5">
        <v>7691500</v>
      </c>
      <c r="I338" s="5">
        <v>12791200</v>
      </c>
    </row>
    <row r="339" spans="1:9" x14ac:dyDescent="0.3">
      <c r="A339" t="s">
        <v>66</v>
      </c>
      <c r="B339" t="str">
        <f>"18202"</f>
        <v>18202</v>
      </c>
      <c r="C339" t="s">
        <v>11</v>
      </c>
      <c r="D339" t="s">
        <v>147</v>
      </c>
      <c r="E339" t="str">
        <f>"004"</f>
        <v>004</v>
      </c>
      <c r="F339">
        <v>2005</v>
      </c>
      <c r="G339" s="5">
        <v>19679000</v>
      </c>
      <c r="H339" s="5">
        <v>3955700</v>
      </c>
      <c r="I339" s="5">
        <v>15723300</v>
      </c>
    </row>
    <row r="340" spans="1:9" x14ac:dyDescent="0.3">
      <c r="A340" t="s">
        <v>66</v>
      </c>
      <c r="B340" t="str">
        <f t="shared" ref="B340:B346" si="15">"18221"</f>
        <v>18221</v>
      </c>
      <c r="C340" t="s">
        <v>11</v>
      </c>
      <c r="D340" t="s">
        <v>66</v>
      </c>
      <c r="E340" t="str">
        <f>"007"</f>
        <v>007</v>
      </c>
      <c r="F340">
        <v>1997</v>
      </c>
      <c r="G340" s="5">
        <v>6840400</v>
      </c>
      <c r="H340" s="5">
        <v>329100</v>
      </c>
      <c r="I340" s="5">
        <v>6511300</v>
      </c>
    </row>
    <row r="341" spans="1:9" x14ac:dyDescent="0.3">
      <c r="A341" t="s">
        <v>66</v>
      </c>
      <c r="B341" t="str">
        <f t="shared" si="15"/>
        <v>18221</v>
      </c>
      <c r="C341" t="s">
        <v>11</v>
      </c>
      <c r="D341" t="s">
        <v>66</v>
      </c>
      <c r="E341" t="str">
        <f>"008"</f>
        <v>008</v>
      </c>
      <c r="F341">
        <v>2002</v>
      </c>
      <c r="G341" s="5">
        <v>80967000</v>
      </c>
      <c r="H341" s="5">
        <v>12418400</v>
      </c>
      <c r="I341" s="5">
        <v>68548600</v>
      </c>
    </row>
    <row r="342" spans="1:9" x14ac:dyDescent="0.3">
      <c r="A342" t="s">
        <v>66</v>
      </c>
      <c r="B342" t="str">
        <f t="shared" si="15"/>
        <v>18221</v>
      </c>
      <c r="C342" t="s">
        <v>11</v>
      </c>
      <c r="D342" t="s">
        <v>66</v>
      </c>
      <c r="E342" t="str">
        <f>"009"</f>
        <v>009</v>
      </c>
      <c r="F342">
        <v>2008</v>
      </c>
      <c r="G342" s="5">
        <v>29270600</v>
      </c>
      <c r="H342" s="5">
        <v>11184400</v>
      </c>
      <c r="I342" s="5">
        <v>18086200</v>
      </c>
    </row>
    <row r="343" spans="1:9" x14ac:dyDescent="0.3">
      <c r="A343" t="s">
        <v>66</v>
      </c>
      <c r="B343" t="str">
        <f t="shared" si="15"/>
        <v>18221</v>
      </c>
      <c r="C343" t="s">
        <v>11</v>
      </c>
      <c r="D343" t="s">
        <v>66</v>
      </c>
      <c r="E343" t="str">
        <f>"010"</f>
        <v>010</v>
      </c>
      <c r="F343">
        <v>2015</v>
      </c>
      <c r="G343" s="5">
        <v>41110800</v>
      </c>
      <c r="H343" s="5">
        <v>9794200</v>
      </c>
      <c r="I343" s="5">
        <v>31316600</v>
      </c>
    </row>
    <row r="344" spans="1:9" x14ac:dyDescent="0.3">
      <c r="A344" t="s">
        <v>66</v>
      </c>
      <c r="B344" t="str">
        <f t="shared" si="15"/>
        <v>18221</v>
      </c>
      <c r="C344" t="s">
        <v>11</v>
      </c>
      <c r="D344" t="s">
        <v>66</v>
      </c>
      <c r="E344" t="str">
        <f>"011"</f>
        <v>011</v>
      </c>
      <c r="F344">
        <v>2015</v>
      </c>
      <c r="G344" s="5">
        <v>35408800</v>
      </c>
      <c r="H344" s="5">
        <v>16625200</v>
      </c>
      <c r="I344" s="5">
        <v>18783600</v>
      </c>
    </row>
    <row r="345" spans="1:9" x14ac:dyDescent="0.3">
      <c r="A345" t="s">
        <v>66</v>
      </c>
      <c r="B345" t="str">
        <f t="shared" si="15"/>
        <v>18221</v>
      </c>
      <c r="C345" t="s">
        <v>11</v>
      </c>
      <c r="D345" t="s">
        <v>66</v>
      </c>
      <c r="E345" t="str">
        <f>"012"</f>
        <v>012</v>
      </c>
      <c r="F345">
        <v>2017</v>
      </c>
      <c r="G345" s="5">
        <v>22281500</v>
      </c>
      <c r="H345" s="5">
        <v>22281500</v>
      </c>
      <c r="I345" s="5">
        <v>0</v>
      </c>
    </row>
    <row r="346" spans="1:9" x14ac:dyDescent="0.3">
      <c r="A346" t="s">
        <v>66</v>
      </c>
      <c r="B346" t="str">
        <f t="shared" si="15"/>
        <v>18221</v>
      </c>
      <c r="C346" t="s">
        <v>11</v>
      </c>
      <c r="D346" t="s">
        <v>66</v>
      </c>
      <c r="E346" t="str">
        <f>"013"</f>
        <v>013</v>
      </c>
      <c r="F346">
        <v>2019</v>
      </c>
      <c r="G346" s="5">
        <v>7614100</v>
      </c>
      <c r="H346" s="5">
        <v>3028900</v>
      </c>
      <c r="I346" s="5">
        <v>4585200</v>
      </c>
    </row>
    <row r="347" spans="1:9" x14ac:dyDescent="0.3">
      <c r="A347" t="s">
        <v>66</v>
      </c>
      <c r="B347" t="str">
        <f>"18127"</f>
        <v>18127</v>
      </c>
      <c r="C347" t="s">
        <v>12</v>
      </c>
      <c r="D347" t="s">
        <v>148</v>
      </c>
      <c r="E347" t="str">
        <f>"001"</f>
        <v>001</v>
      </c>
      <c r="F347">
        <v>2000</v>
      </c>
      <c r="G347" s="5">
        <v>1502900</v>
      </c>
      <c r="H347" s="5">
        <v>72800</v>
      </c>
      <c r="I347" s="5">
        <v>1430100</v>
      </c>
    </row>
    <row r="348" spans="1:9" x14ac:dyDescent="0.3">
      <c r="A348" t="s">
        <v>66</v>
      </c>
      <c r="B348" t="str">
        <f>"18127"</f>
        <v>18127</v>
      </c>
      <c r="C348" t="s">
        <v>12</v>
      </c>
      <c r="D348" t="s">
        <v>148</v>
      </c>
      <c r="E348" t="str">
        <f>"002"</f>
        <v>002</v>
      </c>
      <c r="F348">
        <v>2013</v>
      </c>
      <c r="G348" s="5">
        <v>7360600</v>
      </c>
      <c r="H348" s="5">
        <v>1613300</v>
      </c>
      <c r="I348" s="5">
        <v>5747300</v>
      </c>
    </row>
    <row r="349" spans="1:9" x14ac:dyDescent="0.3">
      <c r="A349" t="s">
        <v>149</v>
      </c>
      <c r="B349" t="str">
        <f>"19010"</f>
        <v>19010</v>
      </c>
      <c r="C349" t="s">
        <v>14</v>
      </c>
      <c r="D349" t="s">
        <v>149</v>
      </c>
      <c r="E349" t="str">
        <f>"001R"</f>
        <v>001R</v>
      </c>
      <c r="F349">
        <v>2013</v>
      </c>
      <c r="G349" s="5">
        <v>15930300</v>
      </c>
      <c r="H349" s="5">
        <v>11400400</v>
      </c>
      <c r="I349" s="5">
        <v>4529900</v>
      </c>
    </row>
    <row r="350" spans="1:9" x14ac:dyDescent="0.3">
      <c r="A350" t="s">
        <v>150</v>
      </c>
      <c r="B350" t="str">
        <f>"20111"</f>
        <v>20111</v>
      </c>
      <c r="C350" t="s">
        <v>12</v>
      </c>
      <c r="D350" t="s">
        <v>151</v>
      </c>
      <c r="E350" t="str">
        <f>"001"</f>
        <v>001</v>
      </c>
      <c r="F350">
        <v>2011</v>
      </c>
      <c r="G350" s="5">
        <v>4150000</v>
      </c>
      <c r="H350" s="5">
        <v>1763300</v>
      </c>
      <c r="I350" s="5">
        <v>2386700</v>
      </c>
    </row>
    <row r="351" spans="1:9" x14ac:dyDescent="0.3">
      <c r="A351" t="s">
        <v>150</v>
      </c>
      <c r="B351" t="str">
        <f>"20126"</f>
        <v>20126</v>
      </c>
      <c r="C351" t="s">
        <v>12</v>
      </c>
      <c r="D351" t="s">
        <v>152</v>
      </c>
      <c r="E351" t="str">
        <f>"001"</f>
        <v>001</v>
      </c>
      <c r="F351">
        <v>1997</v>
      </c>
      <c r="G351" s="5">
        <v>4722400</v>
      </c>
      <c r="H351" s="5">
        <v>751400</v>
      </c>
      <c r="I351" s="5">
        <v>3971000</v>
      </c>
    </row>
    <row r="352" spans="1:9" x14ac:dyDescent="0.3">
      <c r="A352" t="s">
        <v>150</v>
      </c>
      <c r="B352" t="str">
        <f t="shared" ref="B352:B365" si="16">"20226"</f>
        <v>20226</v>
      </c>
      <c r="C352" t="s">
        <v>11</v>
      </c>
      <c r="D352" t="s">
        <v>150</v>
      </c>
      <c r="E352" t="str">
        <f>"010"</f>
        <v>010</v>
      </c>
      <c r="F352">
        <v>2004</v>
      </c>
      <c r="G352" s="5">
        <v>71650200</v>
      </c>
      <c r="H352" s="5">
        <v>2030600</v>
      </c>
      <c r="I352" s="5">
        <v>69619600</v>
      </c>
    </row>
    <row r="353" spans="1:9" x14ac:dyDescent="0.3">
      <c r="A353" t="s">
        <v>150</v>
      </c>
      <c r="B353" t="str">
        <f t="shared" si="16"/>
        <v>20226</v>
      </c>
      <c r="C353" t="s">
        <v>11</v>
      </c>
      <c r="D353" t="s">
        <v>150</v>
      </c>
      <c r="E353" t="str">
        <f>"012"</f>
        <v>012</v>
      </c>
      <c r="F353">
        <v>2008</v>
      </c>
      <c r="G353" s="5">
        <v>2423700</v>
      </c>
      <c r="H353" s="5">
        <v>0</v>
      </c>
      <c r="I353" s="5">
        <v>2423700</v>
      </c>
    </row>
    <row r="354" spans="1:9" x14ac:dyDescent="0.3">
      <c r="A354" t="s">
        <v>150</v>
      </c>
      <c r="B354" t="str">
        <f t="shared" si="16"/>
        <v>20226</v>
      </c>
      <c r="C354" t="s">
        <v>11</v>
      </c>
      <c r="D354" t="s">
        <v>150</v>
      </c>
      <c r="E354" t="str">
        <f>"013"</f>
        <v>013</v>
      </c>
      <c r="F354">
        <v>2010</v>
      </c>
      <c r="G354" s="5">
        <v>6554500</v>
      </c>
      <c r="H354" s="5">
        <v>2732500</v>
      </c>
      <c r="I354" s="5">
        <v>3822000</v>
      </c>
    </row>
    <row r="355" spans="1:9" x14ac:dyDescent="0.3">
      <c r="A355" t="s">
        <v>150</v>
      </c>
      <c r="B355" t="str">
        <f t="shared" si="16"/>
        <v>20226</v>
      </c>
      <c r="C355" t="s">
        <v>11</v>
      </c>
      <c r="D355" t="s">
        <v>150</v>
      </c>
      <c r="E355" t="str">
        <f>"014"</f>
        <v>014</v>
      </c>
      <c r="F355">
        <v>2011</v>
      </c>
      <c r="G355" s="5">
        <v>7472700</v>
      </c>
      <c r="H355" s="5">
        <v>529000</v>
      </c>
      <c r="I355" s="5">
        <v>6943700</v>
      </c>
    </row>
    <row r="356" spans="1:9" x14ac:dyDescent="0.3">
      <c r="A356" t="s">
        <v>150</v>
      </c>
      <c r="B356" t="str">
        <f t="shared" si="16"/>
        <v>20226</v>
      </c>
      <c r="C356" t="s">
        <v>11</v>
      </c>
      <c r="D356" t="s">
        <v>150</v>
      </c>
      <c r="E356" t="str">
        <f>"015"</f>
        <v>015</v>
      </c>
      <c r="F356">
        <v>2011</v>
      </c>
      <c r="G356" s="5">
        <v>860300</v>
      </c>
      <c r="H356" s="5">
        <v>196200</v>
      </c>
      <c r="I356" s="5">
        <v>664100</v>
      </c>
    </row>
    <row r="357" spans="1:9" x14ac:dyDescent="0.3">
      <c r="A357" t="s">
        <v>150</v>
      </c>
      <c r="B357" t="str">
        <f t="shared" si="16"/>
        <v>20226</v>
      </c>
      <c r="C357" t="s">
        <v>11</v>
      </c>
      <c r="D357" t="s">
        <v>150</v>
      </c>
      <c r="E357" t="str">
        <f>"016"</f>
        <v>016</v>
      </c>
      <c r="F357">
        <v>2012</v>
      </c>
      <c r="G357" s="5">
        <v>1852000</v>
      </c>
      <c r="H357" s="5">
        <v>293600</v>
      </c>
      <c r="I357" s="5">
        <v>1558400</v>
      </c>
    </row>
    <row r="358" spans="1:9" x14ac:dyDescent="0.3">
      <c r="A358" t="s">
        <v>150</v>
      </c>
      <c r="B358" t="str">
        <f t="shared" si="16"/>
        <v>20226</v>
      </c>
      <c r="C358" t="s">
        <v>11</v>
      </c>
      <c r="D358" t="s">
        <v>150</v>
      </c>
      <c r="E358" t="str">
        <f>"017"</f>
        <v>017</v>
      </c>
      <c r="F358">
        <v>2012</v>
      </c>
      <c r="G358" s="5">
        <v>7443800</v>
      </c>
      <c r="H358" s="5">
        <v>1385700</v>
      </c>
      <c r="I358" s="5">
        <v>6058100</v>
      </c>
    </row>
    <row r="359" spans="1:9" x14ac:dyDescent="0.3">
      <c r="A359" t="s">
        <v>150</v>
      </c>
      <c r="B359" t="str">
        <f t="shared" si="16"/>
        <v>20226</v>
      </c>
      <c r="C359" t="s">
        <v>11</v>
      </c>
      <c r="D359" t="s">
        <v>150</v>
      </c>
      <c r="E359" t="str">
        <f>"018"</f>
        <v>018</v>
      </c>
      <c r="F359">
        <v>2014</v>
      </c>
      <c r="G359" s="5">
        <v>13995700</v>
      </c>
      <c r="H359" s="5">
        <v>3789200</v>
      </c>
      <c r="I359" s="5">
        <v>10206500</v>
      </c>
    </row>
    <row r="360" spans="1:9" x14ac:dyDescent="0.3">
      <c r="A360" t="s">
        <v>150</v>
      </c>
      <c r="B360" t="str">
        <f t="shared" si="16"/>
        <v>20226</v>
      </c>
      <c r="C360" t="s">
        <v>11</v>
      </c>
      <c r="D360" t="s">
        <v>150</v>
      </c>
      <c r="E360" t="str">
        <f>"019"</f>
        <v>019</v>
      </c>
      <c r="F360">
        <v>2015</v>
      </c>
      <c r="G360" s="5">
        <v>1627700</v>
      </c>
      <c r="H360" s="5">
        <v>759800</v>
      </c>
      <c r="I360" s="5">
        <v>867900</v>
      </c>
    </row>
    <row r="361" spans="1:9" x14ac:dyDescent="0.3">
      <c r="A361" t="s">
        <v>150</v>
      </c>
      <c r="B361" t="str">
        <f t="shared" si="16"/>
        <v>20226</v>
      </c>
      <c r="C361" t="s">
        <v>11</v>
      </c>
      <c r="D361" t="s">
        <v>150</v>
      </c>
      <c r="E361" t="str">
        <f>"020"</f>
        <v>020</v>
      </c>
      <c r="F361">
        <v>2017</v>
      </c>
      <c r="G361" s="5">
        <v>880000</v>
      </c>
      <c r="H361" s="5">
        <v>0</v>
      </c>
      <c r="I361" s="5">
        <v>880000</v>
      </c>
    </row>
    <row r="362" spans="1:9" x14ac:dyDescent="0.3">
      <c r="A362" t="s">
        <v>150</v>
      </c>
      <c r="B362" t="str">
        <f t="shared" si="16"/>
        <v>20226</v>
      </c>
      <c r="C362" t="s">
        <v>11</v>
      </c>
      <c r="D362" t="s">
        <v>150</v>
      </c>
      <c r="E362" t="str">
        <f>"021"</f>
        <v>021</v>
      </c>
      <c r="F362">
        <v>2017</v>
      </c>
      <c r="G362" s="5">
        <v>1918000</v>
      </c>
      <c r="H362" s="5">
        <v>2156400</v>
      </c>
      <c r="I362" s="5">
        <v>-238400</v>
      </c>
    </row>
    <row r="363" spans="1:9" x14ac:dyDescent="0.3">
      <c r="A363" t="s">
        <v>150</v>
      </c>
      <c r="B363" t="str">
        <f t="shared" si="16"/>
        <v>20226</v>
      </c>
      <c r="C363" t="s">
        <v>11</v>
      </c>
      <c r="D363" t="s">
        <v>150</v>
      </c>
      <c r="E363" t="str">
        <f>"022"</f>
        <v>022</v>
      </c>
      <c r="F363">
        <v>2017</v>
      </c>
      <c r="G363" s="5">
        <v>12059600</v>
      </c>
      <c r="H363" s="5">
        <v>1517700</v>
      </c>
      <c r="I363" s="5">
        <v>10541900</v>
      </c>
    </row>
    <row r="364" spans="1:9" x14ac:dyDescent="0.3">
      <c r="A364" t="s">
        <v>150</v>
      </c>
      <c r="B364" t="str">
        <f t="shared" si="16"/>
        <v>20226</v>
      </c>
      <c r="C364" t="s">
        <v>11</v>
      </c>
      <c r="D364" t="s">
        <v>150</v>
      </c>
      <c r="E364" t="str">
        <f>"023"</f>
        <v>023</v>
      </c>
      <c r="F364">
        <v>2018</v>
      </c>
      <c r="G364" s="5">
        <v>7513800</v>
      </c>
      <c r="H364" s="5">
        <v>5248100</v>
      </c>
      <c r="I364" s="5">
        <v>2265700</v>
      </c>
    </row>
    <row r="365" spans="1:9" x14ac:dyDescent="0.3">
      <c r="A365" t="s">
        <v>150</v>
      </c>
      <c r="B365" t="str">
        <f t="shared" si="16"/>
        <v>20226</v>
      </c>
      <c r="C365" t="s">
        <v>11</v>
      </c>
      <c r="D365" t="s">
        <v>150</v>
      </c>
      <c r="E365" t="str">
        <f>"024"</f>
        <v>024</v>
      </c>
      <c r="F365">
        <v>2018</v>
      </c>
      <c r="G365" s="5">
        <v>13918300</v>
      </c>
      <c r="H365" s="5">
        <v>411500</v>
      </c>
      <c r="I365" s="5">
        <v>13506800</v>
      </c>
    </row>
    <row r="366" spans="1:9" x14ac:dyDescent="0.3">
      <c r="A366" t="s">
        <v>150</v>
      </c>
      <c r="B366" t="str">
        <f>"20161"</f>
        <v>20161</v>
      </c>
      <c r="C366" t="s">
        <v>12</v>
      </c>
      <c r="D366" t="s">
        <v>153</v>
      </c>
      <c r="E366" t="str">
        <f>"001"</f>
        <v>001</v>
      </c>
      <c r="F366">
        <v>1999</v>
      </c>
      <c r="G366" s="5">
        <v>23232400</v>
      </c>
      <c r="H366" s="5">
        <v>200500</v>
      </c>
      <c r="I366" s="5">
        <v>23031900</v>
      </c>
    </row>
    <row r="367" spans="1:9" x14ac:dyDescent="0.3">
      <c r="A367" t="s">
        <v>150</v>
      </c>
      <c r="B367" t="str">
        <f>"20161"</f>
        <v>20161</v>
      </c>
      <c r="C367" t="s">
        <v>12</v>
      </c>
      <c r="D367" t="s">
        <v>153</v>
      </c>
      <c r="E367" t="str">
        <f>"002"</f>
        <v>002</v>
      </c>
      <c r="F367">
        <v>2008</v>
      </c>
      <c r="G367" s="5">
        <v>4143700</v>
      </c>
      <c r="H367" s="5">
        <v>4175100</v>
      </c>
      <c r="I367" s="5">
        <v>-31400</v>
      </c>
    </row>
    <row r="368" spans="1:9" x14ac:dyDescent="0.3">
      <c r="A368" t="s">
        <v>150</v>
      </c>
      <c r="B368" t="str">
        <f>"20165"</f>
        <v>20165</v>
      </c>
      <c r="C368" t="s">
        <v>12</v>
      </c>
      <c r="D368" t="s">
        <v>154</v>
      </c>
      <c r="E368" t="str">
        <f>"001"</f>
        <v>001</v>
      </c>
      <c r="F368">
        <v>1995</v>
      </c>
      <c r="G368" s="5">
        <v>11587600</v>
      </c>
      <c r="H368" s="5">
        <v>1707500</v>
      </c>
      <c r="I368" s="5">
        <v>9880100</v>
      </c>
    </row>
    <row r="369" spans="1:9" x14ac:dyDescent="0.3">
      <c r="A369" t="s">
        <v>150</v>
      </c>
      <c r="B369" t="str">
        <f>"20165"</f>
        <v>20165</v>
      </c>
      <c r="C369" t="s">
        <v>12</v>
      </c>
      <c r="D369" t="s">
        <v>154</v>
      </c>
      <c r="E369" t="str">
        <f>"002"</f>
        <v>002</v>
      </c>
      <c r="F369">
        <v>1997</v>
      </c>
      <c r="G369" s="5">
        <v>3850400</v>
      </c>
      <c r="H369" s="5">
        <v>888200</v>
      </c>
      <c r="I369" s="5">
        <v>2962200</v>
      </c>
    </row>
    <row r="370" spans="1:9" x14ac:dyDescent="0.3">
      <c r="A370" t="s">
        <v>150</v>
      </c>
      <c r="B370" t="str">
        <f t="shared" ref="B370:B379" si="17">"20276"</f>
        <v>20276</v>
      </c>
      <c r="C370" t="s">
        <v>11</v>
      </c>
      <c r="D370" t="s">
        <v>155</v>
      </c>
      <c r="E370" t="str">
        <f>"004"</f>
        <v>004</v>
      </c>
      <c r="F370">
        <v>1994</v>
      </c>
      <c r="G370" s="5">
        <v>19689600</v>
      </c>
      <c r="H370" s="5">
        <v>6810200</v>
      </c>
      <c r="I370" s="5">
        <v>12879400</v>
      </c>
    </row>
    <row r="371" spans="1:9" x14ac:dyDescent="0.3">
      <c r="A371" t="s">
        <v>150</v>
      </c>
      <c r="B371" t="str">
        <f t="shared" si="17"/>
        <v>20276</v>
      </c>
      <c r="C371" t="s">
        <v>11</v>
      </c>
      <c r="D371" t="s">
        <v>155</v>
      </c>
      <c r="E371" t="str">
        <f>"005"</f>
        <v>005</v>
      </c>
      <c r="F371">
        <v>2000</v>
      </c>
      <c r="G371" s="5">
        <v>7958500</v>
      </c>
      <c r="H371" s="5">
        <v>239300</v>
      </c>
      <c r="I371" s="5">
        <v>7719200</v>
      </c>
    </row>
    <row r="372" spans="1:9" x14ac:dyDescent="0.3">
      <c r="A372" t="s">
        <v>150</v>
      </c>
      <c r="B372" t="str">
        <f t="shared" si="17"/>
        <v>20276</v>
      </c>
      <c r="C372" t="s">
        <v>11</v>
      </c>
      <c r="D372" t="s">
        <v>155</v>
      </c>
      <c r="E372" t="str">
        <f>"006"</f>
        <v>006</v>
      </c>
      <c r="F372">
        <v>2005</v>
      </c>
      <c r="G372" s="5">
        <v>42167900</v>
      </c>
      <c r="H372" s="5">
        <v>25263300</v>
      </c>
      <c r="I372" s="5">
        <v>16904600</v>
      </c>
    </row>
    <row r="373" spans="1:9" x14ac:dyDescent="0.3">
      <c r="A373" t="s">
        <v>150</v>
      </c>
      <c r="B373" t="str">
        <f t="shared" si="17"/>
        <v>20276</v>
      </c>
      <c r="C373" t="s">
        <v>11</v>
      </c>
      <c r="D373" t="s">
        <v>155</v>
      </c>
      <c r="E373" t="str">
        <f>"007"</f>
        <v>007</v>
      </c>
      <c r="F373">
        <v>2007</v>
      </c>
      <c r="G373" s="5">
        <v>6305900</v>
      </c>
      <c r="H373" s="5">
        <v>845600</v>
      </c>
      <c r="I373" s="5">
        <v>5460300</v>
      </c>
    </row>
    <row r="374" spans="1:9" x14ac:dyDescent="0.3">
      <c r="A374" t="s">
        <v>150</v>
      </c>
      <c r="B374" t="str">
        <f t="shared" si="17"/>
        <v>20276</v>
      </c>
      <c r="C374" t="s">
        <v>11</v>
      </c>
      <c r="D374" t="s">
        <v>155</v>
      </c>
      <c r="E374" t="str">
        <f>"009"</f>
        <v>009</v>
      </c>
      <c r="F374">
        <v>2009</v>
      </c>
      <c r="G374" s="5">
        <v>5223800</v>
      </c>
      <c r="H374" s="5">
        <v>7100</v>
      </c>
      <c r="I374" s="5">
        <v>5216700</v>
      </c>
    </row>
    <row r="375" spans="1:9" x14ac:dyDescent="0.3">
      <c r="A375" t="s">
        <v>150</v>
      </c>
      <c r="B375" t="str">
        <f t="shared" si="17"/>
        <v>20276</v>
      </c>
      <c r="C375" t="s">
        <v>11</v>
      </c>
      <c r="D375" t="s">
        <v>155</v>
      </c>
      <c r="E375" t="str">
        <f>"010"</f>
        <v>010</v>
      </c>
      <c r="F375">
        <v>2009</v>
      </c>
      <c r="G375" s="5">
        <v>9213100</v>
      </c>
      <c r="H375" s="5">
        <v>34400</v>
      </c>
      <c r="I375" s="5">
        <v>9178700</v>
      </c>
    </row>
    <row r="376" spans="1:9" x14ac:dyDescent="0.3">
      <c r="A376" t="s">
        <v>150</v>
      </c>
      <c r="B376" t="str">
        <f t="shared" si="17"/>
        <v>20276</v>
      </c>
      <c r="C376" t="s">
        <v>11</v>
      </c>
      <c r="D376" t="s">
        <v>155</v>
      </c>
      <c r="E376" t="str">
        <f>"011"</f>
        <v>011</v>
      </c>
      <c r="F376">
        <v>2009</v>
      </c>
      <c r="G376" s="5">
        <v>8468200</v>
      </c>
      <c r="H376" s="5">
        <v>6384300</v>
      </c>
      <c r="I376" s="5">
        <v>2083900</v>
      </c>
    </row>
    <row r="377" spans="1:9" x14ac:dyDescent="0.3">
      <c r="A377" t="s">
        <v>150</v>
      </c>
      <c r="B377" t="str">
        <f t="shared" si="17"/>
        <v>20276</v>
      </c>
      <c r="C377" t="s">
        <v>11</v>
      </c>
      <c r="D377" t="s">
        <v>155</v>
      </c>
      <c r="E377" t="str">
        <f>"012"</f>
        <v>012</v>
      </c>
      <c r="F377">
        <v>2014</v>
      </c>
      <c r="G377" s="5">
        <v>5088600</v>
      </c>
      <c r="H377" s="5">
        <v>727100</v>
      </c>
      <c r="I377" s="5">
        <v>4361500</v>
      </c>
    </row>
    <row r="378" spans="1:9" x14ac:dyDescent="0.3">
      <c r="A378" t="s">
        <v>150</v>
      </c>
      <c r="B378" t="str">
        <f t="shared" si="17"/>
        <v>20276</v>
      </c>
      <c r="C378" t="s">
        <v>11</v>
      </c>
      <c r="D378" t="s">
        <v>155</v>
      </c>
      <c r="E378" t="str">
        <f>"014"</f>
        <v>014</v>
      </c>
      <c r="F378">
        <v>2016</v>
      </c>
      <c r="G378" s="5">
        <v>12682800</v>
      </c>
      <c r="H378" s="5">
        <v>0</v>
      </c>
      <c r="I378" s="5">
        <v>12682800</v>
      </c>
    </row>
    <row r="379" spans="1:9" x14ac:dyDescent="0.3">
      <c r="A379" t="s">
        <v>150</v>
      </c>
      <c r="B379" t="str">
        <f t="shared" si="17"/>
        <v>20276</v>
      </c>
      <c r="C379" t="s">
        <v>11</v>
      </c>
      <c r="D379" t="s">
        <v>155</v>
      </c>
      <c r="E379" t="str">
        <f>"015"</f>
        <v>015</v>
      </c>
      <c r="F379">
        <v>2017</v>
      </c>
      <c r="G379" s="5">
        <v>1247600</v>
      </c>
      <c r="H379" s="5">
        <v>259000</v>
      </c>
      <c r="I379" s="5">
        <v>988600</v>
      </c>
    </row>
    <row r="380" spans="1:9" x14ac:dyDescent="0.3">
      <c r="A380" t="s">
        <v>150</v>
      </c>
      <c r="B380" t="str">
        <f>"20176"</f>
        <v>20176</v>
      </c>
      <c r="C380" t="s">
        <v>12</v>
      </c>
      <c r="D380" t="s">
        <v>156</v>
      </c>
      <c r="E380" t="str">
        <f>"001"</f>
        <v>001</v>
      </c>
      <c r="F380">
        <v>2011</v>
      </c>
      <c r="G380" s="5">
        <v>4279800</v>
      </c>
      <c r="H380" s="5">
        <v>3464400</v>
      </c>
      <c r="I380" s="5">
        <v>815400</v>
      </c>
    </row>
    <row r="381" spans="1:9" x14ac:dyDescent="0.3">
      <c r="A381" t="s">
        <v>150</v>
      </c>
      <c r="B381" t="str">
        <f>"20176"</f>
        <v>20176</v>
      </c>
      <c r="C381" t="s">
        <v>12</v>
      </c>
      <c r="D381" t="s">
        <v>156</v>
      </c>
      <c r="E381" t="str">
        <f>"002"</f>
        <v>002</v>
      </c>
      <c r="F381">
        <v>2019</v>
      </c>
      <c r="G381" s="5">
        <v>3249900</v>
      </c>
      <c r="H381" s="5">
        <v>3138300</v>
      </c>
      <c r="I381" s="5">
        <v>111600</v>
      </c>
    </row>
    <row r="382" spans="1:9" x14ac:dyDescent="0.3">
      <c r="A382" t="s">
        <v>150</v>
      </c>
      <c r="B382" t="str">
        <f>"20292"</f>
        <v>20292</v>
      </c>
      <c r="C382" t="s">
        <v>11</v>
      </c>
      <c r="D382" t="s">
        <v>132</v>
      </c>
      <c r="E382" t="str">
        <f>"003"</f>
        <v>003</v>
      </c>
      <c r="F382">
        <v>2005</v>
      </c>
      <c r="G382" s="5">
        <v>14543300</v>
      </c>
      <c r="H382" s="5">
        <v>10263700</v>
      </c>
      <c r="I382" s="5">
        <v>4279600</v>
      </c>
    </row>
    <row r="383" spans="1:9" x14ac:dyDescent="0.3">
      <c r="A383" t="s">
        <v>150</v>
      </c>
      <c r="B383" t="str">
        <f>"20292"</f>
        <v>20292</v>
      </c>
      <c r="C383" t="s">
        <v>11</v>
      </c>
      <c r="D383" t="s">
        <v>132</v>
      </c>
      <c r="E383" t="str">
        <f>"006"</f>
        <v>006</v>
      </c>
      <c r="F383">
        <v>2012</v>
      </c>
      <c r="G383" s="5">
        <v>7797700</v>
      </c>
      <c r="H383" s="5">
        <v>9154600</v>
      </c>
      <c r="I383" s="5">
        <v>-1356900</v>
      </c>
    </row>
    <row r="384" spans="1:9" x14ac:dyDescent="0.3">
      <c r="A384" t="s">
        <v>150</v>
      </c>
      <c r="B384" t="str">
        <f>"20292"</f>
        <v>20292</v>
      </c>
      <c r="C384" t="s">
        <v>11</v>
      </c>
      <c r="D384" t="s">
        <v>132</v>
      </c>
      <c r="E384" t="str">
        <f>"008"</f>
        <v>008</v>
      </c>
      <c r="F384">
        <v>2018</v>
      </c>
      <c r="G384" s="5">
        <v>7898300</v>
      </c>
      <c r="H384" s="5">
        <v>5047900</v>
      </c>
      <c r="I384" s="5">
        <v>2850400</v>
      </c>
    </row>
    <row r="385" spans="1:9" x14ac:dyDescent="0.3">
      <c r="A385" t="s">
        <v>157</v>
      </c>
      <c r="B385" t="str">
        <f>"21211"</f>
        <v>21211</v>
      </c>
      <c r="C385" t="s">
        <v>11</v>
      </c>
      <c r="D385" t="s">
        <v>158</v>
      </c>
      <c r="E385" t="str">
        <f>"001"</f>
        <v>001</v>
      </c>
      <c r="F385">
        <v>2002</v>
      </c>
      <c r="G385" s="5">
        <v>3881000</v>
      </c>
      <c r="H385" s="5">
        <v>1551000</v>
      </c>
      <c r="I385" s="5">
        <v>2330000</v>
      </c>
    </row>
    <row r="386" spans="1:9" x14ac:dyDescent="0.3">
      <c r="A386" t="s">
        <v>159</v>
      </c>
      <c r="B386" t="str">
        <f>"22206"</f>
        <v>22206</v>
      </c>
      <c r="C386" t="s">
        <v>11</v>
      </c>
      <c r="D386" t="s">
        <v>160</v>
      </c>
      <c r="E386" t="str">
        <f>"004"</f>
        <v>004</v>
      </c>
      <c r="F386">
        <v>2005</v>
      </c>
      <c r="G386" s="5">
        <v>9018000</v>
      </c>
      <c r="H386" s="5">
        <v>5090300</v>
      </c>
      <c r="I386" s="5">
        <v>3927700</v>
      </c>
    </row>
    <row r="387" spans="1:9" x14ac:dyDescent="0.3">
      <c r="A387" t="s">
        <v>159</v>
      </c>
      <c r="B387" t="str">
        <f>"22211"</f>
        <v>22211</v>
      </c>
      <c r="C387" t="s">
        <v>11</v>
      </c>
      <c r="D387" t="s">
        <v>161</v>
      </c>
      <c r="E387" t="str">
        <f>"002"</f>
        <v>002</v>
      </c>
      <c r="F387">
        <v>1999</v>
      </c>
      <c r="G387" s="5">
        <v>9836100</v>
      </c>
      <c r="H387" s="5">
        <v>1703000</v>
      </c>
      <c r="I387" s="5">
        <v>8133100</v>
      </c>
    </row>
    <row r="388" spans="1:9" x14ac:dyDescent="0.3">
      <c r="A388" t="s">
        <v>159</v>
      </c>
      <c r="B388" t="str">
        <f>"22211"</f>
        <v>22211</v>
      </c>
      <c r="C388" t="s">
        <v>11</v>
      </c>
      <c r="D388" t="s">
        <v>161</v>
      </c>
      <c r="E388" t="str">
        <f>"003"</f>
        <v>003</v>
      </c>
      <c r="F388">
        <v>2012</v>
      </c>
      <c r="G388" s="5">
        <v>4743900</v>
      </c>
      <c r="H388" s="5">
        <v>2303400</v>
      </c>
      <c r="I388" s="5">
        <v>2440500</v>
      </c>
    </row>
    <row r="389" spans="1:9" x14ac:dyDescent="0.3">
      <c r="A389" t="s">
        <v>159</v>
      </c>
      <c r="B389" t="str">
        <f>"22211"</f>
        <v>22211</v>
      </c>
      <c r="C389" t="s">
        <v>11</v>
      </c>
      <c r="D389" t="s">
        <v>161</v>
      </c>
      <c r="E389" t="str">
        <f>"004"</f>
        <v>004</v>
      </c>
      <c r="F389">
        <v>2019</v>
      </c>
      <c r="G389" s="5">
        <v>8507300</v>
      </c>
      <c r="H389" s="5">
        <v>5965000</v>
      </c>
      <c r="I389" s="5">
        <v>2542300</v>
      </c>
    </row>
    <row r="390" spans="1:9" x14ac:dyDescent="0.3">
      <c r="A390" t="s">
        <v>159</v>
      </c>
      <c r="B390" t="str">
        <f>"22116"</f>
        <v>22116</v>
      </c>
      <c r="C390" t="s">
        <v>12</v>
      </c>
      <c r="D390" t="s">
        <v>162</v>
      </c>
      <c r="E390" t="str">
        <f>"001"</f>
        <v>001</v>
      </c>
      <c r="F390">
        <v>2014</v>
      </c>
      <c r="G390" s="5">
        <v>2907400</v>
      </c>
      <c r="H390" s="5">
        <v>1550700</v>
      </c>
      <c r="I390" s="5">
        <v>1356700</v>
      </c>
    </row>
    <row r="391" spans="1:9" x14ac:dyDescent="0.3">
      <c r="A391" t="s">
        <v>159</v>
      </c>
      <c r="B391" t="str">
        <f>"22226"</f>
        <v>22226</v>
      </c>
      <c r="C391" t="s">
        <v>11</v>
      </c>
      <c r="D391" t="s">
        <v>163</v>
      </c>
      <c r="E391" t="str">
        <f>"004"</f>
        <v>004</v>
      </c>
      <c r="F391">
        <v>2002</v>
      </c>
      <c r="G391" s="5">
        <v>1043200</v>
      </c>
      <c r="H391" s="5">
        <v>32200</v>
      </c>
      <c r="I391" s="5">
        <v>1011000</v>
      </c>
    </row>
    <row r="392" spans="1:9" x14ac:dyDescent="0.3">
      <c r="A392" t="s">
        <v>159</v>
      </c>
      <c r="B392" t="str">
        <f>"22226"</f>
        <v>22226</v>
      </c>
      <c r="C392" t="s">
        <v>11</v>
      </c>
      <c r="D392" t="s">
        <v>163</v>
      </c>
      <c r="E392" t="str">
        <f>"005"</f>
        <v>005</v>
      </c>
      <c r="F392">
        <v>2005</v>
      </c>
      <c r="G392" s="5">
        <v>8551700</v>
      </c>
      <c r="H392" s="5">
        <v>6958900</v>
      </c>
      <c r="I392" s="5">
        <v>1592800</v>
      </c>
    </row>
    <row r="393" spans="1:9" x14ac:dyDescent="0.3">
      <c r="A393" t="s">
        <v>159</v>
      </c>
      <c r="B393" t="str">
        <f>"22226"</f>
        <v>22226</v>
      </c>
      <c r="C393" t="s">
        <v>11</v>
      </c>
      <c r="D393" t="s">
        <v>163</v>
      </c>
      <c r="E393" t="str">
        <f>"006"</f>
        <v>006</v>
      </c>
      <c r="F393">
        <v>2017</v>
      </c>
      <c r="G393" s="5">
        <v>1848200</v>
      </c>
      <c r="H393" s="5">
        <v>1370000</v>
      </c>
      <c r="I393" s="5">
        <v>478200</v>
      </c>
    </row>
    <row r="394" spans="1:9" x14ac:dyDescent="0.3">
      <c r="A394" t="s">
        <v>159</v>
      </c>
      <c r="B394" t="str">
        <f>"22136"</f>
        <v>22136</v>
      </c>
      <c r="C394" t="s">
        <v>12</v>
      </c>
      <c r="D394" t="s">
        <v>164</v>
      </c>
      <c r="E394" t="str">
        <f>"001"</f>
        <v>001</v>
      </c>
      <c r="F394">
        <v>1997</v>
      </c>
      <c r="G394" s="5">
        <v>2573800</v>
      </c>
      <c r="H394" s="5">
        <v>823900</v>
      </c>
      <c r="I394" s="5">
        <v>1749900</v>
      </c>
    </row>
    <row r="395" spans="1:9" x14ac:dyDescent="0.3">
      <c r="A395" t="s">
        <v>159</v>
      </c>
      <c r="B395" t="str">
        <f>"22246"</f>
        <v>22246</v>
      </c>
      <c r="C395" t="s">
        <v>11</v>
      </c>
      <c r="D395" t="s">
        <v>165</v>
      </c>
      <c r="E395" t="str">
        <f>"003"</f>
        <v>003</v>
      </c>
      <c r="F395">
        <v>2006</v>
      </c>
      <c r="G395" s="5">
        <v>7509700</v>
      </c>
      <c r="H395" s="5">
        <v>424500</v>
      </c>
      <c r="I395" s="5">
        <v>7085200</v>
      </c>
    </row>
    <row r="396" spans="1:9" x14ac:dyDescent="0.3">
      <c r="A396" t="s">
        <v>159</v>
      </c>
      <c r="B396" t="str">
        <f>"22246"</f>
        <v>22246</v>
      </c>
      <c r="C396" t="s">
        <v>11</v>
      </c>
      <c r="D396" t="s">
        <v>165</v>
      </c>
      <c r="E396" t="str">
        <f>"004"</f>
        <v>004</v>
      </c>
      <c r="F396">
        <v>2006</v>
      </c>
      <c r="G396" s="5">
        <v>5993200</v>
      </c>
      <c r="H396" s="5">
        <v>2414400</v>
      </c>
      <c r="I396" s="5">
        <v>3578800</v>
      </c>
    </row>
    <row r="397" spans="1:9" x14ac:dyDescent="0.3">
      <c r="A397" t="s">
        <v>159</v>
      </c>
      <c r="B397" t="str">
        <f>"22246"</f>
        <v>22246</v>
      </c>
      <c r="C397" t="s">
        <v>11</v>
      </c>
      <c r="D397" t="s">
        <v>165</v>
      </c>
      <c r="E397" t="str">
        <f>"005"</f>
        <v>005</v>
      </c>
      <c r="F397">
        <v>2018</v>
      </c>
      <c r="G397" s="5">
        <v>2205300</v>
      </c>
      <c r="H397" s="5">
        <v>0</v>
      </c>
      <c r="I397" s="5">
        <v>2205300</v>
      </c>
    </row>
    <row r="398" spans="1:9" x14ac:dyDescent="0.3">
      <c r="A398" t="s">
        <v>159</v>
      </c>
      <c r="B398" t="str">
        <f>"22151"</f>
        <v>22151</v>
      </c>
      <c r="C398" t="s">
        <v>12</v>
      </c>
      <c r="D398" t="s">
        <v>166</v>
      </c>
      <c r="E398" t="str">
        <f>"001"</f>
        <v>001</v>
      </c>
      <c r="F398">
        <v>2014</v>
      </c>
      <c r="G398" s="5">
        <v>2492300</v>
      </c>
      <c r="H398" s="5">
        <v>1968700</v>
      </c>
      <c r="I398" s="5">
        <v>523600</v>
      </c>
    </row>
    <row r="399" spans="1:9" x14ac:dyDescent="0.3">
      <c r="A399" t="s">
        <v>159</v>
      </c>
      <c r="B399" t="str">
        <f>"22153"</f>
        <v>22153</v>
      </c>
      <c r="C399" t="s">
        <v>12</v>
      </c>
      <c r="D399" t="s">
        <v>167</v>
      </c>
      <c r="E399" t="str">
        <f>"003"</f>
        <v>003</v>
      </c>
      <c r="F399">
        <v>1997</v>
      </c>
      <c r="G399" s="5">
        <v>3799800</v>
      </c>
      <c r="H399" s="5">
        <v>2039400</v>
      </c>
      <c r="I399" s="5">
        <v>1760400</v>
      </c>
    </row>
    <row r="400" spans="1:9" x14ac:dyDescent="0.3">
      <c r="A400" t="s">
        <v>159</v>
      </c>
      <c r="B400" t="str">
        <f>"22271"</f>
        <v>22271</v>
      </c>
      <c r="C400" t="s">
        <v>11</v>
      </c>
      <c r="D400" t="s">
        <v>168</v>
      </c>
      <c r="E400" t="str">
        <f>"005"</f>
        <v>005</v>
      </c>
      <c r="F400">
        <v>2005</v>
      </c>
      <c r="G400" s="5">
        <v>42926600</v>
      </c>
      <c r="H400" s="5">
        <v>29500</v>
      </c>
      <c r="I400" s="5">
        <v>42897100</v>
      </c>
    </row>
    <row r="401" spans="1:9" x14ac:dyDescent="0.3">
      <c r="A401" t="s">
        <v>159</v>
      </c>
      <c r="B401" t="str">
        <f>"22271"</f>
        <v>22271</v>
      </c>
      <c r="C401" t="s">
        <v>11</v>
      </c>
      <c r="D401" t="s">
        <v>168</v>
      </c>
      <c r="E401" t="str">
        <f>"006"</f>
        <v>006</v>
      </c>
      <c r="F401">
        <v>2006</v>
      </c>
      <c r="G401" s="5">
        <v>34811300</v>
      </c>
      <c r="H401" s="5">
        <v>7740400</v>
      </c>
      <c r="I401" s="5">
        <v>27070900</v>
      </c>
    </row>
    <row r="402" spans="1:9" x14ac:dyDescent="0.3">
      <c r="A402" t="s">
        <v>159</v>
      </c>
      <c r="B402" t="str">
        <f>"22271"</f>
        <v>22271</v>
      </c>
      <c r="C402" t="s">
        <v>11</v>
      </c>
      <c r="D402" t="s">
        <v>168</v>
      </c>
      <c r="E402" t="str">
        <f>"007"</f>
        <v>007</v>
      </c>
      <c r="F402">
        <v>2006</v>
      </c>
      <c r="G402" s="5">
        <v>49841000</v>
      </c>
      <c r="H402" s="5">
        <v>29515000</v>
      </c>
      <c r="I402" s="5">
        <v>20326000</v>
      </c>
    </row>
    <row r="403" spans="1:9" x14ac:dyDescent="0.3">
      <c r="A403" t="s">
        <v>169</v>
      </c>
      <c r="B403" t="str">
        <f>"23106"</f>
        <v>23106</v>
      </c>
      <c r="C403" t="s">
        <v>12</v>
      </c>
      <c r="D403" t="s">
        <v>96</v>
      </c>
      <c r="E403" t="str">
        <f>"005"</f>
        <v>005</v>
      </c>
      <c r="F403">
        <v>2009</v>
      </c>
      <c r="G403" s="5">
        <v>335000</v>
      </c>
      <c r="H403" s="5">
        <v>368800</v>
      </c>
      <c r="I403" s="5">
        <v>-33800</v>
      </c>
    </row>
    <row r="404" spans="1:9" x14ac:dyDescent="0.3">
      <c r="A404" t="s">
        <v>169</v>
      </c>
      <c r="B404" t="str">
        <f>"23206"</f>
        <v>23206</v>
      </c>
      <c r="C404" t="s">
        <v>11</v>
      </c>
      <c r="D404" t="s">
        <v>170</v>
      </c>
      <c r="E404" t="str">
        <f>"004"</f>
        <v>004</v>
      </c>
      <c r="F404">
        <v>2005</v>
      </c>
      <c r="G404" s="5">
        <v>188600</v>
      </c>
      <c r="H404" s="5">
        <v>108400</v>
      </c>
      <c r="I404" s="5">
        <v>80200</v>
      </c>
    </row>
    <row r="405" spans="1:9" x14ac:dyDescent="0.3">
      <c r="A405" t="s">
        <v>169</v>
      </c>
      <c r="B405" t="str">
        <f>"23206"</f>
        <v>23206</v>
      </c>
      <c r="C405" t="s">
        <v>11</v>
      </c>
      <c r="D405" t="s">
        <v>170</v>
      </c>
      <c r="E405" t="str">
        <f>"005"</f>
        <v>005</v>
      </c>
      <c r="F405">
        <v>2005</v>
      </c>
      <c r="G405" s="5">
        <v>1560400</v>
      </c>
      <c r="H405" s="5">
        <v>1529000</v>
      </c>
      <c r="I405" s="5">
        <v>31400</v>
      </c>
    </row>
    <row r="406" spans="1:9" x14ac:dyDescent="0.3">
      <c r="A406" t="s">
        <v>169</v>
      </c>
      <c r="B406" t="str">
        <f>"23206"</f>
        <v>23206</v>
      </c>
      <c r="C406" t="s">
        <v>11</v>
      </c>
      <c r="D406" t="s">
        <v>170</v>
      </c>
      <c r="E406" t="str">
        <f>"006"</f>
        <v>006</v>
      </c>
      <c r="F406">
        <v>2006</v>
      </c>
      <c r="G406" s="5">
        <v>2102300</v>
      </c>
      <c r="H406" s="5">
        <v>1170300</v>
      </c>
      <c r="I406" s="5">
        <v>932000</v>
      </c>
    </row>
    <row r="407" spans="1:9" x14ac:dyDescent="0.3">
      <c r="A407" t="s">
        <v>169</v>
      </c>
      <c r="B407" t="str">
        <f>"23206"</f>
        <v>23206</v>
      </c>
      <c r="C407" t="s">
        <v>11</v>
      </c>
      <c r="D407" t="s">
        <v>170</v>
      </c>
      <c r="E407" t="str">
        <f>"007"</f>
        <v>007</v>
      </c>
      <c r="F407">
        <v>2013</v>
      </c>
      <c r="G407" s="5">
        <v>6048200</v>
      </c>
      <c r="H407" s="5">
        <v>4118800</v>
      </c>
      <c r="I407" s="5">
        <v>1929400</v>
      </c>
    </row>
    <row r="408" spans="1:9" x14ac:dyDescent="0.3">
      <c r="A408" t="s">
        <v>169</v>
      </c>
      <c r="B408" t="str">
        <f>"23109"</f>
        <v>23109</v>
      </c>
      <c r="C408" t="s">
        <v>12</v>
      </c>
      <c r="D408" t="s">
        <v>98</v>
      </c>
      <c r="E408" t="str">
        <f>"001"</f>
        <v>001</v>
      </c>
      <c r="F408">
        <v>2008</v>
      </c>
      <c r="G408" s="5">
        <v>6900700</v>
      </c>
      <c r="H408" s="5">
        <v>4400600</v>
      </c>
      <c r="I408" s="5">
        <v>2500100</v>
      </c>
    </row>
    <row r="409" spans="1:9" x14ac:dyDescent="0.3">
      <c r="A409" t="s">
        <v>169</v>
      </c>
      <c r="B409" t="str">
        <f>"23251"</f>
        <v>23251</v>
      </c>
      <c r="C409" t="s">
        <v>11</v>
      </c>
      <c r="D409" t="s">
        <v>171</v>
      </c>
      <c r="E409" t="str">
        <f>"006"</f>
        <v>006</v>
      </c>
      <c r="F409">
        <v>2003</v>
      </c>
      <c r="G409" s="5">
        <v>26142600</v>
      </c>
      <c r="H409" s="5">
        <v>10143200</v>
      </c>
      <c r="I409" s="5">
        <v>15999400</v>
      </c>
    </row>
    <row r="410" spans="1:9" x14ac:dyDescent="0.3">
      <c r="A410" t="s">
        <v>169</v>
      </c>
      <c r="B410" t="str">
        <f>"23251"</f>
        <v>23251</v>
      </c>
      <c r="C410" t="s">
        <v>11</v>
      </c>
      <c r="D410" t="s">
        <v>171</v>
      </c>
      <c r="E410" t="str">
        <f>"007"</f>
        <v>007</v>
      </c>
      <c r="F410">
        <v>2005</v>
      </c>
      <c r="G410" s="5">
        <v>44660800</v>
      </c>
      <c r="H410" s="5">
        <v>32349800</v>
      </c>
      <c r="I410" s="5">
        <v>12311000</v>
      </c>
    </row>
    <row r="411" spans="1:9" x14ac:dyDescent="0.3">
      <c r="A411" t="s">
        <v>169</v>
      </c>
      <c r="B411" t="str">
        <f>"23251"</f>
        <v>23251</v>
      </c>
      <c r="C411" t="s">
        <v>11</v>
      </c>
      <c r="D411" t="s">
        <v>171</v>
      </c>
      <c r="E411" t="str">
        <f>"008"</f>
        <v>008</v>
      </c>
      <c r="F411">
        <v>2007</v>
      </c>
      <c r="G411" s="5">
        <v>4902900</v>
      </c>
      <c r="H411" s="5">
        <v>2332700</v>
      </c>
      <c r="I411" s="5">
        <v>2570200</v>
      </c>
    </row>
    <row r="412" spans="1:9" x14ac:dyDescent="0.3">
      <c r="A412" t="s">
        <v>169</v>
      </c>
      <c r="B412" t="str">
        <f>"23251"</f>
        <v>23251</v>
      </c>
      <c r="C412" t="s">
        <v>11</v>
      </c>
      <c r="D412" t="s">
        <v>171</v>
      </c>
      <c r="E412" t="str">
        <f>"009"</f>
        <v>009</v>
      </c>
      <c r="F412">
        <v>2018</v>
      </c>
      <c r="G412" s="5">
        <v>21816200</v>
      </c>
      <c r="H412" s="5">
        <v>21014500</v>
      </c>
      <c r="I412" s="5">
        <v>801700</v>
      </c>
    </row>
    <row r="413" spans="1:9" x14ac:dyDescent="0.3">
      <c r="A413" t="s">
        <v>169</v>
      </c>
      <c r="B413" t="str">
        <f>"23251"</f>
        <v>23251</v>
      </c>
      <c r="C413" t="s">
        <v>11</v>
      </c>
      <c r="D413" t="s">
        <v>171</v>
      </c>
      <c r="E413" t="str">
        <f>"010"</f>
        <v>010</v>
      </c>
      <c r="F413">
        <v>2017</v>
      </c>
      <c r="G413" s="5">
        <v>16668100</v>
      </c>
      <c r="H413" s="5">
        <v>17449200</v>
      </c>
      <c r="I413" s="5">
        <v>-781100</v>
      </c>
    </row>
    <row r="414" spans="1:9" x14ac:dyDescent="0.3">
      <c r="A414" t="s">
        <v>169</v>
      </c>
      <c r="B414" t="str">
        <f>"23161"</f>
        <v>23161</v>
      </c>
      <c r="C414" t="s">
        <v>12</v>
      </c>
      <c r="D414" t="s">
        <v>172</v>
      </c>
      <c r="E414" t="str">
        <f>"003"</f>
        <v>003</v>
      </c>
      <c r="F414">
        <v>2006</v>
      </c>
      <c r="G414" s="5">
        <v>13475800</v>
      </c>
      <c r="H414" s="5">
        <v>19300</v>
      </c>
      <c r="I414" s="5">
        <v>13456500</v>
      </c>
    </row>
    <row r="415" spans="1:9" x14ac:dyDescent="0.3">
      <c r="A415" t="s">
        <v>169</v>
      </c>
      <c r="B415" t="str">
        <f>"23161"</f>
        <v>23161</v>
      </c>
      <c r="C415" t="s">
        <v>12</v>
      </c>
      <c r="D415" t="s">
        <v>172</v>
      </c>
      <c r="E415" t="str">
        <f>"004"</f>
        <v>004</v>
      </c>
      <c r="F415">
        <v>2015</v>
      </c>
      <c r="G415" s="5">
        <v>19380500</v>
      </c>
      <c r="H415" s="5">
        <v>14642600</v>
      </c>
      <c r="I415" s="5">
        <v>4737900</v>
      </c>
    </row>
    <row r="416" spans="1:9" x14ac:dyDescent="0.3">
      <c r="A416" t="s">
        <v>173</v>
      </c>
      <c r="B416" t="str">
        <f>"24206"</f>
        <v>24206</v>
      </c>
      <c r="C416" t="s">
        <v>11</v>
      </c>
      <c r="D416" t="s">
        <v>174</v>
      </c>
      <c r="E416" t="str">
        <f>"001E"</f>
        <v>001E</v>
      </c>
      <c r="F416">
        <v>2003</v>
      </c>
      <c r="G416" s="5">
        <v>939500</v>
      </c>
      <c r="H416" s="5">
        <v>615300</v>
      </c>
      <c r="I416" s="5">
        <v>324200</v>
      </c>
    </row>
    <row r="417" spans="1:9" x14ac:dyDescent="0.3">
      <c r="A417" t="s">
        <v>173</v>
      </c>
      <c r="B417" t="str">
        <f>"24206"</f>
        <v>24206</v>
      </c>
      <c r="C417" t="s">
        <v>11</v>
      </c>
      <c r="D417" t="s">
        <v>174</v>
      </c>
      <c r="E417" t="str">
        <f>"002E"</f>
        <v>002E</v>
      </c>
      <c r="F417">
        <v>2007</v>
      </c>
      <c r="G417" s="5">
        <v>928700</v>
      </c>
      <c r="H417" s="5">
        <v>105000</v>
      </c>
      <c r="I417" s="5">
        <v>823700</v>
      </c>
    </row>
    <row r="418" spans="1:9" x14ac:dyDescent="0.3">
      <c r="A418" t="s">
        <v>173</v>
      </c>
      <c r="B418" t="str">
        <f>"24206"</f>
        <v>24206</v>
      </c>
      <c r="C418" t="s">
        <v>11</v>
      </c>
      <c r="D418" t="s">
        <v>174</v>
      </c>
      <c r="E418" t="str">
        <f>"009"</f>
        <v>009</v>
      </c>
      <c r="F418">
        <v>1991</v>
      </c>
      <c r="G418" s="5">
        <v>729700</v>
      </c>
      <c r="H418" s="5">
        <v>129300</v>
      </c>
      <c r="I418" s="5">
        <v>600400</v>
      </c>
    </row>
    <row r="419" spans="1:9" x14ac:dyDescent="0.3">
      <c r="A419" t="s">
        <v>173</v>
      </c>
      <c r="B419" t="str">
        <f>"24206"</f>
        <v>24206</v>
      </c>
      <c r="C419" t="s">
        <v>11</v>
      </c>
      <c r="D419" t="s">
        <v>174</v>
      </c>
      <c r="E419" t="str">
        <f>"014"</f>
        <v>014</v>
      </c>
      <c r="F419">
        <v>2006</v>
      </c>
      <c r="G419" s="5">
        <v>3393200</v>
      </c>
      <c r="H419" s="5">
        <v>192300</v>
      </c>
      <c r="I419" s="5">
        <v>3200900</v>
      </c>
    </row>
    <row r="420" spans="1:9" x14ac:dyDescent="0.3">
      <c r="A420" t="s">
        <v>173</v>
      </c>
      <c r="B420" t="str">
        <f>"24206"</f>
        <v>24206</v>
      </c>
      <c r="C420" t="s">
        <v>11</v>
      </c>
      <c r="D420" t="s">
        <v>174</v>
      </c>
      <c r="E420" t="str">
        <f>"015"</f>
        <v>015</v>
      </c>
      <c r="F420">
        <v>2008</v>
      </c>
      <c r="G420" s="5">
        <v>13632100</v>
      </c>
      <c r="H420" s="5">
        <v>12491500</v>
      </c>
      <c r="I420" s="5">
        <v>1140600</v>
      </c>
    </row>
    <row r="421" spans="1:9" x14ac:dyDescent="0.3">
      <c r="A421" t="s">
        <v>173</v>
      </c>
      <c r="B421" t="str">
        <f>"24231"</f>
        <v>24231</v>
      </c>
      <c r="C421" t="s">
        <v>11</v>
      </c>
      <c r="D421" t="s">
        <v>173</v>
      </c>
      <c r="E421" t="str">
        <f>"003"</f>
        <v>003</v>
      </c>
      <c r="F421">
        <v>2005</v>
      </c>
      <c r="G421" s="5">
        <v>26377300</v>
      </c>
      <c r="H421" s="5">
        <v>8995800</v>
      </c>
      <c r="I421" s="5">
        <v>17381500</v>
      </c>
    </row>
    <row r="422" spans="1:9" x14ac:dyDescent="0.3">
      <c r="A422" t="s">
        <v>173</v>
      </c>
      <c r="B422" t="str">
        <f>"24231"</f>
        <v>24231</v>
      </c>
      <c r="C422" t="s">
        <v>11</v>
      </c>
      <c r="D422" t="s">
        <v>173</v>
      </c>
      <c r="E422" t="str">
        <f>"004"</f>
        <v>004</v>
      </c>
      <c r="F422">
        <v>2009</v>
      </c>
      <c r="G422" s="5">
        <v>177900</v>
      </c>
      <c r="H422" s="5">
        <v>237700</v>
      </c>
      <c r="I422" s="5">
        <v>-59800</v>
      </c>
    </row>
    <row r="423" spans="1:9" x14ac:dyDescent="0.3">
      <c r="A423" t="s">
        <v>173</v>
      </c>
      <c r="B423" t="str">
        <f>"24251"</f>
        <v>24251</v>
      </c>
      <c r="C423" t="s">
        <v>11</v>
      </c>
      <c r="D423" t="s">
        <v>175</v>
      </c>
      <c r="E423" t="str">
        <f>"001"</f>
        <v>001</v>
      </c>
      <c r="F423">
        <v>1995</v>
      </c>
      <c r="G423" s="5">
        <v>5354200</v>
      </c>
      <c r="H423" s="5">
        <v>1326500</v>
      </c>
      <c r="I423" s="5">
        <v>4027700</v>
      </c>
    </row>
    <row r="424" spans="1:9" x14ac:dyDescent="0.3">
      <c r="A424" t="s">
        <v>173</v>
      </c>
      <c r="B424" t="str">
        <f>"24271"</f>
        <v>24271</v>
      </c>
      <c r="C424" t="s">
        <v>11</v>
      </c>
      <c r="D424" t="s">
        <v>176</v>
      </c>
      <c r="E424" t="str">
        <f>"002"</f>
        <v>002</v>
      </c>
      <c r="F424">
        <v>2001</v>
      </c>
      <c r="G424" s="5">
        <v>10068500</v>
      </c>
      <c r="H424" s="5">
        <v>5110600</v>
      </c>
      <c r="I424" s="5">
        <v>4957900</v>
      </c>
    </row>
    <row r="425" spans="1:9" x14ac:dyDescent="0.3">
      <c r="A425" t="s">
        <v>177</v>
      </c>
      <c r="B425" t="str">
        <f>"25101"</f>
        <v>25101</v>
      </c>
      <c r="C425" t="s">
        <v>12</v>
      </c>
      <c r="D425" t="s">
        <v>178</v>
      </c>
      <c r="E425" t="str">
        <f>"001"</f>
        <v>001</v>
      </c>
      <c r="F425">
        <v>2006</v>
      </c>
      <c r="G425" s="5">
        <v>14014300</v>
      </c>
      <c r="H425" s="5">
        <v>5220300</v>
      </c>
      <c r="I425" s="5">
        <v>8794000</v>
      </c>
    </row>
    <row r="426" spans="1:9" x14ac:dyDescent="0.3">
      <c r="A426" t="s">
        <v>177</v>
      </c>
      <c r="B426" t="str">
        <f>"25102"</f>
        <v>25102</v>
      </c>
      <c r="C426" t="s">
        <v>12</v>
      </c>
      <c r="D426" t="s">
        <v>179</v>
      </c>
      <c r="E426" t="str">
        <f>"001"</f>
        <v>001</v>
      </c>
      <c r="F426">
        <v>1995</v>
      </c>
      <c r="G426" s="5">
        <v>6172200</v>
      </c>
      <c r="H426" s="5">
        <v>2168500</v>
      </c>
      <c r="I426" s="5">
        <v>4003700</v>
      </c>
    </row>
    <row r="427" spans="1:9" x14ac:dyDescent="0.3">
      <c r="A427" t="s">
        <v>177</v>
      </c>
      <c r="B427" t="str">
        <f>"25106"</f>
        <v>25106</v>
      </c>
      <c r="C427" t="s">
        <v>12</v>
      </c>
      <c r="D427" t="s">
        <v>180</v>
      </c>
      <c r="E427" t="str">
        <f>"001"</f>
        <v>001</v>
      </c>
      <c r="F427">
        <v>2002</v>
      </c>
      <c r="G427" s="5">
        <v>10359200</v>
      </c>
      <c r="H427" s="5">
        <v>1732300</v>
      </c>
      <c r="I427" s="5">
        <v>8626900</v>
      </c>
    </row>
    <row r="428" spans="1:9" x14ac:dyDescent="0.3">
      <c r="A428" t="s">
        <v>177</v>
      </c>
      <c r="B428" t="str">
        <f>"25106"</f>
        <v>25106</v>
      </c>
      <c r="C428" t="s">
        <v>12</v>
      </c>
      <c r="D428" t="s">
        <v>180</v>
      </c>
      <c r="E428" t="str">
        <f>"002"</f>
        <v>002</v>
      </c>
      <c r="F428">
        <v>2015</v>
      </c>
      <c r="G428" s="5">
        <v>37721700</v>
      </c>
      <c r="H428" s="5">
        <v>232000</v>
      </c>
      <c r="I428" s="5">
        <v>37489700</v>
      </c>
    </row>
    <row r="429" spans="1:9" x14ac:dyDescent="0.3">
      <c r="A429" t="s">
        <v>177</v>
      </c>
      <c r="B429" t="str">
        <f>"25216"</f>
        <v>25216</v>
      </c>
      <c r="C429" t="s">
        <v>11</v>
      </c>
      <c r="D429" t="s">
        <v>181</v>
      </c>
      <c r="E429" t="str">
        <f>"002"</f>
        <v>002</v>
      </c>
      <c r="F429">
        <v>1998</v>
      </c>
      <c r="G429" s="5">
        <v>19517200</v>
      </c>
      <c r="H429" s="5">
        <v>370600</v>
      </c>
      <c r="I429" s="5">
        <v>19146600</v>
      </c>
    </row>
    <row r="430" spans="1:9" x14ac:dyDescent="0.3">
      <c r="A430" t="s">
        <v>177</v>
      </c>
      <c r="B430" t="str">
        <f>"25136"</f>
        <v>25136</v>
      </c>
      <c r="C430" t="s">
        <v>12</v>
      </c>
      <c r="D430" t="s">
        <v>182</v>
      </c>
      <c r="E430" t="str">
        <f>"002"</f>
        <v>002</v>
      </c>
      <c r="F430">
        <v>1999</v>
      </c>
      <c r="G430" s="5">
        <v>5436200</v>
      </c>
      <c r="H430" s="5">
        <v>973600</v>
      </c>
      <c r="I430" s="5">
        <v>4462600</v>
      </c>
    </row>
    <row r="431" spans="1:9" x14ac:dyDescent="0.3">
      <c r="A431" t="s">
        <v>177</v>
      </c>
      <c r="B431" t="str">
        <f>"25177"</f>
        <v>25177</v>
      </c>
      <c r="C431" t="s">
        <v>12</v>
      </c>
      <c r="D431" t="s">
        <v>183</v>
      </c>
      <c r="E431" t="str">
        <f>"001"</f>
        <v>001</v>
      </c>
      <c r="F431">
        <v>2007</v>
      </c>
      <c r="G431" s="5">
        <v>5667900</v>
      </c>
      <c r="H431" s="5">
        <v>2902100</v>
      </c>
      <c r="I431" s="5">
        <v>2765800</v>
      </c>
    </row>
    <row r="432" spans="1:9" x14ac:dyDescent="0.3">
      <c r="A432" t="s">
        <v>184</v>
      </c>
      <c r="B432" t="str">
        <f>"26236"</f>
        <v>26236</v>
      </c>
      <c r="C432" t="s">
        <v>11</v>
      </c>
      <c r="D432" t="s">
        <v>185</v>
      </c>
      <c r="E432" t="str">
        <f>"003"</f>
        <v>003</v>
      </c>
      <c r="F432">
        <v>1994</v>
      </c>
      <c r="G432" s="5">
        <v>5840200</v>
      </c>
      <c r="H432" s="5">
        <v>1178800</v>
      </c>
      <c r="I432" s="5">
        <v>4661400</v>
      </c>
    </row>
    <row r="433" spans="1:9" x14ac:dyDescent="0.3">
      <c r="A433" t="s">
        <v>186</v>
      </c>
      <c r="B433" t="str">
        <f>"27206"</f>
        <v>27206</v>
      </c>
      <c r="C433" t="s">
        <v>11</v>
      </c>
      <c r="D433" t="s">
        <v>187</v>
      </c>
      <c r="E433" t="str">
        <f>"003"</f>
        <v>003</v>
      </c>
      <c r="F433">
        <v>2002</v>
      </c>
      <c r="G433" s="5">
        <v>14359700</v>
      </c>
      <c r="H433" s="5">
        <v>496100</v>
      </c>
      <c r="I433" s="5">
        <v>13863600</v>
      </c>
    </row>
    <row r="434" spans="1:9" x14ac:dyDescent="0.3">
      <c r="A434" t="s">
        <v>186</v>
      </c>
      <c r="B434" t="str">
        <f>"27206"</f>
        <v>27206</v>
      </c>
      <c r="C434" t="s">
        <v>11</v>
      </c>
      <c r="D434" t="s">
        <v>187</v>
      </c>
      <c r="E434" t="str">
        <f>"004"</f>
        <v>004</v>
      </c>
      <c r="F434">
        <v>2003</v>
      </c>
      <c r="G434" s="5">
        <v>7411400</v>
      </c>
      <c r="H434" s="5">
        <v>462200</v>
      </c>
      <c r="I434" s="5">
        <v>6949200</v>
      </c>
    </row>
    <row r="435" spans="1:9" x14ac:dyDescent="0.3">
      <c r="A435" t="s">
        <v>186</v>
      </c>
      <c r="B435" t="str">
        <f>"27206"</f>
        <v>27206</v>
      </c>
      <c r="C435" t="s">
        <v>11</v>
      </c>
      <c r="D435" t="s">
        <v>187</v>
      </c>
      <c r="E435" t="str">
        <f>"005"</f>
        <v>005</v>
      </c>
      <c r="F435">
        <v>2008</v>
      </c>
      <c r="G435" s="5">
        <v>465400</v>
      </c>
      <c r="H435" s="5">
        <v>721700</v>
      </c>
      <c r="I435" s="5">
        <v>-256300</v>
      </c>
    </row>
    <row r="436" spans="1:9" x14ac:dyDescent="0.3">
      <c r="A436" t="s">
        <v>186</v>
      </c>
      <c r="B436" t="str">
        <f>"27206"</f>
        <v>27206</v>
      </c>
      <c r="C436" t="s">
        <v>11</v>
      </c>
      <c r="D436" t="s">
        <v>187</v>
      </c>
      <c r="E436" t="str">
        <f>"006"</f>
        <v>006</v>
      </c>
      <c r="F436">
        <v>2017</v>
      </c>
      <c r="G436" s="5">
        <v>8901000</v>
      </c>
      <c r="H436" s="5">
        <v>7792200</v>
      </c>
      <c r="I436" s="5">
        <v>1108800</v>
      </c>
    </row>
    <row r="437" spans="1:9" x14ac:dyDescent="0.3">
      <c r="A437" t="s">
        <v>186</v>
      </c>
      <c r="B437" t="str">
        <f>"27206"</f>
        <v>27206</v>
      </c>
      <c r="C437" t="s">
        <v>11</v>
      </c>
      <c r="D437" t="s">
        <v>187</v>
      </c>
      <c r="E437" t="str">
        <f>"007"</f>
        <v>007</v>
      </c>
      <c r="F437">
        <v>2017</v>
      </c>
      <c r="G437" s="5">
        <v>105700</v>
      </c>
      <c r="H437" s="5">
        <v>0</v>
      </c>
      <c r="I437" s="5">
        <v>105700</v>
      </c>
    </row>
    <row r="438" spans="1:9" x14ac:dyDescent="0.3">
      <c r="A438" t="s">
        <v>186</v>
      </c>
      <c r="B438" t="str">
        <f>"27136"</f>
        <v>27136</v>
      </c>
      <c r="C438" t="s">
        <v>12</v>
      </c>
      <c r="D438" t="s">
        <v>188</v>
      </c>
      <c r="E438" t="str">
        <f>"001"</f>
        <v>001</v>
      </c>
      <c r="F438">
        <v>2007</v>
      </c>
      <c r="G438" s="5">
        <v>9406200</v>
      </c>
      <c r="H438" s="5">
        <v>1557000</v>
      </c>
      <c r="I438" s="5">
        <v>7849200</v>
      </c>
    </row>
    <row r="439" spans="1:9" x14ac:dyDescent="0.3">
      <c r="A439" t="s">
        <v>186</v>
      </c>
      <c r="B439" t="str">
        <f>"27152"</f>
        <v>27152</v>
      </c>
      <c r="C439" t="s">
        <v>12</v>
      </c>
      <c r="D439" t="s">
        <v>189</v>
      </c>
      <c r="E439" t="str">
        <f>"001"</f>
        <v>001</v>
      </c>
      <c r="F439">
        <v>2018</v>
      </c>
      <c r="G439" s="5">
        <v>3672600</v>
      </c>
      <c r="H439" s="5">
        <v>2520600</v>
      </c>
      <c r="I439" s="5">
        <v>1152000</v>
      </c>
    </row>
    <row r="440" spans="1:9" x14ac:dyDescent="0.3">
      <c r="A440" t="s">
        <v>186</v>
      </c>
      <c r="B440" t="str">
        <f>"27186"</f>
        <v>27186</v>
      </c>
      <c r="C440" t="s">
        <v>12</v>
      </c>
      <c r="D440" t="s">
        <v>190</v>
      </c>
      <c r="E440" t="str">
        <f>"004"</f>
        <v>004</v>
      </c>
      <c r="F440">
        <v>1999</v>
      </c>
      <c r="G440" s="5">
        <v>872500</v>
      </c>
      <c r="H440" s="5">
        <v>398800</v>
      </c>
      <c r="I440" s="5">
        <v>473700</v>
      </c>
    </row>
    <row r="441" spans="1:9" x14ac:dyDescent="0.3">
      <c r="A441" t="s">
        <v>191</v>
      </c>
      <c r="B441" t="str">
        <f>"28226"</f>
        <v>28226</v>
      </c>
      <c r="C441" t="s">
        <v>11</v>
      </c>
      <c r="D441" t="s">
        <v>192</v>
      </c>
      <c r="E441" t="str">
        <f>"006"</f>
        <v>006</v>
      </c>
      <c r="F441">
        <v>2000</v>
      </c>
      <c r="G441" s="5">
        <v>7000200</v>
      </c>
      <c r="H441" s="5">
        <v>1135400</v>
      </c>
      <c r="I441" s="5">
        <v>5864800</v>
      </c>
    </row>
    <row r="442" spans="1:9" x14ac:dyDescent="0.3">
      <c r="A442" t="s">
        <v>191</v>
      </c>
      <c r="B442" t="str">
        <f>"28226"</f>
        <v>28226</v>
      </c>
      <c r="C442" t="s">
        <v>11</v>
      </c>
      <c r="D442" t="s">
        <v>192</v>
      </c>
      <c r="E442" t="str">
        <f>"007"</f>
        <v>007</v>
      </c>
      <c r="F442">
        <v>2000</v>
      </c>
      <c r="G442" s="5">
        <v>29471200</v>
      </c>
      <c r="H442" s="5">
        <v>11587900</v>
      </c>
      <c r="I442" s="5">
        <v>17883300</v>
      </c>
    </row>
    <row r="443" spans="1:9" x14ac:dyDescent="0.3">
      <c r="A443" t="s">
        <v>191</v>
      </c>
      <c r="B443" t="str">
        <f>"28226"</f>
        <v>28226</v>
      </c>
      <c r="C443" t="s">
        <v>11</v>
      </c>
      <c r="D443" t="s">
        <v>192</v>
      </c>
      <c r="E443" t="str">
        <f>"008"</f>
        <v>008</v>
      </c>
      <c r="F443">
        <v>2009</v>
      </c>
      <c r="G443" s="5">
        <v>60192900</v>
      </c>
      <c r="H443" s="5">
        <v>28584200</v>
      </c>
      <c r="I443" s="5">
        <v>31608700</v>
      </c>
    </row>
    <row r="444" spans="1:9" x14ac:dyDescent="0.3">
      <c r="A444" t="s">
        <v>191</v>
      </c>
      <c r="B444" t="str">
        <f>"28241"</f>
        <v>28241</v>
      </c>
      <c r="C444" t="s">
        <v>11</v>
      </c>
      <c r="D444" t="s">
        <v>191</v>
      </c>
      <c r="E444" t="str">
        <f>"005"</f>
        <v>005</v>
      </c>
      <c r="F444">
        <v>2001</v>
      </c>
      <c r="G444" s="5">
        <v>34548800</v>
      </c>
      <c r="H444" s="5">
        <v>21437300</v>
      </c>
      <c r="I444" s="5">
        <v>13111500</v>
      </c>
    </row>
    <row r="445" spans="1:9" x14ac:dyDescent="0.3">
      <c r="A445" t="s">
        <v>191</v>
      </c>
      <c r="B445" t="str">
        <f>"28241"</f>
        <v>28241</v>
      </c>
      <c r="C445" t="s">
        <v>11</v>
      </c>
      <c r="D445" t="s">
        <v>191</v>
      </c>
      <c r="E445" t="str">
        <f>"006"</f>
        <v>006</v>
      </c>
      <c r="F445">
        <v>2009</v>
      </c>
      <c r="G445" s="5">
        <v>7752000</v>
      </c>
      <c r="H445" s="5">
        <v>0</v>
      </c>
      <c r="I445" s="5">
        <v>7752000</v>
      </c>
    </row>
    <row r="446" spans="1:9" x14ac:dyDescent="0.3">
      <c r="A446" t="s">
        <v>191</v>
      </c>
      <c r="B446" t="str">
        <f>"28241"</f>
        <v>28241</v>
      </c>
      <c r="C446" t="s">
        <v>11</v>
      </c>
      <c r="D446" t="s">
        <v>191</v>
      </c>
      <c r="E446" t="str">
        <f>"007"</f>
        <v>007</v>
      </c>
      <c r="F446">
        <v>2012</v>
      </c>
      <c r="G446" s="5">
        <v>10573500</v>
      </c>
      <c r="H446" s="5">
        <v>18200</v>
      </c>
      <c r="I446" s="5">
        <v>10555300</v>
      </c>
    </row>
    <row r="447" spans="1:9" x14ac:dyDescent="0.3">
      <c r="A447" t="s">
        <v>191</v>
      </c>
      <c r="B447" t="str">
        <f>"28241"</f>
        <v>28241</v>
      </c>
      <c r="C447" t="s">
        <v>11</v>
      </c>
      <c r="D447" t="s">
        <v>191</v>
      </c>
      <c r="E447" t="str">
        <f>"008"</f>
        <v>008</v>
      </c>
      <c r="F447">
        <v>2015</v>
      </c>
      <c r="G447" s="5">
        <v>1611600</v>
      </c>
      <c r="H447" s="5">
        <v>873200</v>
      </c>
      <c r="I447" s="5">
        <v>738400</v>
      </c>
    </row>
    <row r="448" spans="1:9" x14ac:dyDescent="0.3">
      <c r="A448" t="s">
        <v>191</v>
      </c>
      <c r="B448" t="str">
        <f>"28241"</f>
        <v>28241</v>
      </c>
      <c r="C448" t="s">
        <v>11</v>
      </c>
      <c r="D448" t="s">
        <v>191</v>
      </c>
      <c r="E448" t="str">
        <f>"009"</f>
        <v>009</v>
      </c>
      <c r="F448">
        <v>2019</v>
      </c>
      <c r="G448" s="5">
        <v>15200</v>
      </c>
      <c r="H448" s="5">
        <v>15100</v>
      </c>
      <c r="I448" s="5">
        <v>100</v>
      </c>
    </row>
    <row r="449" spans="1:9" x14ac:dyDescent="0.3">
      <c r="A449" t="s">
        <v>191</v>
      </c>
      <c r="B449" t="str">
        <f>"28141"</f>
        <v>28141</v>
      </c>
      <c r="C449" t="s">
        <v>12</v>
      </c>
      <c r="D449" t="s">
        <v>193</v>
      </c>
      <c r="E449" t="str">
        <f>"002"</f>
        <v>002</v>
      </c>
      <c r="F449">
        <v>1994</v>
      </c>
      <c r="G449" s="5">
        <v>84533400</v>
      </c>
      <c r="H449" s="5">
        <v>11378800</v>
      </c>
      <c r="I449" s="5">
        <v>73154600</v>
      </c>
    </row>
    <row r="450" spans="1:9" x14ac:dyDescent="0.3">
      <c r="A450" t="s">
        <v>191</v>
      </c>
      <c r="B450" t="str">
        <f>"28141"</f>
        <v>28141</v>
      </c>
      <c r="C450" t="s">
        <v>12</v>
      </c>
      <c r="D450" t="s">
        <v>193</v>
      </c>
      <c r="E450" t="str">
        <f>"003"</f>
        <v>003</v>
      </c>
      <c r="F450">
        <v>1995</v>
      </c>
      <c r="G450" s="5">
        <v>57898900</v>
      </c>
      <c r="H450" s="5">
        <v>701400</v>
      </c>
      <c r="I450" s="5">
        <v>57197500</v>
      </c>
    </row>
    <row r="451" spans="1:9" x14ac:dyDescent="0.3">
      <c r="A451" t="s">
        <v>191</v>
      </c>
      <c r="B451" t="str">
        <f t="shared" ref="B451:B456" si="18">"28246"</f>
        <v>28246</v>
      </c>
      <c r="C451" t="s">
        <v>11</v>
      </c>
      <c r="D451" t="s">
        <v>194</v>
      </c>
      <c r="E451" t="str">
        <f>"002"</f>
        <v>002</v>
      </c>
      <c r="F451">
        <v>1998</v>
      </c>
      <c r="G451" s="5">
        <v>33195900</v>
      </c>
      <c r="H451" s="5">
        <v>11445700</v>
      </c>
      <c r="I451" s="5">
        <v>21750200</v>
      </c>
    </row>
    <row r="452" spans="1:9" x14ac:dyDescent="0.3">
      <c r="A452" t="s">
        <v>191</v>
      </c>
      <c r="B452" t="str">
        <f t="shared" si="18"/>
        <v>28246</v>
      </c>
      <c r="C452" t="s">
        <v>11</v>
      </c>
      <c r="D452" t="s">
        <v>194</v>
      </c>
      <c r="E452" t="str">
        <f>"003"</f>
        <v>003</v>
      </c>
      <c r="F452">
        <v>2006</v>
      </c>
      <c r="G452" s="5">
        <v>11134300</v>
      </c>
      <c r="H452" s="5">
        <v>6993800</v>
      </c>
      <c r="I452" s="5">
        <v>4140500</v>
      </c>
    </row>
    <row r="453" spans="1:9" x14ac:dyDescent="0.3">
      <c r="A453" t="s">
        <v>191</v>
      </c>
      <c r="B453" t="str">
        <f t="shared" si="18"/>
        <v>28246</v>
      </c>
      <c r="C453" t="s">
        <v>11</v>
      </c>
      <c r="D453" t="s">
        <v>194</v>
      </c>
      <c r="E453" t="str">
        <f>"004"</f>
        <v>004</v>
      </c>
      <c r="F453">
        <v>2006</v>
      </c>
      <c r="G453" s="5">
        <v>26484500</v>
      </c>
      <c r="H453" s="5">
        <v>8565400</v>
      </c>
      <c r="I453" s="5">
        <v>17919100</v>
      </c>
    </row>
    <row r="454" spans="1:9" x14ac:dyDescent="0.3">
      <c r="A454" t="s">
        <v>191</v>
      </c>
      <c r="B454" t="str">
        <f t="shared" si="18"/>
        <v>28246</v>
      </c>
      <c r="C454" t="s">
        <v>11</v>
      </c>
      <c r="D454" t="s">
        <v>194</v>
      </c>
      <c r="E454" t="str">
        <f>"005"</f>
        <v>005</v>
      </c>
      <c r="F454">
        <v>2014</v>
      </c>
      <c r="G454" s="5">
        <v>4552300</v>
      </c>
      <c r="H454" s="5">
        <v>5932900</v>
      </c>
      <c r="I454" s="5">
        <v>-1380600</v>
      </c>
    </row>
    <row r="455" spans="1:9" x14ac:dyDescent="0.3">
      <c r="A455" t="s">
        <v>191</v>
      </c>
      <c r="B455" t="str">
        <f t="shared" si="18"/>
        <v>28246</v>
      </c>
      <c r="C455" t="s">
        <v>11</v>
      </c>
      <c r="D455" t="s">
        <v>194</v>
      </c>
      <c r="E455" t="str">
        <f>"006"</f>
        <v>006</v>
      </c>
      <c r="F455">
        <v>2014</v>
      </c>
      <c r="G455" s="5">
        <v>4114500</v>
      </c>
      <c r="H455" s="5">
        <v>3312200</v>
      </c>
      <c r="I455" s="5">
        <v>802300</v>
      </c>
    </row>
    <row r="456" spans="1:9" x14ac:dyDescent="0.3">
      <c r="A456" t="s">
        <v>191</v>
      </c>
      <c r="B456" t="str">
        <f t="shared" si="18"/>
        <v>28246</v>
      </c>
      <c r="C456" t="s">
        <v>11</v>
      </c>
      <c r="D456" t="s">
        <v>194</v>
      </c>
      <c r="E456" t="str">
        <f>"007"</f>
        <v>007</v>
      </c>
      <c r="F456">
        <v>2019</v>
      </c>
      <c r="G456" s="5">
        <v>11494300</v>
      </c>
      <c r="H456" s="5">
        <v>9657200</v>
      </c>
      <c r="I456" s="5">
        <v>1837100</v>
      </c>
    </row>
    <row r="457" spans="1:9" x14ac:dyDescent="0.3">
      <c r="A457" t="s">
        <v>191</v>
      </c>
      <c r="B457" t="str">
        <f>"28171"</f>
        <v>28171</v>
      </c>
      <c r="C457" t="s">
        <v>12</v>
      </c>
      <c r="D457" t="s">
        <v>195</v>
      </c>
      <c r="E457" t="str">
        <f>"003"</f>
        <v>003</v>
      </c>
      <c r="F457">
        <v>2006</v>
      </c>
      <c r="G457" s="5">
        <v>8215700</v>
      </c>
      <c r="H457" s="5">
        <v>442200</v>
      </c>
      <c r="I457" s="5">
        <v>7773500</v>
      </c>
    </row>
    <row r="458" spans="1:9" x14ac:dyDescent="0.3">
      <c r="A458" t="s">
        <v>191</v>
      </c>
      <c r="B458" t="str">
        <f>"28290"</f>
        <v>28290</v>
      </c>
      <c r="C458" t="s">
        <v>11</v>
      </c>
      <c r="D458" t="s">
        <v>196</v>
      </c>
      <c r="E458" t="str">
        <f>"002"</f>
        <v>002</v>
      </c>
      <c r="F458">
        <v>2011</v>
      </c>
      <c r="G458" s="5">
        <v>10696000</v>
      </c>
      <c r="H458" s="5">
        <v>7158000</v>
      </c>
      <c r="I458" s="5">
        <v>3538000</v>
      </c>
    </row>
    <row r="459" spans="1:9" x14ac:dyDescent="0.3">
      <c r="A459" t="s">
        <v>191</v>
      </c>
      <c r="B459" t="str">
        <f>"28290"</f>
        <v>28290</v>
      </c>
      <c r="C459" t="s">
        <v>11</v>
      </c>
      <c r="D459" t="s">
        <v>196</v>
      </c>
      <c r="E459" t="str">
        <f>"003"</f>
        <v>003</v>
      </c>
      <c r="F459">
        <v>2012</v>
      </c>
      <c r="G459" s="5">
        <v>5406100</v>
      </c>
      <c r="H459" s="5">
        <v>1583100</v>
      </c>
      <c r="I459" s="5">
        <v>3823000</v>
      </c>
    </row>
    <row r="460" spans="1:9" x14ac:dyDescent="0.3">
      <c r="A460" t="s">
        <v>191</v>
      </c>
      <c r="B460" t="str">
        <f>"28290"</f>
        <v>28290</v>
      </c>
      <c r="C460" t="s">
        <v>11</v>
      </c>
      <c r="D460" t="s">
        <v>196</v>
      </c>
      <c r="E460" t="str">
        <f>"004"</f>
        <v>004</v>
      </c>
      <c r="F460">
        <v>2014</v>
      </c>
      <c r="G460" s="5">
        <v>3541800</v>
      </c>
      <c r="H460" s="5">
        <v>2320100</v>
      </c>
      <c r="I460" s="5">
        <v>1221700</v>
      </c>
    </row>
    <row r="461" spans="1:9" x14ac:dyDescent="0.3">
      <c r="A461" t="s">
        <v>191</v>
      </c>
      <c r="B461" t="str">
        <f>"28291"</f>
        <v>28291</v>
      </c>
      <c r="C461" t="s">
        <v>11</v>
      </c>
      <c r="D461" t="s">
        <v>197</v>
      </c>
      <c r="E461" t="str">
        <f>"004"</f>
        <v>004</v>
      </c>
      <c r="F461">
        <v>2005</v>
      </c>
      <c r="G461" s="5">
        <v>42891400</v>
      </c>
      <c r="H461" s="5">
        <v>1047600</v>
      </c>
      <c r="I461" s="5">
        <v>41843800</v>
      </c>
    </row>
    <row r="462" spans="1:9" x14ac:dyDescent="0.3">
      <c r="A462" t="s">
        <v>191</v>
      </c>
      <c r="B462" t="str">
        <f>"28291"</f>
        <v>28291</v>
      </c>
      <c r="C462" t="s">
        <v>11</v>
      </c>
      <c r="D462" t="s">
        <v>197</v>
      </c>
      <c r="E462" t="str">
        <f>"005"</f>
        <v>005</v>
      </c>
      <c r="F462">
        <v>2005</v>
      </c>
      <c r="G462" s="5">
        <v>62516800</v>
      </c>
      <c r="H462" s="5">
        <v>39631000</v>
      </c>
      <c r="I462" s="5">
        <v>22885800</v>
      </c>
    </row>
    <row r="463" spans="1:9" x14ac:dyDescent="0.3">
      <c r="A463" t="s">
        <v>191</v>
      </c>
      <c r="B463" t="str">
        <f>"28291"</f>
        <v>28291</v>
      </c>
      <c r="C463" t="s">
        <v>11</v>
      </c>
      <c r="D463" t="s">
        <v>197</v>
      </c>
      <c r="E463" t="str">
        <f>"006"</f>
        <v>006</v>
      </c>
      <c r="F463">
        <v>2005</v>
      </c>
      <c r="G463" s="5">
        <v>3542100</v>
      </c>
      <c r="H463" s="5">
        <v>225800</v>
      </c>
      <c r="I463" s="5">
        <v>3316300</v>
      </c>
    </row>
    <row r="464" spans="1:9" x14ac:dyDescent="0.3">
      <c r="A464" t="s">
        <v>191</v>
      </c>
      <c r="B464" t="str">
        <f>"28291"</f>
        <v>28291</v>
      </c>
      <c r="C464" t="s">
        <v>11</v>
      </c>
      <c r="D464" t="s">
        <v>197</v>
      </c>
      <c r="E464" t="str">
        <f>"007"</f>
        <v>007</v>
      </c>
      <c r="F464">
        <v>2016</v>
      </c>
      <c r="G464" s="5">
        <v>45525600</v>
      </c>
      <c r="H464" s="5">
        <v>42443600</v>
      </c>
      <c r="I464" s="5">
        <v>3082000</v>
      </c>
    </row>
    <row r="465" spans="1:9" x14ac:dyDescent="0.3">
      <c r="A465" t="s">
        <v>191</v>
      </c>
      <c r="B465" t="str">
        <f>"28292"</f>
        <v>28292</v>
      </c>
      <c r="C465" t="s">
        <v>11</v>
      </c>
      <c r="D465" t="s">
        <v>198</v>
      </c>
      <c r="E465" t="str">
        <f>"004"</f>
        <v>004</v>
      </c>
      <c r="F465">
        <v>1990</v>
      </c>
      <c r="G465" s="5">
        <v>31559200</v>
      </c>
      <c r="H465" s="5">
        <v>968200</v>
      </c>
      <c r="I465" s="5">
        <v>30591000</v>
      </c>
    </row>
    <row r="466" spans="1:9" x14ac:dyDescent="0.3">
      <c r="A466" t="s">
        <v>191</v>
      </c>
      <c r="B466" t="str">
        <f>"28292"</f>
        <v>28292</v>
      </c>
      <c r="C466" t="s">
        <v>11</v>
      </c>
      <c r="D466" t="s">
        <v>198</v>
      </c>
      <c r="E466" t="str">
        <f>"005"</f>
        <v>005</v>
      </c>
      <c r="F466">
        <v>2007</v>
      </c>
      <c r="G466" s="5">
        <v>14700</v>
      </c>
      <c r="H466" s="5">
        <v>14500</v>
      </c>
      <c r="I466" s="5">
        <v>200</v>
      </c>
    </row>
    <row r="467" spans="1:9" x14ac:dyDescent="0.3">
      <c r="A467" t="s">
        <v>191</v>
      </c>
      <c r="B467" t="str">
        <f>"28292"</f>
        <v>28292</v>
      </c>
      <c r="C467" t="s">
        <v>11</v>
      </c>
      <c r="D467" t="s">
        <v>198</v>
      </c>
      <c r="E467" t="str">
        <f>"008"</f>
        <v>008</v>
      </c>
      <c r="F467">
        <v>2007</v>
      </c>
      <c r="G467" s="5">
        <v>640900</v>
      </c>
      <c r="H467" s="5">
        <v>503700</v>
      </c>
      <c r="I467" s="5">
        <v>137200</v>
      </c>
    </row>
    <row r="468" spans="1:9" x14ac:dyDescent="0.3">
      <c r="A468" t="s">
        <v>128</v>
      </c>
      <c r="B468" t="str">
        <f>"29111"</f>
        <v>29111</v>
      </c>
      <c r="C468" t="s">
        <v>12</v>
      </c>
      <c r="D468" t="s">
        <v>199</v>
      </c>
      <c r="E468" t="str">
        <f>"001"</f>
        <v>001</v>
      </c>
      <c r="F468">
        <v>1995</v>
      </c>
      <c r="G468" s="5">
        <v>6192400</v>
      </c>
      <c r="H468" s="5">
        <v>630200</v>
      </c>
      <c r="I468" s="5">
        <v>5562200</v>
      </c>
    </row>
    <row r="469" spans="1:9" x14ac:dyDescent="0.3">
      <c r="A469" t="s">
        <v>128</v>
      </c>
      <c r="B469" t="str">
        <f>"29221"</f>
        <v>29221</v>
      </c>
      <c r="C469" t="s">
        <v>11</v>
      </c>
      <c r="D469" t="s">
        <v>200</v>
      </c>
      <c r="E469" t="str">
        <f>"002"</f>
        <v>002</v>
      </c>
      <c r="F469">
        <v>1999</v>
      </c>
      <c r="G469" s="5">
        <v>680100</v>
      </c>
      <c r="H469" s="5">
        <v>273200</v>
      </c>
      <c r="I469" s="5">
        <v>406900</v>
      </c>
    </row>
    <row r="470" spans="1:9" x14ac:dyDescent="0.3">
      <c r="A470" t="s">
        <v>128</v>
      </c>
      <c r="B470" t="str">
        <f>"29221"</f>
        <v>29221</v>
      </c>
      <c r="C470" t="s">
        <v>11</v>
      </c>
      <c r="D470" t="s">
        <v>200</v>
      </c>
      <c r="E470" t="str">
        <f>"003"</f>
        <v>003</v>
      </c>
      <c r="F470">
        <v>1999</v>
      </c>
      <c r="G470" s="5">
        <v>3751200</v>
      </c>
      <c r="H470" s="5">
        <v>2436500</v>
      </c>
      <c r="I470" s="5">
        <v>1314700</v>
      </c>
    </row>
    <row r="471" spans="1:9" x14ac:dyDescent="0.3">
      <c r="A471" t="s">
        <v>128</v>
      </c>
      <c r="B471" t="str">
        <f>"29221"</f>
        <v>29221</v>
      </c>
      <c r="C471" t="s">
        <v>11</v>
      </c>
      <c r="D471" t="s">
        <v>200</v>
      </c>
      <c r="E471" t="str">
        <f>"004"</f>
        <v>004</v>
      </c>
      <c r="F471">
        <v>1999</v>
      </c>
      <c r="G471" s="5">
        <v>4305400</v>
      </c>
      <c r="H471" s="5">
        <v>1311300</v>
      </c>
      <c r="I471" s="5">
        <v>2994100</v>
      </c>
    </row>
    <row r="472" spans="1:9" x14ac:dyDescent="0.3">
      <c r="A472" t="s">
        <v>128</v>
      </c>
      <c r="B472" t="str">
        <f>"29221"</f>
        <v>29221</v>
      </c>
      <c r="C472" t="s">
        <v>11</v>
      </c>
      <c r="D472" t="s">
        <v>200</v>
      </c>
      <c r="E472" t="str">
        <f>"005"</f>
        <v>005</v>
      </c>
      <c r="F472">
        <v>1999</v>
      </c>
      <c r="G472" s="5">
        <v>2816100</v>
      </c>
      <c r="H472" s="5">
        <v>36500</v>
      </c>
      <c r="I472" s="5">
        <v>2779600</v>
      </c>
    </row>
    <row r="473" spans="1:9" x14ac:dyDescent="0.3">
      <c r="A473" t="s">
        <v>128</v>
      </c>
      <c r="B473" t="str">
        <f>"29221"</f>
        <v>29221</v>
      </c>
      <c r="C473" t="s">
        <v>11</v>
      </c>
      <c r="D473" t="s">
        <v>200</v>
      </c>
      <c r="E473" t="str">
        <f>"006"</f>
        <v>006</v>
      </c>
      <c r="F473">
        <v>2014</v>
      </c>
      <c r="G473" s="5">
        <v>1715000</v>
      </c>
      <c r="H473" s="5">
        <v>818500</v>
      </c>
      <c r="I473" s="5">
        <v>896500</v>
      </c>
    </row>
    <row r="474" spans="1:9" x14ac:dyDescent="0.3">
      <c r="A474" t="s">
        <v>128</v>
      </c>
      <c r="B474" t="str">
        <f>"29251"</f>
        <v>29251</v>
      </c>
      <c r="C474" t="s">
        <v>11</v>
      </c>
      <c r="D474" t="s">
        <v>201</v>
      </c>
      <c r="E474" t="str">
        <f>"002"</f>
        <v>002</v>
      </c>
      <c r="F474">
        <v>1995</v>
      </c>
      <c r="G474" s="5">
        <v>20623200</v>
      </c>
      <c r="H474" s="5">
        <v>2684900</v>
      </c>
      <c r="I474" s="5">
        <v>17938300</v>
      </c>
    </row>
    <row r="475" spans="1:9" x14ac:dyDescent="0.3">
      <c r="A475" t="s">
        <v>128</v>
      </c>
      <c r="B475" t="str">
        <f>"29251"</f>
        <v>29251</v>
      </c>
      <c r="C475" t="s">
        <v>11</v>
      </c>
      <c r="D475" t="s">
        <v>201</v>
      </c>
      <c r="E475" t="str">
        <f>"003"</f>
        <v>003</v>
      </c>
      <c r="F475">
        <v>1995</v>
      </c>
      <c r="G475" s="5">
        <v>42593700</v>
      </c>
      <c r="H475" s="5">
        <v>9184500</v>
      </c>
      <c r="I475" s="5">
        <v>33409200</v>
      </c>
    </row>
    <row r="476" spans="1:9" x14ac:dyDescent="0.3">
      <c r="A476" t="s">
        <v>128</v>
      </c>
      <c r="B476" t="str">
        <f>"29161"</f>
        <v>29161</v>
      </c>
      <c r="C476" t="s">
        <v>12</v>
      </c>
      <c r="D476" t="s">
        <v>202</v>
      </c>
      <c r="E476" t="str">
        <f>"002"</f>
        <v>002</v>
      </c>
      <c r="F476">
        <v>1995</v>
      </c>
      <c r="G476" s="5">
        <v>6327400</v>
      </c>
      <c r="H476" s="5">
        <v>1233500</v>
      </c>
      <c r="I476" s="5">
        <v>5093900</v>
      </c>
    </row>
    <row r="477" spans="1:9" x14ac:dyDescent="0.3">
      <c r="A477" t="s">
        <v>128</v>
      </c>
      <c r="B477" t="str">
        <f>"29161"</f>
        <v>29161</v>
      </c>
      <c r="C477" t="s">
        <v>12</v>
      </c>
      <c r="D477" t="s">
        <v>202</v>
      </c>
      <c r="E477" t="str">
        <f>"003"</f>
        <v>003</v>
      </c>
      <c r="F477">
        <v>1995</v>
      </c>
      <c r="G477" s="5">
        <v>13786100</v>
      </c>
      <c r="H477" s="5">
        <v>7296300</v>
      </c>
      <c r="I477" s="5">
        <v>6489800</v>
      </c>
    </row>
    <row r="478" spans="1:9" x14ac:dyDescent="0.3">
      <c r="A478" t="s">
        <v>128</v>
      </c>
      <c r="B478" t="str">
        <f>"29261"</f>
        <v>29261</v>
      </c>
      <c r="C478" t="s">
        <v>11</v>
      </c>
      <c r="D478" t="s">
        <v>203</v>
      </c>
      <c r="E478" t="str">
        <f>"009"</f>
        <v>009</v>
      </c>
      <c r="F478">
        <v>1991</v>
      </c>
      <c r="G478" s="5">
        <v>387700</v>
      </c>
      <c r="H478" s="5">
        <v>8300</v>
      </c>
      <c r="I478" s="5">
        <v>379400</v>
      </c>
    </row>
    <row r="479" spans="1:9" x14ac:dyDescent="0.3">
      <c r="A479" t="s">
        <v>128</v>
      </c>
      <c r="B479" t="str">
        <f>"29261"</f>
        <v>29261</v>
      </c>
      <c r="C479" t="s">
        <v>11</v>
      </c>
      <c r="D479" t="s">
        <v>203</v>
      </c>
      <c r="E479" t="str">
        <f>"010"</f>
        <v>010</v>
      </c>
      <c r="F479">
        <v>1991</v>
      </c>
      <c r="G479" s="5">
        <v>286900</v>
      </c>
      <c r="H479" s="5">
        <v>9900</v>
      </c>
      <c r="I479" s="5">
        <v>277000</v>
      </c>
    </row>
    <row r="480" spans="1:9" x14ac:dyDescent="0.3">
      <c r="A480" t="s">
        <v>128</v>
      </c>
      <c r="B480" t="str">
        <f>"29261"</f>
        <v>29261</v>
      </c>
      <c r="C480" t="s">
        <v>11</v>
      </c>
      <c r="D480" t="s">
        <v>203</v>
      </c>
      <c r="E480" t="str">
        <f>"011"</f>
        <v>011</v>
      </c>
      <c r="F480">
        <v>1997</v>
      </c>
      <c r="G480" s="5">
        <v>12753500</v>
      </c>
      <c r="H480" s="5">
        <v>179500</v>
      </c>
      <c r="I480" s="5">
        <v>12574000</v>
      </c>
    </row>
    <row r="481" spans="1:9" x14ac:dyDescent="0.3">
      <c r="A481" t="s">
        <v>128</v>
      </c>
      <c r="B481" t="str">
        <f>"29261"</f>
        <v>29261</v>
      </c>
      <c r="C481" t="s">
        <v>11</v>
      </c>
      <c r="D481" t="s">
        <v>203</v>
      </c>
      <c r="E481" t="str">
        <f>"012"</f>
        <v>012</v>
      </c>
      <c r="F481">
        <v>2010</v>
      </c>
      <c r="G481" s="5">
        <v>3698600</v>
      </c>
      <c r="H481" s="5">
        <v>1140800</v>
      </c>
      <c r="I481" s="5">
        <v>2557800</v>
      </c>
    </row>
    <row r="482" spans="1:9" x14ac:dyDescent="0.3">
      <c r="A482" t="s">
        <v>128</v>
      </c>
      <c r="B482" t="str">
        <f>"29261"</f>
        <v>29261</v>
      </c>
      <c r="C482" t="s">
        <v>11</v>
      </c>
      <c r="D482" t="s">
        <v>203</v>
      </c>
      <c r="E482" t="str">
        <f>"013"</f>
        <v>013</v>
      </c>
      <c r="F482">
        <v>2010</v>
      </c>
      <c r="G482" s="5">
        <v>192000</v>
      </c>
      <c r="H482" s="5">
        <v>157200</v>
      </c>
      <c r="I482" s="5">
        <v>34800</v>
      </c>
    </row>
    <row r="483" spans="1:9" x14ac:dyDescent="0.3">
      <c r="A483" t="s">
        <v>128</v>
      </c>
      <c r="B483" t="str">
        <f>"29291"</f>
        <v>29291</v>
      </c>
      <c r="C483" t="s">
        <v>11</v>
      </c>
      <c r="D483" t="s">
        <v>17</v>
      </c>
      <c r="E483" t="str">
        <f>"004"</f>
        <v>004</v>
      </c>
      <c r="F483">
        <v>2006</v>
      </c>
      <c r="G483" s="5">
        <v>571300</v>
      </c>
      <c r="H483" s="5">
        <v>549700</v>
      </c>
      <c r="I483" s="5">
        <v>21600</v>
      </c>
    </row>
    <row r="484" spans="1:9" x14ac:dyDescent="0.3">
      <c r="A484" t="s">
        <v>204</v>
      </c>
      <c r="B484" t="str">
        <f>"30104"</f>
        <v>30104</v>
      </c>
      <c r="C484" t="s">
        <v>12</v>
      </c>
      <c r="D484" t="s">
        <v>205</v>
      </c>
      <c r="E484" t="str">
        <f>"001"</f>
        <v>001</v>
      </c>
      <c r="F484">
        <v>2019</v>
      </c>
      <c r="G484" s="5">
        <v>1393000</v>
      </c>
      <c r="H484" s="5">
        <v>1290400</v>
      </c>
      <c r="I484" s="5">
        <v>102600</v>
      </c>
    </row>
    <row r="485" spans="1:9" x14ac:dyDescent="0.3">
      <c r="A485" t="s">
        <v>204</v>
      </c>
      <c r="B485" t="str">
        <f>"30104"</f>
        <v>30104</v>
      </c>
      <c r="C485" t="s">
        <v>12</v>
      </c>
      <c r="D485" t="s">
        <v>205</v>
      </c>
      <c r="E485" t="str">
        <f>"002"</f>
        <v>002</v>
      </c>
      <c r="F485">
        <v>2019</v>
      </c>
      <c r="G485" s="5">
        <v>0</v>
      </c>
      <c r="H485" s="5">
        <v>0</v>
      </c>
      <c r="I485" s="5">
        <v>0</v>
      </c>
    </row>
    <row r="486" spans="1:9" x14ac:dyDescent="0.3">
      <c r="A486" t="s">
        <v>204</v>
      </c>
      <c r="B486" t="str">
        <f t="shared" ref="B486:B507" si="19">"30241"</f>
        <v>30241</v>
      </c>
      <c r="C486" t="s">
        <v>11</v>
      </c>
      <c r="D486" t="s">
        <v>204</v>
      </c>
      <c r="E486" t="str">
        <f>"004"</f>
        <v>004</v>
      </c>
      <c r="F486">
        <v>1989</v>
      </c>
      <c r="G486" s="5">
        <v>120981300</v>
      </c>
      <c r="H486" s="5">
        <v>16173300</v>
      </c>
      <c r="I486" s="5">
        <v>104808000</v>
      </c>
    </row>
    <row r="487" spans="1:9" x14ac:dyDescent="0.3">
      <c r="A487" t="s">
        <v>204</v>
      </c>
      <c r="B487" t="str">
        <f t="shared" si="19"/>
        <v>30241</v>
      </c>
      <c r="C487" t="s">
        <v>11</v>
      </c>
      <c r="D487" t="s">
        <v>204</v>
      </c>
      <c r="E487" t="str">
        <f>"005"</f>
        <v>005</v>
      </c>
      <c r="F487">
        <v>1994</v>
      </c>
      <c r="G487" s="5">
        <v>109324500</v>
      </c>
      <c r="H487" s="5">
        <v>319700</v>
      </c>
      <c r="I487" s="5">
        <v>109004800</v>
      </c>
    </row>
    <row r="488" spans="1:9" x14ac:dyDescent="0.3">
      <c r="A488" t="s">
        <v>204</v>
      </c>
      <c r="B488" t="str">
        <f t="shared" si="19"/>
        <v>30241</v>
      </c>
      <c r="C488" t="s">
        <v>11</v>
      </c>
      <c r="D488" t="s">
        <v>204</v>
      </c>
      <c r="E488" t="str">
        <f>"006"</f>
        <v>006</v>
      </c>
      <c r="F488">
        <v>1997</v>
      </c>
      <c r="G488" s="5">
        <v>17574600</v>
      </c>
      <c r="H488" s="5">
        <v>3716200</v>
      </c>
      <c r="I488" s="5">
        <v>13858400</v>
      </c>
    </row>
    <row r="489" spans="1:9" x14ac:dyDescent="0.3">
      <c r="A489" t="s">
        <v>204</v>
      </c>
      <c r="B489" t="str">
        <f t="shared" si="19"/>
        <v>30241</v>
      </c>
      <c r="C489" t="s">
        <v>11</v>
      </c>
      <c r="D489" t="s">
        <v>204</v>
      </c>
      <c r="E489" t="str">
        <f>"007"</f>
        <v>007</v>
      </c>
      <c r="F489">
        <v>2002</v>
      </c>
      <c r="G489" s="5">
        <v>11644200</v>
      </c>
      <c r="H489" s="5">
        <v>1178600</v>
      </c>
      <c r="I489" s="5">
        <v>10465600</v>
      </c>
    </row>
    <row r="490" spans="1:9" x14ac:dyDescent="0.3">
      <c r="A490" t="s">
        <v>204</v>
      </c>
      <c r="B490" t="str">
        <f t="shared" si="19"/>
        <v>30241</v>
      </c>
      <c r="C490" t="s">
        <v>11</v>
      </c>
      <c r="D490" t="s">
        <v>204</v>
      </c>
      <c r="E490" t="str">
        <f>"008"</f>
        <v>008</v>
      </c>
      <c r="F490">
        <v>2002</v>
      </c>
      <c r="G490" s="5">
        <v>67822800</v>
      </c>
      <c r="H490" s="5">
        <v>245900</v>
      </c>
      <c r="I490" s="5">
        <v>67576900</v>
      </c>
    </row>
    <row r="491" spans="1:9" x14ac:dyDescent="0.3">
      <c r="A491" t="s">
        <v>204</v>
      </c>
      <c r="B491" t="str">
        <f t="shared" si="19"/>
        <v>30241</v>
      </c>
      <c r="C491" t="s">
        <v>11</v>
      </c>
      <c r="D491" t="s">
        <v>204</v>
      </c>
      <c r="E491" t="str">
        <f>"009"</f>
        <v>009</v>
      </c>
      <c r="F491">
        <v>2003</v>
      </c>
      <c r="G491" s="5">
        <v>42295300</v>
      </c>
      <c r="H491" s="5">
        <v>24538700</v>
      </c>
      <c r="I491" s="5">
        <v>17756600</v>
      </c>
    </row>
    <row r="492" spans="1:9" x14ac:dyDescent="0.3">
      <c r="A492" t="s">
        <v>204</v>
      </c>
      <c r="B492" t="str">
        <f t="shared" si="19"/>
        <v>30241</v>
      </c>
      <c r="C492" t="s">
        <v>11</v>
      </c>
      <c r="D492" t="s">
        <v>204</v>
      </c>
      <c r="E492" t="str">
        <f>"010"</f>
        <v>010</v>
      </c>
      <c r="F492">
        <v>2005</v>
      </c>
      <c r="G492" s="5">
        <v>16752600</v>
      </c>
      <c r="H492" s="5">
        <v>12297700</v>
      </c>
      <c r="I492" s="5">
        <v>4454900</v>
      </c>
    </row>
    <row r="493" spans="1:9" x14ac:dyDescent="0.3">
      <c r="A493" t="s">
        <v>204</v>
      </c>
      <c r="B493" t="str">
        <f t="shared" si="19"/>
        <v>30241</v>
      </c>
      <c r="C493" t="s">
        <v>11</v>
      </c>
      <c r="D493" t="s">
        <v>204</v>
      </c>
      <c r="E493" t="str">
        <f>"011"</f>
        <v>011</v>
      </c>
      <c r="F493">
        <v>2006</v>
      </c>
      <c r="G493" s="5">
        <v>105745900</v>
      </c>
      <c r="H493" s="5">
        <v>2873300</v>
      </c>
      <c r="I493" s="5">
        <v>102872600</v>
      </c>
    </row>
    <row r="494" spans="1:9" x14ac:dyDescent="0.3">
      <c r="A494" t="s">
        <v>204</v>
      </c>
      <c r="B494" t="str">
        <f t="shared" si="19"/>
        <v>30241</v>
      </c>
      <c r="C494" t="s">
        <v>11</v>
      </c>
      <c r="D494" t="s">
        <v>204</v>
      </c>
      <c r="E494" t="str">
        <f>"013"</f>
        <v>013</v>
      </c>
      <c r="F494">
        <v>2008</v>
      </c>
      <c r="G494" s="5">
        <v>57002700</v>
      </c>
      <c r="H494" s="5">
        <v>625100</v>
      </c>
      <c r="I494" s="5">
        <v>56377600</v>
      </c>
    </row>
    <row r="495" spans="1:9" x14ac:dyDescent="0.3">
      <c r="A495" t="s">
        <v>204</v>
      </c>
      <c r="B495" t="str">
        <f t="shared" si="19"/>
        <v>30241</v>
      </c>
      <c r="C495" t="s">
        <v>11</v>
      </c>
      <c r="D495" t="s">
        <v>204</v>
      </c>
      <c r="E495" t="str">
        <f>"015"</f>
        <v>015</v>
      </c>
      <c r="F495">
        <v>2013</v>
      </c>
      <c r="G495" s="5">
        <v>2082600</v>
      </c>
      <c r="H495" s="5">
        <v>291500</v>
      </c>
      <c r="I495" s="5">
        <v>1791100</v>
      </c>
    </row>
    <row r="496" spans="1:9" x14ac:dyDescent="0.3">
      <c r="A496" t="s">
        <v>204</v>
      </c>
      <c r="B496" t="str">
        <f t="shared" si="19"/>
        <v>30241</v>
      </c>
      <c r="C496" t="s">
        <v>11</v>
      </c>
      <c r="D496" t="s">
        <v>204</v>
      </c>
      <c r="E496" t="str">
        <f>"016"</f>
        <v>016</v>
      </c>
      <c r="F496">
        <v>2013</v>
      </c>
      <c r="G496" s="5">
        <v>163458200</v>
      </c>
      <c r="H496" s="5">
        <v>1571900</v>
      </c>
      <c r="I496" s="5">
        <v>161886300</v>
      </c>
    </row>
    <row r="497" spans="1:9" x14ac:dyDescent="0.3">
      <c r="A497" t="s">
        <v>204</v>
      </c>
      <c r="B497" t="str">
        <f t="shared" si="19"/>
        <v>30241</v>
      </c>
      <c r="C497" t="s">
        <v>11</v>
      </c>
      <c r="D497" t="s">
        <v>204</v>
      </c>
      <c r="E497" t="str">
        <f>"017"</f>
        <v>017</v>
      </c>
      <c r="F497">
        <v>2014</v>
      </c>
      <c r="G497" s="5">
        <v>9343900</v>
      </c>
      <c r="H497" s="5">
        <v>50900</v>
      </c>
      <c r="I497" s="5">
        <v>9293000</v>
      </c>
    </row>
    <row r="498" spans="1:9" x14ac:dyDescent="0.3">
      <c r="A498" t="s">
        <v>204</v>
      </c>
      <c r="B498" t="str">
        <f t="shared" si="19"/>
        <v>30241</v>
      </c>
      <c r="C498" t="s">
        <v>11</v>
      </c>
      <c r="D498" t="s">
        <v>204</v>
      </c>
      <c r="E498" t="str">
        <f>"018"</f>
        <v>018</v>
      </c>
      <c r="F498">
        <v>2015</v>
      </c>
      <c r="G498" s="5">
        <v>17457700</v>
      </c>
      <c r="H498" s="5">
        <v>182300</v>
      </c>
      <c r="I498" s="5">
        <v>17275400</v>
      </c>
    </row>
    <row r="499" spans="1:9" x14ac:dyDescent="0.3">
      <c r="A499" t="s">
        <v>204</v>
      </c>
      <c r="B499" t="str">
        <f t="shared" si="19"/>
        <v>30241</v>
      </c>
      <c r="C499" t="s">
        <v>11</v>
      </c>
      <c r="D499" t="s">
        <v>204</v>
      </c>
      <c r="E499" t="str">
        <f>"019"</f>
        <v>019</v>
      </c>
      <c r="F499">
        <v>2017</v>
      </c>
      <c r="G499" s="5">
        <v>363900</v>
      </c>
      <c r="H499" s="5">
        <v>400900</v>
      </c>
      <c r="I499" s="5">
        <v>-37000</v>
      </c>
    </row>
    <row r="500" spans="1:9" x14ac:dyDescent="0.3">
      <c r="A500" t="s">
        <v>204</v>
      </c>
      <c r="B500" t="str">
        <f t="shared" si="19"/>
        <v>30241</v>
      </c>
      <c r="C500" t="s">
        <v>11</v>
      </c>
      <c r="D500" t="s">
        <v>204</v>
      </c>
      <c r="E500" t="str">
        <f>"020"</f>
        <v>020</v>
      </c>
      <c r="F500">
        <v>2017</v>
      </c>
      <c r="G500" s="5">
        <v>17776400</v>
      </c>
      <c r="H500" s="5">
        <v>4000</v>
      </c>
      <c r="I500" s="5">
        <v>17772400</v>
      </c>
    </row>
    <row r="501" spans="1:9" x14ac:dyDescent="0.3">
      <c r="A501" t="s">
        <v>204</v>
      </c>
      <c r="B501" t="str">
        <f t="shared" si="19"/>
        <v>30241</v>
      </c>
      <c r="C501" t="s">
        <v>11</v>
      </c>
      <c r="D501" t="s">
        <v>204</v>
      </c>
      <c r="E501" t="str">
        <f>"021"</f>
        <v>021</v>
      </c>
      <c r="F501">
        <v>2017</v>
      </c>
      <c r="G501" s="5">
        <v>35432600</v>
      </c>
      <c r="H501" s="5">
        <v>19400</v>
      </c>
      <c r="I501" s="5">
        <v>35413200</v>
      </c>
    </row>
    <row r="502" spans="1:9" x14ac:dyDescent="0.3">
      <c r="A502" t="s">
        <v>204</v>
      </c>
      <c r="B502" t="str">
        <f t="shared" si="19"/>
        <v>30241</v>
      </c>
      <c r="C502" t="s">
        <v>11</v>
      </c>
      <c r="D502" t="s">
        <v>204</v>
      </c>
      <c r="E502" t="str">
        <f>"022"</f>
        <v>022</v>
      </c>
      <c r="F502">
        <v>2018</v>
      </c>
      <c r="G502" s="5">
        <v>17183700</v>
      </c>
      <c r="H502" s="5">
        <v>14852400</v>
      </c>
      <c r="I502" s="5">
        <v>2331300</v>
      </c>
    </row>
    <row r="503" spans="1:9" x14ac:dyDescent="0.3">
      <c r="A503" t="s">
        <v>204</v>
      </c>
      <c r="B503" t="str">
        <f t="shared" si="19"/>
        <v>30241</v>
      </c>
      <c r="C503" t="s">
        <v>11</v>
      </c>
      <c r="D503" t="s">
        <v>204</v>
      </c>
      <c r="E503" t="str">
        <f>"023"</f>
        <v>023</v>
      </c>
      <c r="F503">
        <v>2018</v>
      </c>
      <c r="G503" s="5">
        <v>0</v>
      </c>
      <c r="H503" s="5">
        <v>0</v>
      </c>
      <c r="I503" s="5">
        <v>0</v>
      </c>
    </row>
    <row r="504" spans="1:9" x14ac:dyDescent="0.3">
      <c r="A504" t="s">
        <v>204</v>
      </c>
      <c r="B504" t="str">
        <f t="shared" si="19"/>
        <v>30241</v>
      </c>
      <c r="C504" t="s">
        <v>11</v>
      </c>
      <c r="D504" t="s">
        <v>204</v>
      </c>
      <c r="E504" t="str">
        <f>"024"</f>
        <v>024</v>
      </c>
      <c r="F504">
        <v>2018</v>
      </c>
      <c r="G504" s="5">
        <v>0</v>
      </c>
      <c r="H504" s="5">
        <v>0</v>
      </c>
      <c r="I504" s="5">
        <v>0</v>
      </c>
    </row>
    <row r="505" spans="1:9" x14ac:dyDescent="0.3">
      <c r="A505" t="s">
        <v>204</v>
      </c>
      <c r="B505" t="str">
        <f t="shared" si="19"/>
        <v>30241</v>
      </c>
      <c r="C505" t="s">
        <v>11</v>
      </c>
      <c r="D505" t="s">
        <v>204</v>
      </c>
      <c r="E505" t="str">
        <f>"025"</f>
        <v>025</v>
      </c>
      <c r="F505">
        <v>2018</v>
      </c>
      <c r="G505" s="5">
        <v>135900</v>
      </c>
      <c r="H505" s="5">
        <v>121800</v>
      </c>
      <c r="I505" s="5">
        <v>14100</v>
      </c>
    </row>
    <row r="506" spans="1:9" x14ac:dyDescent="0.3">
      <c r="A506" t="s">
        <v>204</v>
      </c>
      <c r="B506" t="str">
        <f t="shared" si="19"/>
        <v>30241</v>
      </c>
      <c r="C506" t="s">
        <v>11</v>
      </c>
      <c r="D506" t="s">
        <v>204</v>
      </c>
      <c r="E506" t="str">
        <f>"026"</f>
        <v>026</v>
      </c>
      <c r="F506">
        <v>2018</v>
      </c>
      <c r="G506" s="5">
        <v>6730800</v>
      </c>
      <c r="H506" s="5">
        <v>4635200</v>
      </c>
      <c r="I506" s="5">
        <v>2095600</v>
      </c>
    </row>
    <row r="507" spans="1:9" x14ac:dyDescent="0.3">
      <c r="A507" t="s">
        <v>204</v>
      </c>
      <c r="B507" t="str">
        <f t="shared" si="19"/>
        <v>30241</v>
      </c>
      <c r="C507" t="s">
        <v>11</v>
      </c>
      <c r="D507" t="s">
        <v>204</v>
      </c>
      <c r="E507" t="str">
        <f>"027"</f>
        <v>027</v>
      </c>
      <c r="F507">
        <v>2019</v>
      </c>
      <c r="G507" s="5">
        <v>2788300</v>
      </c>
      <c r="H507" s="5">
        <v>2792200</v>
      </c>
      <c r="I507" s="5">
        <v>-3900</v>
      </c>
    </row>
    <row r="508" spans="1:9" x14ac:dyDescent="0.3">
      <c r="A508" t="s">
        <v>204</v>
      </c>
      <c r="B508" t="str">
        <f>"30171"</f>
        <v>30171</v>
      </c>
      <c r="C508" t="s">
        <v>12</v>
      </c>
      <c r="D508" t="s">
        <v>206</v>
      </c>
      <c r="E508" t="str">
        <f>"001"</f>
        <v>001</v>
      </c>
      <c r="F508">
        <v>2012</v>
      </c>
      <c r="G508" s="5">
        <v>16633400</v>
      </c>
      <c r="H508" s="5">
        <v>14133700</v>
      </c>
      <c r="I508" s="5">
        <v>2499700</v>
      </c>
    </row>
    <row r="509" spans="1:9" x14ac:dyDescent="0.3">
      <c r="A509" t="s">
        <v>204</v>
      </c>
      <c r="B509" t="str">
        <f>"30171"</f>
        <v>30171</v>
      </c>
      <c r="C509" t="s">
        <v>12</v>
      </c>
      <c r="D509" t="s">
        <v>206</v>
      </c>
      <c r="E509" t="str">
        <f>"002"</f>
        <v>002</v>
      </c>
      <c r="F509">
        <v>2017</v>
      </c>
      <c r="G509" s="5">
        <v>20467100</v>
      </c>
      <c r="H509" s="5">
        <v>14925300</v>
      </c>
      <c r="I509" s="5">
        <v>5541800</v>
      </c>
    </row>
    <row r="510" spans="1:9" x14ac:dyDescent="0.3">
      <c r="A510" t="s">
        <v>204</v>
      </c>
      <c r="B510" t="str">
        <f>"30174"</f>
        <v>30174</v>
      </c>
      <c r="C510" t="s">
        <v>12</v>
      </c>
      <c r="D510" t="s">
        <v>207</v>
      </c>
      <c r="E510" t="str">
        <f>"002"</f>
        <v>002</v>
      </c>
      <c r="F510">
        <v>1999</v>
      </c>
      <c r="G510" s="5">
        <v>907140700</v>
      </c>
      <c r="H510" s="5">
        <v>84130100</v>
      </c>
      <c r="I510" s="5">
        <v>823010600</v>
      </c>
    </row>
    <row r="511" spans="1:9" x14ac:dyDescent="0.3">
      <c r="A511" t="s">
        <v>204</v>
      </c>
      <c r="B511" t="str">
        <f>"30174"</f>
        <v>30174</v>
      </c>
      <c r="C511" t="s">
        <v>12</v>
      </c>
      <c r="D511" t="s">
        <v>207</v>
      </c>
      <c r="E511" t="str">
        <f>"004"</f>
        <v>004</v>
      </c>
      <c r="F511">
        <v>2007</v>
      </c>
      <c r="G511" s="5">
        <v>2998200</v>
      </c>
      <c r="H511" s="5">
        <v>166100</v>
      </c>
      <c r="I511" s="5">
        <v>2832100</v>
      </c>
    </row>
    <row r="512" spans="1:9" x14ac:dyDescent="0.3">
      <c r="A512" t="s">
        <v>204</v>
      </c>
      <c r="B512" t="str">
        <f>"30174"</f>
        <v>30174</v>
      </c>
      <c r="C512" t="s">
        <v>12</v>
      </c>
      <c r="D512" t="s">
        <v>207</v>
      </c>
      <c r="E512" t="str">
        <f>"005"</f>
        <v>005</v>
      </c>
      <c r="F512">
        <v>2017</v>
      </c>
      <c r="G512" s="5">
        <v>141860300</v>
      </c>
      <c r="H512" s="5">
        <v>25069900</v>
      </c>
      <c r="I512" s="5">
        <v>116790400</v>
      </c>
    </row>
    <row r="513" spans="1:9" x14ac:dyDescent="0.3">
      <c r="A513" t="s">
        <v>204</v>
      </c>
      <c r="B513" t="str">
        <f>"30174"</f>
        <v>30174</v>
      </c>
      <c r="C513" t="s">
        <v>12</v>
      </c>
      <c r="D513" t="s">
        <v>207</v>
      </c>
      <c r="E513" t="str">
        <f>"006"</f>
        <v>006</v>
      </c>
      <c r="F513">
        <v>2018</v>
      </c>
      <c r="G513" s="5">
        <v>14121400</v>
      </c>
      <c r="H513" s="5">
        <v>88900</v>
      </c>
      <c r="I513" s="5">
        <v>14032500</v>
      </c>
    </row>
    <row r="514" spans="1:9" x14ac:dyDescent="0.3">
      <c r="A514" t="s">
        <v>204</v>
      </c>
      <c r="B514" t="str">
        <f>"30174"</f>
        <v>30174</v>
      </c>
      <c r="C514" t="s">
        <v>12</v>
      </c>
      <c r="D514" t="s">
        <v>207</v>
      </c>
      <c r="E514" t="str">
        <f>"007"</f>
        <v>007</v>
      </c>
      <c r="F514">
        <v>2018</v>
      </c>
      <c r="G514" s="5">
        <v>19123400</v>
      </c>
      <c r="H514" s="5">
        <v>832500</v>
      </c>
      <c r="I514" s="5">
        <v>18290900</v>
      </c>
    </row>
    <row r="515" spans="1:9" x14ac:dyDescent="0.3">
      <c r="A515" t="s">
        <v>204</v>
      </c>
      <c r="B515" t="str">
        <f>"30179"</f>
        <v>30179</v>
      </c>
      <c r="C515" t="s">
        <v>12</v>
      </c>
      <c r="D515" t="s">
        <v>208</v>
      </c>
      <c r="E515" t="str">
        <f>"001"</f>
        <v>001</v>
      </c>
      <c r="F515">
        <v>2015</v>
      </c>
      <c r="G515" s="5">
        <v>7697200</v>
      </c>
      <c r="H515" s="5">
        <v>29500</v>
      </c>
      <c r="I515" s="5">
        <v>7667700</v>
      </c>
    </row>
    <row r="516" spans="1:9" x14ac:dyDescent="0.3">
      <c r="A516" t="s">
        <v>204</v>
      </c>
      <c r="B516" t="str">
        <f t="shared" ref="B516:B526" si="20">"30182"</f>
        <v>30182</v>
      </c>
      <c r="C516" t="s">
        <v>12</v>
      </c>
      <c r="D516" t="s">
        <v>209</v>
      </c>
      <c r="E516" t="str">
        <f>"001"</f>
        <v>001</v>
      </c>
      <c r="F516">
        <v>2015</v>
      </c>
      <c r="G516" s="5">
        <v>51970700</v>
      </c>
      <c r="H516" s="5">
        <v>476300</v>
      </c>
      <c r="I516" s="5">
        <v>51494400</v>
      </c>
    </row>
    <row r="517" spans="1:9" x14ac:dyDescent="0.3">
      <c r="A517" t="s">
        <v>204</v>
      </c>
      <c r="B517" t="str">
        <f t="shared" si="20"/>
        <v>30182</v>
      </c>
      <c r="C517" t="s">
        <v>12</v>
      </c>
      <c r="D517" t="s">
        <v>209</v>
      </c>
      <c r="E517" t="str">
        <f>"002"</f>
        <v>002</v>
      </c>
      <c r="F517">
        <v>2015</v>
      </c>
      <c r="G517" s="5">
        <v>53789700</v>
      </c>
      <c r="H517" s="5">
        <v>5810800</v>
      </c>
      <c r="I517" s="5">
        <v>47978900</v>
      </c>
    </row>
    <row r="518" spans="1:9" x14ac:dyDescent="0.3">
      <c r="A518" t="s">
        <v>204</v>
      </c>
      <c r="B518" t="str">
        <f t="shared" si="20"/>
        <v>30182</v>
      </c>
      <c r="C518" t="s">
        <v>12</v>
      </c>
      <c r="D518" t="s">
        <v>209</v>
      </c>
      <c r="E518" t="str">
        <f>"003"</f>
        <v>003</v>
      </c>
      <c r="F518">
        <v>2018</v>
      </c>
      <c r="G518" s="5">
        <v>1652000</v>
      </c>
      <c r="H518" s="5">
        <v>1779800</v>
      </c>
      <c r="I518" s="5">
        <v>-127800</v>
      </c>
    </row>
    <row r="519" spans="1:9" x14ac:dyDescent="0.3">
      <c r="A519" t="s">
        <v>204</v>
      </c>
      <c r="B519" t="str">
        <f t="shared" si="20"/>
        <v>30182</v>
      </c>
      <c r="C519" t="s">
        <v>12</v>
      </c>
      <c r="D519" t="s">
        <v>209</v>
      </c>
      <c r="E519" t="str">
        <f>"004"</f>
        <v>004</v>
      </c>
      <c r="F519">
        <v>2018</v>
      </c>
      <c r="G519" s="5">
        <v>1884600</v>
      </c>
      <c r="H519" s="5">
        <v>1767500</v>
      </c>
      <c r="I519" s="5">
        <v>117100</v>
      </c>
    </row>
    <row r="520" spans="1:9" x14ac:dyDescent="0.3">
      <c r="A520" t="s">
        <v>204</v>
      </c>
      <c r="B520" t="str">
        <f t="shared" si="20"/>
        <v>30182</v>
      </c>
      <c r="C520" t="s">
        <v>12</v>
      </c>
      <c r="D520" t="s">
        <v>209</v>
      </c>
      <c r="E520" t="str">
        <f>"005"</f>
        <v>005</v>
      </c>
      <c r="F520">
        <v>2018</v>
      </c>
      <c r="G520" s="5">
        <v>1020500</v>
      </c>
      <c r="H520" s="5">
        <v>1148400</v>
      </c>
      <c r="I520" s="5">
        <v>-127900</v>
      </c>
    </row>
    <row r="521" spans="1:9" x14ac:dyDescent="0.3">
      <c r="A521" t="s">
        <v>204</v>
      </c>
      <c r="B521" t="str">
        <f t="shared" si="20"/>
        <v>30182</v>
      </c>
      <c r="C521" t="s">
        <v>12</v>
      </c>
      <c r="D521" t="s">
        <v>209</v>
      </c>
      <c r="E521" t="str">
        <f>"006"</f>
        <v>006</v>
      </c>
      <c r="F521">
        <v>2018</v>
      </c>
      <c r="G521" s="5">
        <v>2485800</v>
      </c>
      <c r="H521" s="5">
        <v>2448400</v>
      </c>
      <c r="I521" s="5">
        <v>37400</v>
      </c>
    </row>
    <row r="522" spans="1:9" x14ac:dyDescent="0.3">
      <c r="A522" t="s">
        <v>204</v>
      </c>
      <c r="B522" t="str">
        <f t="shared" si="20"/>
        <v>30182</v>
      </c>
      <c r="C522" t="s">
        <v>12</v>
      </c>
      <c r="D522" t="s">
        <v>209</v>
      </c>
      <c r="E522" t="str">
        <f>"007"</f>
        <v>007</v>
      </c>
      <c r="F522">
        <v>2018</v>
      </c>
      <c r="G522" s="5">
        <v>9287700</v>
      </c>
      <c r="H522" s="5">
        <v>8364800</v>
      </c>
      <c r="I522" s="5">
        <v>922900</v>
      </c>
    </row>
    <row r="523" spans="1:9" x14ac:dyDescent="0.3">
      <c r="A523" t="s">
        <v>204</v>
      </c>
      <c r="B523" t="str">
        <f t="shared" si="20"/>
        <v>30182</v>
      </c>
      <c r="C523" t="s">
        <v>12</v>
      </c>
      <c r="D523" t="s">
        <v>209</v>
      </c>
      <c r="E523" t="str">
        <f>"008"</f>
        <v>008</v>
      </c>
      <c r="F523">
        <v>2018</v>
      </c>
      <c r="G523" s="5">
        <v>373100</v>
      </c>
      <c r="H523" s="5">
        <v>362100</v>
      </c>
      <c r="I523" s="5">
        <v>11000</v>
      </c>
    </row>
    <row r="524" spans="1:9" x14ac:dyDescent="0.3">
      <c r="A524" t="s">
        <v>204</v>
      </c>
      <c r="B524" t="str">
        <f t="shared" si="20"/>
        <v>30182</v>
      </c>
      <c r="C524" t="s">
        <v>12</v>
      </c>
      <c r="D524" t="s">
        <v>209</v>
      </c>
      <c r="E524" t="str">
        <f>"009"</f>
        <v>009</v>
      </c>
      <c r="F524">
        <v>2018</v>
      </c>
      <c r="G524" s="5">
        <v>2199600</v>
      </c>
      <c r="H524" s="5">
        <v>2081700</v>
      </c>
      <c r="I524" s="5">
        <v>117900</v>
      </c>
    </row>
    <row r="525" spans="1:9" x14ac:dyDescent="0.3">
      <c r="A525" t="s">
        <v>204</v>
      </c>
      <c r="B525" t="str">
        <f t="shared" si="20"/>
        <v>30182</v>
      </c>
      <c r="C525" t="s">
        <v>12</v>
      </c>
      <c r="D525" t="s">
        <v>209</v>
      </c>
      <c r="E525" t="str">
        <f>"010"</f>
        <v>010</v>
      </c>
      <c r="F525">
        <v>2018</v>
      </c>
      <c r="G525" s="5">
        <v>3373600</v>
      </c>
      <c r="H525" s="5">
        <v>3219200</v>
      </c>
      <c r="I525" s="5">
        <v>154400</v>
      </c>
    </row>
    <row r="526" spans="1:9" x14ac:dyDescent="0.3">
      <c r="A526" t="s">
        <v>204</v>
      </c>
      <c r="B526" t="str">
        <f t="shared" si="20"/>
        <v>30182</v>
      </c>
      <c r="C526" t="s">
        <v>12</v>
      </c>
      <c r="D526" t="s">
        <v>209</v>
      </c>
      <c r="E526" t="str">
        <f>"011"</f>
        <v>011</v>
      </c>
      <c r="F526">
        <v>2018</v>
      </c>
      <c r="G526" s="5">
        <v>198800</v>
      </c>
      <c r="H526" s="5">
        <v>195100</v>
      </c>
      <c r="I526" s="5">
        <v>3700</v>
      </c>
    </row>
    <row r="527" spans="1:9" x14ac:dyDescent="0.3">
      <c r="A527" t="s">
        <v>204</v>
      </c>
      <c r="B527" t="str">
        <f>"30186"</f>
        <v>30186</v>
      </c>
      <c r="C527" t="s">
        <v>12</v>
      </c>
      <c r="D527" t="s">
        <v>210</v>
      </c>
      <c r="E527" t="str">
        <f>"001"</f>
        <v>001</v>
      </c>
      <c r="F527">
        <v>2007</v>
      </c>
      <c r="G527" s="5">
        <v>54904100</v>
      </c>
      <c r="H527" s="5">
        <v>44044400</v>
      </c>
      <c r="I527" s="5">
        <v>10859700</v>
      </c>
    </row>
    <row r="528" spans="1:9" x14ac:dyDescent="0.3">
      <c r="A528" t="s">
        <v>211</v>
      </c>
      <c r="B528" t="str">
        <f>"31201"</f>
        <v>31201</v>
      </c>
      <c r="C528" t="s">
        <v>11</v>
      </c>
      <c r="D528" t="s">
        <v>212</v>
      </c>
      <c r="E528" t="str">
        <f>"001"</f>
        <v>001</v>
      </c>
      <c r="F528">
        <v>2005</v>
      </c>
      <c r="G528" s="5">
        <v>8542900</v>
      </c>
      <c r="H528" s="5">
        <v>7899200</v>
      </c>
      <c r="I528" s="5">
        <v>643700</v>
      </c>
    </row>
    <row r="529" spans="1:9" x14ac:dyDescent="0.3">
      <c r="A529" t="s">
        <v>211</v>
      </c>
      <c r="B529" t="str">
        <f>"31201"</f>
        <v>31201</v>
      </c>
      <c r="C529" t="s">
        <v>11</v>
      </c>
      <c r="D529" t="s">
        <v>212</v>
      </c>
      <c r="E529" t="str">
        <f>"002"</f>
        <v>002</v>
      </c>
      <c r="F529">
        <v>2006</v>
      </c>
      <c r="G529" s="5">
        <v>7109900</v>
      </c>
      <c r="H529" s="5">
        <v>1910700</v>
      </c>
      <c r="I529" s="5">
        <v>5199200</v>
      </c>
    </row>
    <row r="530" spans="1:9" x14ac:dyDescent="0.3">
      <c r="A530" t="s">
        <v>211</v>
      </c>
      <c r="B530" t="str">
        <f>"31201"</f>
        <v>31201</v>
      </c>
      <c r="C530" t="s">
        <v>11</v>
      </c>
      <c r="D530" t="s">
        <v>212</v>
      </c>
      <c r="E530" t="str">
        <f>"003"</f>
        <v>003</v>
      </c>
      <c r="F530">
        <v>2019</v>
      </c>
      <c r="G530" s="5">
        <v>2078100</v>
      </c>
      <c r="H530" s="5">
        <v>517700</v>
      </c>
      <c r="I530" s="5">
        <v>1560400</v>
      </c>
    </row>
    <row r="531" spans="1:9" x14ac:dyDescent="0.3">
      <c r="A531" t="s">
        <v>211</v>
      </c>
      <c r="B531" t="str">
        <f>"31241"</f>
        <v>31241</v>
      </c>
      <c r="C531" t="s">
        <v>11</v>
      </c>
      <c r="D531" t="s">
        <v>211</v>
      </c>
      <c r="E531" t="str">
        <f>"002"</f>
        <v>002</v>
      </c>
      <c r="F531">
        <v>1994</v>
      </c>
      <c r="G531" s="5">
        <v>7354200</v>
      </c>
      <c r="H531" s="5">
        <v>399000</v>
      </c>
      <c r="I531" s="5">
        <v>6955200</v>
      </c>
    </row>
    <row r="532" spans="1:9" x14ac:dyDescent="0.3">
      <c r="A532" t="s">
        <v>211</v>
      </c>
      <c r="B532" t="str">
        <f>"31146"</f>
        <v>31146</v>
      </c>
      <c r="C532" t="s">
        <v>12</v>
      </c>
      <c r="D532" t="s">
        <v>213</v>
      </c>
      <c r="E532" t="str">
        <f>"001"</f>
        <v>001</v>
      </c>
      <c r="F532">
        <v>1995</v>
      </c>
      <c r="G532" s="5">
        <v>39113300</v>
      </c>
      <c r="H532" s="5">
        <v>4720200</v>
      </c>
      <c r="I532" s="5">
        <v>34393100</v>
      </c>
    </row>
    <row r="533" spans="1:9" x14ac:dyDescent="0.3">
      <c r="A533" t="s">
        <v>214</v>
      </c>
      <c r="B533" t="str">
        <f>"32106"</f>
        <v>32106</v>
      </c>
      <c r="C533" t="s">
        <v>12</v>
      </c>
      <c r="D533" t="s">
        <v>215</v>
      </c>
      <c r="E533" t="str">
        <f>"001"</f>
        <v>001</v>
      </c>
      <c r="F533">
        <v>2008</v>
      </c>
      <c r="G533" s="5">
        <v>388300</v>
      </c>
      <c r="H533" s="5">
        <v>484800</v>
      </c>
      <c r="I533" s="5">
        <v>-96500</v>
      </c>
    </row>
    <row r="534" spans="1:9" x14ac:dyDescent="0.3">
      <c r="A534" t="s">
        <v>214</v>
      </c>
      <c r="B534" t="str">
        <f>"32106"</f>
        <v>32106</v>
      </c>
      <c r="C534" t="s">
        <v>12</v>
      </c>
      <c r="D534" t="s">
        <v>215</v>
      </c>
      <c r="E534" t="str">
        <f>"002"</f>
        <v>002</v>
      </c>
      <c r="F534">
        <v>2015</v>
      </c>
      <c r="G534" s="5">
        <v>2408300</v>
      </c>
      <c r="H534" s="5">
        <v>620500</v>
      </c>
      <c r="I534" s="5">
        <v>1787800</v>
      </c>
    </row>
    <row r="535" spans="1:9" x14ac:dyDescent="0.3">
      <c r="A535" t="s">
        <v>214</v>
      </c>
      <c r="B535" t="str">
        <f>"32136"</f>
        <v>32136</v>
      </c>
      <c r="C535" t="s">
        <v>12</v>
      </c>
      <c r="D535" t="s">
        <v>216</v>
      </c>
      <c r="E535" t="str">
        <f>"002"</f>
        <v>002</v>
      </c>
      <c r="F535">
        <v>2009</v>
      </c>
      <c r="G535" s="5">
        <v>36103100</v>
      </c>
      <c r="H535" s="5">
        <v>2647000</v>
      </c>
      <c r="I535" s="5">
        <v>33456100</v>
      </c>
    </row>
    <row r="536" spans="1:9" x14ac:dyDescent="0.3">
      <c r="A536" t="s">
        <v>214</v>
      </c>
      <c r="B536" t="str">
        <f>"32136"</f>
        <v>32136</v>
      </c>
      <c r="C536" t="s">
        <v>12</v>
      </c>
      <c r="D536" t="s">
        <v>216</v>
      </c>
      <c r="E536" t="str">
        <f>"003"</f>
        <v>003</v>
      </c>
      <c r="F536">
        <v>2015</v>
      </c>
      <c r="G536" s="5">
        <v>91972100</v>
      </c>
      <c r="H536" s="5">
        <v>37362300</v>
      </c>
      <c r="I536" s="5">
        <v>54609800</v>
      </c>
    </row>
    <row r="537" spans="1:9" x14ac:dyDescent="0.3">
      <c r="A537" t="s">
        <v>214</v>
      </c>
      <c r="B537" t="str">
        <f t="shared" ref="B537:B546" si="21">"32246"</f>
        <v>32246</v>
      </c>
      <c r="C537" t="s">
        <v>11</v>
      </c>
      <c r="D537" t="s">
        <v>214</v>
      </c>
      <c r="E537" t="str">
        <f>"006"</f>
        <v>006</v>
      </c>
      <c r="F537">
        <v>1994</v>
      </c>
      <c r="G537" s="5">
        <v>106118200</v>
      </c>
      <c r="H537" s="5">
        <v>33709800</v>
      </c>
      <c r="I537" s="5">
        <v>72408400</v>
      </c>
    </row>
    <row r="538" spans="1:9" x14ac:dyDescent="0.3">
      <c r="A538" t="s">
        <v>214</v>
      </c>
      <c r="B538" t="str">
        <f t="shared" si="21"/>
        <v>32246</v>
      </c>
      <c r="C538" t="s">
        <v>11</v>
      </c>
      <c r="D538" t="s">
        <v>214</v>
      </c>
      <c r="E538" t="str">
        <f>"007"</f>
        <v>007</v>
      </c>
      <c r="F538">
        <v>1997</v>
      </c>
      <c r="G538" s="5">
        <v>28670500</v>
      </c>
      <c r="H538" s="5">
        <v>15000800</v>
      </c>
      <c r="I538" s="5">
        <v>13669700</v>
      </c>
    </row>
    <row r="539" spans="1:9" x14ac:dyDescent="0.3">
      <c r="A539" t="s">
        <v>214</v>
      </c>
      <c r="B539" t="str">
        <f t="shared" si="21"/>
        <v>32246</v>
      </c>
      <c r="C539" t="s">
        <v>11</v>
      </c>
      <c r="D539" t="s">
        <v>214</v>
      </c>
      <c r="E539" t="str">
        <f>"010"</f>
        <v>010</v>
      </c>
      <c r="F539">
        <v>2003</v>
      </c>
      <c r="G539" s="5">
        <v>12949400</v>
      </c>
      <c r="H539" s="5">
        <v>2540100</v>
      </c>
      <c r="I539" s="5">
        <v>10409300</v>
      </c>
    </row>
    <row r="540" spans="1:9" x14ac:dyDescent="0.3">
      <c r="A540" t="s">
        <v>214</v>
      </c>
      <c r="B540" t="str">
        <f t="shared" si="21"/>
        <v>32246</v>
      </c>
      <c r="C540" t="s">
        <v>11</v>
      </c>
      <c r="D540" t="s">
        <v>214</v>
      </c>
      <c r="E540" t="str">
        <f>"011"</f>
        <v>011</v>
      </c>
      <c r="F540">
        <v>2005</v>
      </c>
      <c r="G540" s="5">
        <v>302991100</v>
      </c>
      <c r="H540" s="5">
        <v>132955800</v>
      </c>
      <c r="I540" s="5">
        <v>170035300</v>
      </c>
    </row>
    <row r="541" spans="1:9" x14ac:dyDescent="0.3">
      <c r="A541" t="s">
        <v>214</v>
      </c>
      <c r="B541" t="str">
        <f t="shared" si="21"/>
        <v>32246</v>
      </c>
      <c r="C541" t="s">
        <v>11</v>
      </c>
      <c r="D541" t="s">
        <v>214</v>
      </c>
      <c r="E541" t="str">
        <f>"012"</f>
        <v>012</v>
      </c>
      <c r="F541">
        <v>2005</v>
      </c>
      <c r="G541" s="5">
        <v>42064000</v>
      </c>
      <c r="H541" s="5">
        <v>19363800</v>
      </c>
      <c r="I541" s="5">
        <v>22700200</v>
      </c>
    </row>
    <row r="542" spans="1:9" x14ac:dyDescent="0.3">
      <c r="A542" t="s">
        <v>214</v>
      </c>
      <c r="B542" t="str">
        <f t="shared" si="21"/>
        <v>32246</v>
      </c>
      <c r="C542" t="s">
        <v>11</v>
      </c>
      <c r="D542" t="s">
        <v>214</v>
      </c>
      <c r="E542" t="str">
        <f>"013"</f>
        <v>013</v>
      </c>
      <c r="F542">
        <v>2006</v>
      </c>
      <c r="G542" s="5">
        <v>178228800</v>
      </c>
      <c r="H542" s="5">
        <v>53698400</v>
      </c>
      <c r="I542" s="5">
        <v>124530400</v>
      </c>
    </row>
    <row r="543" spans="1:9" x14ac:dyDescent="0.3">
      <c r="A543" t="s">
        <v>214</v>
      </c>
      <c r="B543" t="str">
        <f t="shared" si="21"/>
        <v>32246</v>
      </c>
      <c r="C543" t="s">
        <v>11</v>
      </c>
      <c r="D543" t="s">
        <v>214</v>
      </c>
      <c r="E543" t="str">
        <f>"014"</f>
        <v>014</v>
      </c>
      <c r="F543">
        <v>2006</v>
      </c>
      <c r="G543" s="5">
        <v>121076100</v>
      </c>
      <c r="H543" s="5">
        <v>60747300</v>
      </c>
      <c r="I543" s="5">
        <v>60328800</v>
      </c>
    </row>
    <row r="544" spans="1:9" x14ac:dyDescent="0.3">
      <c r="A544" t="s">
        <v>214</v>
      </c>
      <c r="B544" t="str">
        <f t="shared" si="21"/>
        <v>32246</v>
      </c>
      <c r="C544" t="s">
        <v>11</v>
      </c>
      <c r="D544" t="s">
        <v>214</v>
      </c>
      <c r="E544" t="str">
        <f>"015"</f>
        <v>015</v>
      </c>
      <c r="F544">
        <v>2013</v>
      </c>
      <c r="G544" s="5">
        <v>99860600</v>
      </c>
      <c r="H544" s="5">
        <v>62802000</v>
      </c>
      <c r="I544" s="5">
        <v>37058600</v>
      </c>
    </row>
    <row r="545" spans="1:9" x14ac:dyDescent="0.3">
      <c r="A545" t="s">
        <v>214</v>
      </c>
      <c r="B545" t="str">
        <f t="shared" si="21"/>
        <v>32246</v>
      </c>
      <c r="C545" t="s">
        <v>11</v>
      </c>
      <c r="D545" t="s">
        <v>214</v>
      </c>
      <c r="E545" t="str">
        <f>"016"</f>
        <v>016</v>
      </c>
      <c r="F545">
        <v>2014</v>
      </c>
      <c r="G545" s="5">
        <v>29062800</v>
      </c>
      <c r="H545" s="5">
        <v>18087300</v>
      </c>
      <c r="I545" s="5">
        <v>10975500</v>
      </c>
    </row>
    <row r="546" spans="1:9" x14ac:dyDescent="0.3">
      <c r="A546" t="s">
        <v>214</v>
      </c>
      <c r="B546" t="str">
        <f t="shared" si="21"/>
        <v>32246</v>
      </c>
      <c r="C546" t="s">
        <v>11</v>
      </c>
      <c r="D546" t="s">
        <v>214</v>
      </c>
      <c r="E546" t="str">
        <f>"017"</f>
        <v>017</v>
      </c>
      <c r="F546">
        <v>2015</v>
      </c>
      <c r="G546" s="5">
        <v>88537400</v>
      </c>
      <c r="H546" s="5">
        <v>11744600</v>
      </c>
      <c r="I546" s="5">
        <v>76792800</v>
      </c>
    </row>
    <row r="547" spans="1:9" x14ac:dyDescent="0.3">
      <c r="A547" t="s">
        <v>214</v>
      </c>
      <c r="B547" t="str">
        <f>"32265"</f>
        <v>32265</v>
      </c>
      <c r="C547" t="s">
        <v>11</v>
      </c>
      <c r="D547" t="s">
        <v>217</v>
      </c>
      <c r="E547" t="str">
        <f>"005"</f>
        <v>005</v>
      </c>
      <c r="F547">
        <v>2019</v>
      </c>
      <c r="G547" s="5">
        <v>3115300</v>
      </c>
      <c r="H547" s="5">
        <v>0</v>
      </c>
      <c r="I547" s="5">
        <v>3115300</v>
      </c>
    </row>
    <row r="548" spans="1:9" x14ac:dyDescent="0.3">
      <c r="A548" t="s">
        <v>214</v>
      </c>
      <c r="B548" t="str">
        <f>"32176"</f>
        <v>32176</v>
      </c>
      <c r="C548" t="s">
        <v>12</v>
      </c>
      <c r="D548" t="s">
        <v>218</v>
      </c>
      <c r="E548" t="str">
        <f>"001"</f>
        <v>001</v>
      </c>
      <c r="F548">
        <v>2010</v>
      </c>
      <c r="G548" s="5">
        <v>6469300</v>
      </c>
      <c r="H548" s="5">
        <v>1176300</v>
      </c>
      <c r="I548" s="5">
        <v>5293000</v>
      </c>
    </row>
    <row r="549" spans="1:9" x14ac:dyDescent="0.3">
      <c r="A549" t="s">
        <v>214</v>
      </c>
      <c r="B549" t="str">
        <f>"32191"</f>
        <v>32191</v>
      </c>
      <c r="C549" t="s">
        <v>12</v>
      </c>
      <c r="D549" t="s">
        <v>219</v>
      </c>
      <c r="E549" t="str">
        <f>"001"</f>
        <v>001</v>
      </c>
      <c r="F549">
        <v>2007</v>
      </c>
      <c r="G549" s="5">
        <v>21188000</v>
      </c>
      <c r="H549" s="5">
        <v>4910800</v>
      </c>
      <c r="I549" s="5">
        <v>16277200</v>
      </c>
    </row>
    <row r="550" spans="1:9" x14ac:dyDescent="0.3">
      <c r="A550" t="s">
        <v>220</v>
      </c>
      <c r="B550" t="str">
        <f>"33101"</f>
        <v>33101</v>
      </c>
      <c r="C550" t="s">
        <v>12</v>
      </c>
      <c r="D550" t="s">
        <v>221</v>
      </c>
      <c r="E550" t="str">
        <f>"003"</f>
        <v>003</v>
      </c>
      <c r="F550">
        <v>2012</v>
      </c>
      <c r="G550" s="5">
        <v>1891200</v>
      </c>
      <c r="H550" s="5">
        <v>1751500</v>
      </c>
      <c r="I550" s="5">
        <v>139700</v>
      </c>
    </row>
    <row r="551" spans="1:9" x14ac:dyDescent="0.3">
      <c r="A551" t="s">
        <v>220</v>
      </c>
      <c r="B551" t="str">
        <f>"33106"</f>
        <v>33106</v>
      </c>
      <c r="C551" t="s">
        <v>12</v>
      </c>
      <c r="D551" t="s">
        <v>222</v>
      </c>
      <c r="E551" t="str">
        <f>"001"</f>
        <v>001</v>
      </c>
      <c r="F551">
        <v>2004</v>
      </c>
      <c r="G551" s="5">
        <v>5982700</v>
      </c>
      <c r="H551" s="5">
        <v>56000</v>
      </c>
      <c r="I551" s="5">
        <v>5926700</v>
      </c>
    </row>
    <row r="552" spans="1:9" x14ac:dyDescent="0.3">
      <c r="A552" t="s">
        <v>220</v>
      </c>
      <c r="B552" t="str">
        <f>"33211"</f>
        <v>33211</v>
      </c>
      <c r="C552" t="s">
        <v>11</v>
      </c>
      <c r="D552" t="s">
        <v>161</v>
      </c>
      <c r="E552" t="str">
        <f>"002"</f>
        <v>002</v>
      </c>
      <c r="F552">
        <v>1999</v>
      </c>
      <c r="G552" s="5">
        <v>2287900</v>
      </c>
      <c r="H552" s="5">
        <v>66700</v>
      </c>
      <c r="I552" s="5">
        <v>2221200</v>
      </c>
    </row>
    <row r="553" spans="1:9" x14ac:dyDescent="0.3">
      <c r="A553" t="s">
        <v>220</v>
      </c>
      <c r="B553" t="str">
        <f>"33211"</f>
        <v>33211</v>
      </c>
      <c r="C553" t="s">
        <v>11</v>
      </c>
      <c r="D553" t="s">
        <v>161</v>
      </c>
      <c r="E553" t="str">
        <f>"004"</f>
        <v>004</v>
      </c>
      <c r="F553">
        <v>2019</v>
      </c>
      <c r="G553" s="5">
        <v>2417300</v>
      </c>
      <c r="H553" s="5">
        <v>2233100</v>
      </c>
      <c r="I553" s="5">
        <v>184200</v>
      </c>
    </row>
    <row r="554" spans="1:9" x14ac:dyDescent="0.3">
      <c r="A554" t="s">
        <v>220</v>
      </c>
      <c r="B554" t="str">
        <f>"33216"</f>
        <v>33216</v>
      </c>
      <c r="C554" t="s">
        <v>11</v>
      </c>
      <c r="D554" t="s">
        <v>223</v>
      </c>
      <c r="E554" t="str">
        <f>"006"</f>
        <v>006</v>
      </c>
      <c r="F554">
        <v>2003</v>
      </c>
      <c r="G554" s="5">
        <v>32939700</v>
      </c>
      <c r="H554" s="5">
        <v>4304900</v>
      </c>
      <c r="I554" s="5">
        <v>28634800</v>
      </c>
    </row>
    <row r="555" spans="1:9" x14ac:dyDescent="0.3">
      <c r="A555" t="s">
        <v>220</v>
      </c>
      <c r="B555" t="str">
        <f>"33216"</f>
        <v>33216</v>
      </c>
      <c r="C555" t="s">
        <v>11</v>
      </c>
      <c r="D555" t="s">
        <v>223</v>
      </c>
      <c r="E555" t="str">
        <f>"007"</f>
        <v>007</v>
      </c>
      <c r="F555">
        <v>2006</v>
      </c>
      <c r="G555" s="5">
        <v>4041200</v>
      </c>
      <c r="H555" s="5">
        <v>2186300</v>
      </c>
      <c r="I555" s="5">
        <v>1854900</v>
      </c>
    </row>
    <row r="556" spans="1:9" x14ac:dyDescent="0.3">
      <c r="A556" t="s">
        <v>220</v>
      </c>
      <c r="B556" t="str">
        <f>"33216"</f>
        <v>33216</v>
      </c>
      <c r="C556" t="s">
        <v>11</v>
      </c>
      <c r="D556" t="s">
        <v>223</v>
      </c>
      <c r="E556" t="str">
        <f>"008"</f>
        <v>008</v>
      </c>
      <c r="F556">
        <v>2018</v>
      </c>
      <c r="G556" s="5">
        <v>12400</v>
      </c>
      <c r="H556" s="5">
        <v>22500</v>
      </c>
      <c r="I556" s="5">
        <v>-10100</v>
      </c>
    </row>
    <row r="557" spans="1:9" x14ac:dyDescent="0.3">
      <c r="A557" t="s">
        <v>220</v>
      </c>
      <c r="B557" t="str">
        <f>"33131"</f>
        <v>33131</v>
      </c>
      <c r="C557" t="s">
        <v>12</v>
      </c>
      <c r="D557" t="s">
        <v>224</v>
      </c>
      <c r="E557" t="str">
        <f>"001"</f>
        <v>001</v>
      </c>
      <c r="F557">
        <v>2001</v>
      </c>
      <c r="G557" s="5">
        <v>1439000</v>
      </c>
      <c r="H557" s="5">
        <v>449900</v>
      </c>
      <c r="I557" s="5">
        <v>989100</v>
      </c>
    </row>
    <row r="558" spans="1:9" x14ac:dyDescent="0.3">
      <c r="A558" t="s">
        <v>220</v>
      </c>
      <c r="B558" t="str">
        <f>"33281"</f>
        <v>33281</v>
      </c>
      <c r="C558" t="s">
        <v>11</v>
      </c>
      <c r="D558" t="s">
        <v>225</v>
      </c>
      <c r="E558" t="str">
        <f>"003"</f>
        <v>003</v>
      </c>
      <c r="F558">
        <v>1997</v>
      </c>
      <c r="G558" s="5">
        <v>5543000</v>
      </c>
      <c r="H558" s="5">
        <v>1480000</v>
      </c>
      <c r="I558" s="5">
        <v>4063000</v>
      </c>
    </row>
    <row r="559" spans="1:9" x14ac:dyDescent="0.3">
      <c r="A559" t="s">
        <v>220</v>
      </c>
      <c r="B559" t="str">
        <f>"33281"</f>
        <v>33281</v>
      </c>
      <c r="C559" t="s">
        <v>11</v>
      </c>
      <c r="D559" t="s">
        <v>225</v>
      </c>
      <c r="E559" t="str">
        <f>"004"</f>
        <v>004</v>
      </c>
      <c r="F559">
        <v>1997</v>
      </c>
      <c r="G559" s="5">
        <v>1137300</v>
      </c>
      <c r="H559" s="5">
        <v>15000</v>
      </c>
      <c r="I559" s="5">
        <v>1122300</v>
      </c>
    </row>
    <row r="560" spans="1:9" x14ac:dyDescent="0.3">
      <c r="A560" t="s">
        <v>220</v>
      </c>
      <c r="B560" t="str">
        <f>"33281"</f>
        <v>33281</v>
      </c>
      <c r="C560" t="s">
        <v>11</v>
      </c>
      <c r="D560" t="s">
        <v>225</v>
      </c>
      <c r="E560" t="str">
        <f>"005"</f>
        <v>005</v>
      </c>
      <c r="F560">
        <v>2005</v>
      </c>
      <c r="G560" s="5">
        <v>544100</v>
      </c>
      <c r="H560" s="5">
        <v>161500</v>
      </c>
      <c r="I560" s="5">
        <v>382600</v>
      </c>
    </row>
    <row r="561" spans="1:9" x14ac:dyDescent="0.3">
      <c r="A561" t="s">
        <v>220</v>
      </c>
      <c r="B561" t="str">
        <f>"33281"</f>
        <v>33281</v>
      </c>
      <c r="C561" t="s">
        <v>11</v>
      </c>
      <c r="D561" t="s">
        <v>225</v>
      </c>
      <c r="E561" t="str">
        <f>"006"</f>
        <v>006</v>
      </c>
      <c r="F561">
        <v>2010</v>
      </c>
      <c r="G561" s="5">
        <v>3075800</v>
      </c>
      <c r="H561" s="5">
        <v>12400</v>
      </c>
      <c r="I561" s="5">
        <v>3063400</v>
      </c>
    </row>
    <row r="562" spans="1:9" x14ac:dyDescent="0.3">
      <c r="A562" t="s">
        <v>220</v>
      </c>
      <c r="B562" t="str">
        <f>"33281"</f>
        <v>33281</v>
      </c>
      <c r="C562" t="s">
        <v>11</v>
      </c>
      <c r="D562" t="s">
        <v>225</v>
      </c>
      <c r="E562" t="str">
        <f>"007"</f>
        <v>007</v>
      </c>
      <c r="F562">
        <v>2010</v>
      </c>
      <c r="G562" s="5">
        <v>3454100</v>
      </c>
      <c r="H562" s="5">
        <v>1070300</v>
      </c>
      <c r="I562" s="5">
        <v>2383800</v>
      </c>
    </row>
    <row r="563" spans="1:9" x14ac:dyDescent="0.3">
      <c r="A563" t="s">
        <v>226</v>
      </c>
      <c r="B563" t="str">
        <f>"34201"</f>
        <v>34201</v>
      </c>
      <c r="C563" t="s">
        <v>11</v>
      </c>
      <c r="D563" t="s">
        <v>227</v>
      </c>
      <c r="E563" t="str">
        <f>"003"</f>
        <v>003</v>
      </c>
      <c r="F563">
        <v>1999</v>
      </c>
      <c r="G563" s="5">
        <v>8587600</v>
      </c>
      <c r="H563" s="5">
        <v>5166000</v>
      </c>
      <c r="I563" s="5">
        <v>3421600</v>
      </c>
    </row>
    <row r="564" spans="1:9" x14ac:dyDescent="0.3">
      <c r="A564" t="s">
        <v>226</v>
      </c>
      <c r="B564" t="str">
        <f>"34201"</f>
        <v>34201</v>
      </c>
      <c r="C564" t="s">
        <v>11</v>
      </c>
      <c r="D564" t="s">
        <v>227</v>
      </c>
      <c r="E564" t="str">
        <f>"004"</f>
        <v>004</v>
      </c>
      <c r="F564">
        <v>1999</v>
      </c>
      <c r="G564" s="5">
        <v>27665100</v>
      </c>
      <c r="H564" s="5">
        <v>18324000</v>
      </c>
      <c r="I564" s="5">
        <v>9341100</v>
      </c>
    </row>
    <row r="565" spans="1:9" x14ac:dyDescent="0.3">
      <c r="A565" t="s">
        <v>226</v>
      </c>
      <c r="B565" t="str">
        <f>"34201"</f>
        <v>34201</v>
      </c>
      <c r="C565" t="s">
        <v>11</v>
      </c>
      <c r="D565" t="s">
        <v>227</v>
      </c>
      <c r="E565" t="str">
        <f>"005"</f>
        <v>005</v>
      </c>
      <c r="F565">
        <v>2001</v>
      </c>
      <c r="G565" s="5">
        <v>12994500</v>
      </c>
      <c r="H565" s="5">
        <v>9304200</v>
      </c>
      <c r="I565" s="5">
        <v>3690300</v>
      </c>
    </row>
    <row r="566" spans="1:9" x14ac:dyDescent="0.3">
      <c r="A566" t="s">
        <v>226</v>
      </c>
      <c r="B566" t="str">
        <f>"34201"</f>
        <v>34201</v>
      </c>
      <c r="C566" t="s">
        <v>11</v>
      </c>
      <c r="D566" t="s">
        <v>227</v>
      </c>
      <c r="E566" t="str">
        <f>"006"</f>
        <v>006</v>
      </c>
      <c r="F566">
        <v>2008</v>
      </c>
      <c r="G566" s="5">
        <v>8456400</v>
      </c>
      <c r="H566" s="5">
        <v>629800</v>
      </c>
      <c r="I566" s="5">
        <v>7826600</v>
      </c>
    </row>
    <row r="567" spans="1:9" x14ac:dyDescent="0.3">
      <c r="A567" t="s">
        <v>226</v>
      </c>
      <c r="B567" t="str">
        <f>"34201"</f>
        <v>34201</v>
      </c>
      <c r="C567" t="s">
        <v>11</v>
      </c>
      <c r="D567" t="s">
        <v>227</v>
      </c>
      <c r="E567" t="str">
        <f>"007"</f>
        <v>007</v>
      </c>
      <c r="F567">
        <v>2010</v>
      </c>
      <c r="G567" s="5">
        <v>14053100</v>
      </c>
      <c r="H567" s="5">
        <v>14344800</v>
      </c>
      <c r="I567" s="5">
        <v>-291700</v>
      </c>
    </row>
    <row r="568" spans="1:9" x14ac:dyDescent="0.3">
      <c r="A568" t="s">
        <v>228</v>
      </c>
      <c r="B568" t="str">
        <f t="shared" ref="B568:B577" si="22">"35251"</f>
        <v>35251</v>
      </c>
      <c r="C568" t="s">
        <v>11</v>
      </c>
      <c r="D568" t="s">
        <v>229</v>
      </c>
      <c r="E568" t="str">
        <f>"003"</f>
        <v>003</v>
      </c>
      <c r="F568">
        <v>2005</v>
      </c>
      <c r="G568" s="5">
        <v>48253800</v>
      </c>
      <c r="H568" s="5">
        <v>15367900</v>
      </c>
      <c r="I568" s="5">
        <v>32885900</v>
      </c>
    </row>
    <row r="569" spans="1:9" x14ac:dyDescent="0.3">
      <c r="A569" t="s">
        <v>228</v>
      </c>
      <c r="B569" t="str">
        <f t="shared" si="22"/>
        <v>35251</v>
      </c>
      <c r="C569" t="s">
        <v>11</v>
      </c>
      <c r="D569" t="s">
        <v>229</v>
      </c>
      <c r="E569" t="str">
        <f>"004"</f>
        <v>004</v>
      </c>
      <c r="F569">
        <v>2007</v>
      </c>
      <c r="G569" s="5">
        <v>15602000</v>
      </c>
      <c r="H569" s="5">
        <v>8884500</v>
      </c>
      <c r="I569" s="5">
        <v>6717500</v>
      </c>
    </row>
    <row r="570" spans="1:9" x14ac:dyDescent="0.3">
      <c r="A570" t="s">
        <v>228</v>
      </c>
      <c r="B570" t="str">
        <f t="shared" si="22"/>
        <v>35251</v>
      </c>
      <c r="C570" t="s">
        <v>11</v>
      </c>
      <c r="D570" t="s">
        <v>229</v>
      </c>
      <c r="E570" t="str">
        <f>"005"</f>
        <v>005</v>
      </c>
      <c r="F570">
        <v>2007</v>
      </c>
      <c r="G570" s="5">
        <v>666900</v>
      </c>
      <c r="H570" s="5">
        <v>74000</v>
      </c>
      <c r="I570" s="5">
        <v>592900</v>
      </c>
    </row>
    <row r="571" spans="1:9" x14ac:dyDescent="0.3">
      <c r="A571" t="s">
        <v>228</v>
      </c>
      <c r="B571" t="str">
        <f t="shared" si="22"/>
        <v>35251</v>
      </c>
      <c r="C571" t="s">
        <v>11</v>
      </c>
      <c r="D571" t="s">
        <v>229</v>
      </c>
      <c r="E571" t="str">
        <f>"006"</f>
        <v>006</v>
      </c>
      <c r="F571">
        <v>2009</v>
      </c>
      <c r="G571" s="5">
        <v>13939500</v>
      </c>
      <c r="H571" s="5">
        <v>11982400</v>
      </c>
      <c r="I571" s="5">
        <v>1957100</v>
      </c>
    </row>
    <row r="572" spans="1:9" x14ac:dyDescent="0.3">
      <c r="A572" t="s">
        <v>228</v>
      </c>
      <c r="B572" t="str">
        <f t="shared" si="22"/>
        <v>35251</v>
      </c>
      <c r="C572" t="s">
        <v>11</v>
      </c>
      <c r="D572" t="s">
        <v>229</v>
      </c>
      <c r="E572" t="str">
        <f>"007"</f>
        <v>007</v>
      </c>
      <c r="F572">
        <v>2009</v>
      </c>
      <c r="G572" s="5">
        <v>11745300</v>
      </c>
      <c r="H572" s="5">
        <v>7787000</v>
      </c>
      <c r="I572" s="5">
        <v>3958300</v>
      </c>
    </row>
    <row r="573" spans="1:9" x14ac:dyDescent="0.3">
      <c r="A573" t="s">
        <v>228</v>
      </c>
      <c r="B573" t="str">
        <f t="shared" si="22"/>
        <v>35251</v>
      </c>
      <c r="C573" t="s">
        <v>11</v>
      </c>
      <c r="D573" t="s">
        <v>229</v>
      </c>
      <c r="E573" t="str">
        <f>"008"</f>
        <v>008</v>
      </c>
      <c r="F573">
        <v>2011</v>
      </c>
      <c r="G573" s="5">
        <v>19294600</v>
      </c>
      <c r="H573" s="5">
        <v>17316700</v>
      </c>
      <c r="I573" s="5">
        <v>1977900</v>
      </c>
    </row>
    <row r="574" spans="1:9" x14ac:dyDescent="0.3">
      <c r="A574" t="s">
        <v>228</v>
      </c>
      <c r="B574" t="str">
        <f t="shared" si="22"/>
        <v>35251</v>
      </c>
      <c r="C574" t="s">
        <v>11</v>
      </c>
      <c r="D574" t="s">
        <v>229</v>
      </c>
      <c r="E574" t="str">
        <f>"009"</f>
        <v>009</v>
      </c>
      <c r="F574">
        <v>2013</v>
      </c>
      <c r="G574" s="5">
        <v>5300400</v>
      </c>
      <c r="H574" s="5">
        <v>5936000</v>
      </c>
      <c r="I574" s="5">
        <v>-635600</v>
      </c>
    </row>
    <row r="575" spans="1:9" x14ac:dyDescent="0.3">
      <c r="A575" t="s">
        <v>228</v>
      </c>
      <c r="B575" t="str">
        <f t="shared" si="22"/>
        <v>35251</v>
      </c>
      <c r="C575" t="s">
        <v>11</v>
      </c>
      <c r="D575" t="s">
        <v>229</v>
      </c>
      <c r="E575" t="str">
        <f>"010"</f>
        <v>010</v>
      </c>
      <c r="F575">
        <v>2015</v>
      </c>
      <c r="G575" s="5">
        <v>0</v>
      </c>
      <c r="H575" s="5">
        <v>296800</v>
      </c>
      <c r="I575" s="5">
        <v>-296800</v>
      </c>
    </row>
    <row r="576" spans="1:9" x14ac:dyDescent="0.3">
      <c r="A576" t="s">
        <v>228</v>
      </c>
      <c r="B576" t="str">
        <f t="shared" si="22"/>
        <v>35251</v>
      </c>
      <c r="C576" t="s">
        <v>11</v>
      </c>
      <c r="D576" t="s">
        <v>229</v>
      </c>
      <c r="E576" t="str">
        <f>"011"</f>
        <v>011</v>
      </c>
      <c r="F576">
        <v>2016</v>
      </c>
      <c r="G576" s="5">
        <v>19905800</v>
      </c>
      <c r="H576" s="5">
        <v>14980600</v>
      </c>
      <c r="I576" s="5">
        <v>4925200</v>
      </c>
    </row>
    <row r="577" spans="1:9" x14ac:dyDescent="0.3">
      <c r="A577" t="s">
        <v>228</v>
      </c>
      <c r="B577" t="str">
        <f t="shared" si="22"/>
        <v>35251</v>
      </c>
      <c r="C577" t="s">
        <v>11</v>
      </c>
      <c r="D577" t="s">
        <v>229</v>
      </c>
      <c r="E577" t="str">
        <f>"012"</f>
        <v>012</v>
      </c>
      <c r="F577">
        <v>2017</v>
      </c>
      <c r="G577" s="5">
        <v>2287100</v>
      </c>
      <c r="H577" s="5">
        <v>1594700</v>
      </c>
      <c r="I577" s="5">
        <v>692400</v>
      </c>
    </row>
    <row r="578" spans="1:9" x14ac:dyDescent="0.3">
      <c r="A578" t="s">
        <v>228</v>
      </c>
      <c r="B578" t="str">
        <f t="shared" ref="B578:B583" si="23">"35286"</f>
        <v>35286</v>
      </c>
      <c r="C578" t="s">
        <v>11</v>
      </c>
      <c r="D578" t="s">
        <v>230</v>
      </c>
      <c r="E578" t="str">
        <f>"001"</f>
        <v>001</v>
      </c>
      <c r="F578">
        <v>1995</v>
      </c>
      <c r="G578" s="5">
        <v>6033500</v>
      </c>
      <c r="H578" s="5">
        <v>772400</v>
      </c>
      <c r="I578" s="5">
        <v>5261100</v>
      </c>
    </row>
    <row r="579" spans="1:9" x14ac:dyDescent="0.3">
      <c r="A579" t="s">
        <v>228</v>
      </c>
      <c r="B579" t="str">
        <f t="shared" si="23"/>
        <v>35286</v>
      </c>
      <c r="C579" t="s">
        <v>11</v>
      </c>
      <c r="D579" t="s">
        <v>230</v>
      </c>
      <c r="E579" t="str">
        <f>"001E"</f>
        <v>001E</v>
      </c>
      <c r="F579">
        <v>2005</v>
      </c>
      <c r="G579" s="5">
        <v>1089900</v>
      </c>
      <c r="H579" s="5">
        <v>154400</v>
      </c>
      <c r="I579" s="5">
        <v>935500</v>
      </c>
    </row>
    <row r="580" spans="1:9" x14ac:dyDescent="0.3">
      <c r="A580" t="s">
        <v>228</v>
      </c>
      <c r="B580" t="str">
        <f t="shared" si="23"/>
        <v>35286</v>
      </c>
      <c r="C580" t="s">
        <v>11</v>
      </c>
      <c r="D580" t="s">
        <v>230</v>
      </c>
      <c r="E580" t="str">
        <f>"002"</f>
        <v>002</v>
      </c>
      <c r="F580">
        <v>1997</v>
      </c>
      <c r="G580" s="5">
        <v>19043100</v>
      </c>
      <c r="H580" s="5">
        <v>8285900</v>
      </c>
      <c r="I580" s="5">
        <v>10757200</v>
      </c>
    </row>
    <row r="581" spans="1:9" x14ac:dyDescent="0.3">
      <c r="A581" t="s">
        <v>228</v>
      </c>
      <c r="B581" t="str">
        <f t="shared" si="23"/>
        <v>35286</v>
      </c>
      <c r="C581" t="s">
        <v>11</v>
      </c>
      <c r="D581" t="s">
        <v>230</v>
      </c>
      <c r="E581" t="str">
        <f>"003"</f>
        <v>003</v>
      </c>
      <c r="F581">
        <v>2008</v>
      </c>
      <c r="G581" s="5">
        <v>2327700</v>
      </c>
      <c r="H581" s="5">
        <v>178200</v>
      </c>
      <c r="I581" s="5">
        <v>2149500</v>
      </c>
    </row>
    <row r="582" spans="1:9" x14ac:dyDescent="0.3">
      <c r="A582" t="s">
        <v>228</v>
      </c>
      <c r="B582" t="str">
        <f t="shared" si="23"/>
        <v>35286</v>
      </c>
      <c r="C582" t="s">
        <v>11</v>
      </c>
      <c r="D582" t="s">
        <v>230</v>
      </c>
      <c r="E582" t="str">
        <f>"004"</f>
        <v>004</v>
      </c>
      <c r="F582">
        <v>2013</v>
      </c>
      <c r="G582" s="5">
        <v>5724900</v>
      </c>
      <c r="H582" s="5">
        <v>2052200</v>
      </c>
      <c r="I582" s="5">
        <v>3672700</v>
      </c>
    </row>
    <row r="583" spans="1:9" x14ac:dyDescent="0.3">
      <c r="A583" t="s">
        <v>228</v>
      </c>
      <c r="B583" t="str">
        <f t="shared" si="23"/>
        <v>35286</v>
      </c>
      <c r="C583" t="s">
        <v>11</v>
      </c>
      <c r="D583" t="s">
        <v>230</v>
      </c>
      <c r="E583" t="str">
        <f>"005"</f>
        <v>005</v>
      </c>
      <c r="F583">
        <v>2015</v>
      </c>
      <c r="G583" s="5">
        <v>616000</v>
      </c>
      <c r="H583" s="5">
        <v>610200</v>
      </c>
      <c r="I583" s="5">
        <v>5800</v>
      </c>
    </row>
    <row r="584" spans="1:9" x14ac:dyDescent="0.3">
      <c r="A584" t="s">
        <v>231</v>
      </c>
      <c r="B584" t="str">
        <f>"36126"</f>
        <v>36126</v>
      </c>
      <c r="C584" t="s">
        <v>12</v>
      </c>
      <c r="D584" t="s">
        <v>232</v>
      </c>
      <c r="E584" t="str">
        <f>"002"</f>
        <v>002</v>
      </c>
      <c r="F584">
        <v>2004</v>
      </c>
      <c r="G584" s="5">
        <v>1564400</v>
      </c>
      <c r="H584" s="5">
        <v>219600</v>
      </c>
      <c r="I584" s="5">
        <v>1344800</v>
      </c>
    </row>
    <row r="585" spans="1:9" x14ac:dyDescent="0.3">
      <c r="A585" t="s">
        <v>231</v>
      </c>
      <c r="B585" t="str">
        <f>"36132"</f>
        <v>36132</v>
      </c>
      <c r="C585" t="s">
        <v>12</v>
      </c>
      <c r="D585" t="s">
        <v>233</v>
      </c>
      <c r="E585" t="str">
        <f>"001"</f>
        <v>001</v>
      </c>
      <c r="F585">
        <v>2003</v>
      </c>
      <c r="G585" s="5">
        <v>1397200</v>
      </c>
      <c r="H585" s="5">
        <v>783600</v>
      </c>
      <c r="I585" s="5">
        <v>613600</v>
      </c>
    </row>
    <row r="586" spans="1:9" x14ac:dyDescent="0.3">
      <c r="A586" t="s">
        <v>231</v>
      </c>
      <c r="B586" t="str">
        <f>"36241"</f>
        <v>36241</v>
      </c>
      <c r="C586" t="s">
        <v>11</v>
      </c>
      <c r="D586" t="s">
        <v>58</v>
      </c>
      <c r="E586" t="str">
        <f>"001E"</f>
        <v>001E</v>
      </c>
      <c r="F586">
        <v>2005</v>
      </c>
      <c r="G586" s="5">
        <v>242500</v>
      </c>
      <c r="H586" s="5">
        <v>249900</v>
      </c>
      <c r="I586" s="5">
        <v>-7400</v>
      </c>
    </row>
    <row r="587" spans="1:9" x14ac:dyDescent="0.3">
      <c r="A587" t="s">
        <v>231</v>
      </c>
      <c r="B587" t="str">
        <f>"36241"</f>
        <v>36241</v>
      </c>
      <c r="C587" t="s">
        <v>11</v>
      </c>
      <c r="D587" t="s">
        <v>58</v>
      </c>
      <c r="E587" t="str">
        <f>"004"</f>
        <v>004</v>
      </c>
      <c r="F587">
        <v>2011</v>
      </c>
      <c r="G587" s="5">
        <v>32751700</v>
      </c>
      <c r="H587" s="5">
        <v>3697100</v>
      </c>
      <c r="I587" s="5">
        <v>29054600</v>
      </c>
    </row>
    <row r="588" spans="1:9" x14ac:dyDescent="0.3">
      <c r="A588" t="s">
        <v>231</v>
      </c>
      <c r="B588" t="str">
        <f t="shared" ref="B588:B595" si="24">"36251"</f>
        <v>36251</v>
      </c>
      <c r="C588" t="s">
        <v>11</v>
      </c>
      <c r="D588" t="s">
        <v>231</v>
      </c>
      <c r="E588" t="str">
        <f>"010"</f>
        <v>010</v>
      </c>
      <c r="F588">
        <v>1997</v>
      </c>
      <c r="G588" s="5">
        <v>8610600</v>
      </c>
      <c r="H588" s="5">
        <v>2694400</v>
      </c>
      <c r="I588" s="5">
        <v>5916200</v>
      </c>
    </row>
    <row r="589" spans="1:9" x14ac:dyDescent="0.3">
      <c r="A589" t="s">
        <v>231</v>
      </c>
      <c r="B589" t="str">
        <f t="shared" si="24"/>
        <v>36251</v>
      </c>
      <c r="C589" t="s">
        <v>11</v>
      </c>
      <c r="D589" t="s">
        <v>231</v>
      </c>
      <c r="E589" t="str">
        <f>"012"</f>
        <v>012</v>
      </c>
      <c r="F589">
        <v>1999</v>
      </c>
      <c r="G589" s="5">
        <v>7597700</v>
      </c>
      <c r="H589" s="5">
        <v>61500</v>
      </c>
      <c r="I589" s="5">
        <v>7536200</v>
      </c>
    </row>
    <row r="590" spans="1:9" x14ac:dyDescent="0.3">
      <c r="A590" t="s">
        <v>231</v>
      </c>
      <c r="B590" t="str">
        <f t="shared" si="24"/>
        <v>36251</v>
      </c>
      <c r="C590" t="s">
        <v>11</v>
      </c>
      <c r="D590" t="s">
        <v>231</v>
      </c>
      <c r="E590" t="str">
        <f>"016"</f>
        <v>016</v>
      </c>
      <c r="F590">
        <v>2003</v>
      </c>
      <c r="G590" s="5">
        <v>38507100</v>
      </c>
      <c r="H590" s="5">
        <v>23530300</v>
      </c>
      <c r="I590" s="5">
        <v>14976800</v>
      </c>
    </row>
    <row r="591" spans="1:9" x14ac:dyDescent="0.3">
      <c r="A591" t="s">
        <v>231</v>
      </c>
      <c r="B591" t="str">
        <f t="shared" si="24"/>
        <v>36251</v>
      </c>
      <c r="C591" t="s">
        <v>11</v>
      </c>
      <c r="D591" t="s">
        <v>231</v>
      </c>
      <c r="E591" t="str">
        <f>"017"</f>
        <v>017</v>
      </c>
      <c r="F591">
        <v>2007</v>
      </c>
      <c r="G591" s="5">
        <v>10505500</v>
      </c>
      <c r="H591" s="5">
        <v>192200</v>
      </c>
      <c r="I591" s="5">
        <v>10313300</v>
      </c>
    </row>
    <row r="592" spans="1:9" x14ac:dyDescent="0.3">
      <c r="A592" t="s">
        <v>231</v>
      </c>
      <c r="B592" t="str">
        <f t="shared" si="24"/>
        <v>36251</v>
      </c>
      <c r="C592" t="s">
        <v>11</v>
      </c>
      <c r="D592" t="s">
        <v>231</v>
      </c>
      <c r="E592" t="str">
        <f>"018"</f>
        <v>018</v>
      </c>
      <c r="F592">
        <v>2015</v>
      </c>
      <c r="G592" s="5">
        <v>19028200</v>
      </c>
      <c r="H592" s="5">
        <v>13492300</v>
      </c>
      <c r="I592" s="5">
        <v>5535900</v>
      </c>
    </row>
    <row r="593" spans="1:12" x14ac:dyDescent="0.3">
      <c r="A593" t="s">
        <v>231</v>
      </c>
      <c r="B593" t="str">
        <f t="shared" si="24"/>
        <v>36251</v>
      </c>
      <c r="C593" t="s">
        <v>11</v>
      </c>
      <c r="D593" t="s">
        <v>231</v>
      </c>
      <c r="E593" t="str">
        <f>"019"</f>
        <v>019</v>
      </c>
      <c r="F593">
        <v>2017</v>
      </c>
      <c r="G593" s="5">
        <v>67277600</v>
      </c>
      <c r="H593" s="5">
        <v>58414600</v>
      </c>
      <c r="I593" s="5">
        <v>8863000</v>
      </c>
    </row>
    <row r="594" spans="1:12" x14ac:dyDescent="0.3">
      <c r="A594" t="s">
        <v>231</v>
      </c>
      <c r="B594" t="str">
        <f t="shared" si="24"/>
        <v>36251</v>
      </c>
      <c r="C594" t="s">
        <v>11</v>
      </c>
      <c r="D594" t="s">
        <v>231</v>
      </c>
      <c r="E594" t="str">
        <f>"020"</f>
        <v>020</v>
      </c>
      <c r="F594">
        <v>2018</v>
      </c>
      <c r="G594" s="5">
        <v>37396900</v>
      </c>
      <c r="H594" s="5">
        <v>21640000</v>
      </c>
      <c r="I594" s="5">
        <v>15756900</v>
      </c>
    </row>
    <row r="595" spans="1:12" x14ac:dyDescent="0.3">
      <c r="A595" t="s">
        <v>231</v>
      </c>
      <c r="B595" t="str">
        <f t="shared" si="24"/>
        <v>36251</v>
      </c>
      <c r="C595" t="s">
        <v>11</v>
      </c>
      <c r="D595" t="s">
        <v>231</v>
      </c>
      <c r="E595" t="str">
        <f>"021"</f>
        <v>021</v>
      </c>
      <c r="F595">
        <v>2018</v>
      </c>
      <c r="G595" s="5">
        <v>30364900</v>
      </c>
      <c r="H595" s="5">
        <v>22730400</v>
      </c>
      <c r="I595" s="5">
        <v>7634500</v>
      </c>
    </row>
    <row r="596" spans="1:12" x14ac:dyDescent="0.3">
      <c r="A596" t="s">
        <v>231</v>
      </c>
      <c r="B596" t="str">
        <f>"36147"</f>
        <v>36147</v>
      </c>
      <c r="C596" t="s">
        <v>12</v>
      </c>
      <c r="D596" t="s">
        <v>234</v>
      </c>
      <c r="E596" t="str">
        <f>"001"</f>
        <v>001</v>
      </c>
      <c r="F596">
        <v>2017</v>
      </c>
      <c r="G596" s="5">
        <v>4027100</v>
      </c>
      <c r="H596" s="5">
        <v>1247400</v>
      </c>
      <c r="I596" s="5">
        <v>2779700</v>
      </c>
    </row>
    <row r="597" spans="1:12" x14ac:dyDescent="0.3">
      <c r="A597" t="s">
        <v>231</v>
      </c>
      <c r="B597" t="str">
        <f t="shared" ref="B597:B604" si="25">"36286"</f>
        <v>36286</v>
      </c>
      <c r="C597" t="s">
        <v>11</v>
      </c>
      <c r="D597" t="s">
        <v>235</v>
      </c>
      <c r="E597" t="str">
        <f>"004"</f>
        <v>004</v>
      </c>
      <c r="F597">
        <v>1994</v>
      </c>
      <c r="G597" s="5">
        <v>2958000</v>
      </c>
      <c r="H597" s="5">
        <v>1146900</v>
      </c>
      <c r="I597" s="5">
        <v>1811100</v>
      </c>
    </row>
    <row r="598" spans="1:12" x14ac:dyDescent="0.3">
      <c r="A598" t="s">
        <v>231</v>
      </c>
      <c r="B598" t="str">
        <f t="shared" si="25"/>
        <v>36286</v>
      </c>
      <c r="C598" t="s">
        <v>11</v>
      </c>
      <c r="D598" t="s">
        <v>235</v>
      </c>
      <c r="E598" t="str">
        <f>"006"</f>
        <v>006</v>
      </c>
      <c r="F598">
        <v>2000</v>
      </c>
      <c r="G598" s="5">
        <v>916000</v>
      </c>
      <c r="H598" s="5">
        <v>0</v>
      </c>
      <c r="I598" s="5">
        <v>916000</v>
      </c>
    </row>
    <row r="599" spans="1:12" x14ac:dyDescent="0.3">
      <c r="A599" t="s">
        <v>231</v>
      </c>
      <c r="B599" t="str">
        <f t="shared" si="25"/>
        <v>36286</v>
      </c>
      <c r="C599" t="s">
        <v>11</v>
      </c>
      <c r="D599" t="s">
        <v>235</v>
      </c>
      <c r="E599" t="str">
        <f>"007"</f>
        <v>007</v>
      </c>
      <c r="F599">
        <v>2001</v>
      </c>
      <c r="G599" s="5">
        <v>6156900</v>
      </c>
      <c r="H599" s="5">
        <v>0</v>
      </c>
      <c r="I599" s="5">
        <v>6156900</v>
      </c>
    </row>
    <row r="600" spans="1:12" x14ac:dyDescent="0.3">
      <c r="A600" t="s">
        <v>231</v>
      </c>
      <c r="B600" t="str">
        <f t="shared" si="25"/>
        <v>36286</v>
      </c>
      <c r="C600" t="s">
        <v>11</v>
      </c>
      <c r="D600" t="s">
        <v>235</v>
      </c>
      <c r="E600" t="str">
        <f>"008"</f>
        <v>008</v>
      </c>
      <c r="F600">
        <v>2002</v>
      </c>
      <c r="G600" s="5">
        <v>7444100</v>
      </c>
      <c r="H600" s="5">
        <v>0</v>
      </c>
      <c r="I600" s="5">
        <v>7444100</v>
      </c>
    </row>
    <row r="601" spans="1:12" x14ac:dyDescent="0.3">
      <c r="A601" t="s">
        <v>231</v>
      </c>
      <c r="B601" t="str">
        <f t="shared" si="25"/>
        <v>36286</v>
      </c>
      <c r="C601" t="s">
        <v>11</v>
      </c>
      <c r="D601" t="s">
        <v>235</v>
      </c>
      <c r="E601" t="str">
        <f>"009"</f>
        <v>009</v>
      </c>
      <c r="F601">
        <v>2003</v>
      </c>
      <c r="G601" s="5">
        <v>9387000</v>
      </c>
      <c r="H601" s="5">
        <v>10800</v>
      </c>
      <c r="I601" s="5">
        <v>9376200</v>
      </c>
    </row>
    <row r="602" spans="1:12" x14ac:dyDescent="0.3">
      <c r="A602" t="s">
        <v>231</v>
      </c>
      <c r="B602" t="str">
        <f t="shared" si="25"/>
        <v>36286</v>
      </c>
      <c r="C602" t="s">
        <v>11</v>
      </c>
      <c r="D602" t="s">
        <v>235</v>
      </c>
      <c r="E602" t="str">
        <f>"010"</f>
        <v>010</v>
      </c>
      <c r="F602">
        <v>2014</v>
      </c>
      <c r="G602" s="5">
        <v>2185000</v>
      </c>
      <c r="H602" s="5">
        <v>2070700</v>
      </c>
      <c r="I602" s="5">
        <v>114300</v>
      </c>
    </row>
    <row r="603" spans="1:12" x14ac:dyDescent="0.3">
      <c r="A603" t="s">
        <v>231</v>
      </c>
      <c r="B603" t="str">
        <f t="shared" si="25"/>
        <v>36286</v>
      </c>
      <c r="C603" t="s">
        <v>11</v>
      </c>
      <c r="D603" t="s">
        <v>235</v>
      </c>
      <c r="E603" t="str">
        <f>"011"</f>
        <v>011</v>
      </c>
      <c r="F603">
        <v>2016</v>
      </c>
      <c r="G603" s="5">
        <v>1999500</v>
      </c>
      <c r="H603" s="5">
        <v>860400</v>
      </c>
      <c r="I603" s="5">
        <v>1139100</v>
      </c>
    </row>
    <row r="604" spans="1:12" x14ac:dyDescent="0.3">
      <c r="A604" t="s">
        <v>231</v>
      </c>
      <c r="B604" t="str">
        <f t="shared" si="25"/>
        <v>36286</v>
      </c>
      <c r="C604" t="s">
        <v>11</v>
      </c>
      <c r="D604" t="s">
        <v>235</v>
      </c>
      <c r="E604" t="str">
        <f>"012"</f>
        <v>012</v>
      </c>
      <c r="F604">
        <v>2018</v>
      </c>
      <c r="G604" s="5">
        <v>1276200</v>
      </c>
      <c r="H604" s="5">
        <v>380900</v>
      </c>
      <c r="I604" s="5">
        <v>895300</v>
      </c>
    </row>
    <row r="605" spans="1:12" x14ac:dyDescent="0.3">
      <c r="A605" t="s">
        <v>231</v>
      </c>
      <c r="B605" t="str">
        <f>"36186"</f>
        <v>36186</v>
      </c>
      <c r="C605" t="s">
        <v>12</v>
      </c>
      <c r="D605" t="s">
        <v>236</v>
      </c>
      <c r="E605" t="str">
        <f>"002"</f>
        <v>002</v>
      </c>
      <c r="F605">
        <v>2017</v>
      </c>
      <c r="G605" s="5">
        <v>3836900</v>
      </c>
      <c r="H605" s="5">
        <v>3330200</v>
      </c>
      <c r="I605" s="5">
        <v>506700</v>
      </c>
    </row>
    <row r="606" spans="1:12" x14ac:dyDescent="0.3">
      <c r="A606" t="s">
        <v>231</v>
      </c>
      <c r="B606" t="str">
        <f>"36191"</f>
        <v>36191</v>
      </c>
      <c r="C606" t="s">
        <v>12</v>
      </c>
      <c r="D606" t="s">
        <v>237</v>
      </c>
      <c r="E606" t="str">
        <f>"002"</f>
        <v>002</v>
      </c>
      <c r="F606">
        <v>2010</v>
      </c>
      <c r="G606" s="5">
        <v>3792800</v>
      </c>
      <c r="H606" s="5">
        <v>2290100</v>
      </c>
      <c r="I606" s="5">
        <v>1502700</v>
      </c>
      <c r="L606" s="6"/>
    </row>
    <row r="607" spans="1:12" x14ac:dyDescent="0.3">
      <c r="A607" t="s">
        <v>238</v>
      </c>
      <c r="B607" t="str">
        <f>"37201"</f>
        <v>37201</v>
      </c>
      <c r="C607" t="s">
        <v>11</v>
      </c>
      <c r="D607" t="s">
        <v>71</v>
      </c>
      <c r="E607" t="str">
        <f>"005"</f>
        <v>005</v>
      </c>
      <c r="F607">
        <v>2008</v>
      </c>
      <c r="G607" s="5">
        <v>10192400</v>
      </c>
      <c r="H607" s="5">
        <v>11954100</v>
      </c>
      <c r="I607" s="5">
        <v>-1761700</v>
      </c>
    </row>
    <row r="608" spans="1:12" x14ac:dyDescent="0.3">
      <c r="A608" t="s">
        <v>238</v>
      </c>
      <c r="B608" t="str">
        <f>"37201"</f>
        <v>37201</v>
      </c>
      <c r="C608" t="s">
        <v>11</v>
      </c>
      <c r="D608" t="s">
        <v>71</v>
      </c>
      <c r="E608" t="str">
        <f>"006"</f>
        <v>006</v>
      </c>
      <c r="F608">
        <v>2016</v>
      </c>
      <c r="G608" s="5">
        <v>26274400</v>
      </c>
      <c r="H608" s="5">
        <v>5923100</v>
      </c>
      <c r="I608" s="7">
        <v>20351300</v>
      </c>
    </row>
    <row r="609" spans="1:9" x14ac:dyDescent="0.3">
      <c r="A609" t="s">
        <v>238</v>
      </c>
      <c r="B609" t="str">
        <f>"37102"</f>
        <v>37102</v>
      </c>
      <c r="C609" t="s">
        <v>12</v>
      </c>
      <c r="D609" t="s">
        <v>239</v>
      </c>
      <c r="E609" t="str">
        <f>"001"</f>
        <v>001</v>
      </c>
      <c r="F609">
        <v>1995</v>
      </c>
      <c r="G609" s="5">
        <v>4600100</v>
      </c>
      <c r="H609" s="5">
        <v>44500</v>
      </c>
      <c r="I609" s="5">
        <v>4555600</v>
      </c>
    </row>
    <row r="610" spans="1:9" x14ac:dyDescent="0.3">
      <c r="A610" t="s">
        <v>238</v>
      </c>
      <c r="B610" t="str">
        <f>"37102"</f>
        <v>37102</v>
      </c>
      <c r="C610" t="s">
        <v>12</v>
      </c>
      <c r="D610" t="s">
        <v>239</v>
      </c>
      <c r="E610" t="str">
        <f>"002"</f>
        <v>002</v>
      </c>
      <c r="F610">
        <v>2007</v>
      </c>
      <c r="G610" s="5">
        <v>7422900</v>
      </c>
      <c r="H610" s="5">
        <v>1889500</v>
      </c>
      <c r="I610" s="5">
        <v>5533400</v>
      </c>
    </row>
    <row r="611" spans="1:9" x14ac:dyDescent="0.3">
      <c r="A611" t="s">
        <v>238</v>
      </c>
      <c r="B611" t="str">
        <f>"37211"</f>
        <v>37211</v>
      </c>
      <c r="C611" t="s">
        <v>11</v>
      </c>
      <c r="D611" t="s">
        <v>72</v>
      </c>
      <c r="E611" t="str">
        <f>"002"</f>
        <v>002</v>
      </c>
      <c r="F611">
        <v>1993</v>
      </c>
      <c r="G611" s="5">
        <v>21695200</v>
      </c>
      <c r="H611" s="5">
        <v>4514700</v>
      </c>
      <c r="I611" s="5">
        <v>17180500</v>
      </c>
    </row>
    <row r="612" spans="1:9" x14ac:dyDescent="0.3">
      <c r="A612" t="s">
        <v>238</v>
      </c>
      <c r="B612" t="str">
        <f>"37121"</f>
        <v>37121</v>
      </c>
      <c r="C612" t="s">
        <v>12</v>
      </c>
      <c r="D612" t="s">
        <v>240</v>
      </c>
      <c r="E612" t="str">
        <f>"001"</f>
        <v>001</v>
      </c>
      <c r="F612">
        <v>2002</v>
      </c>
      <c r="G612" s="5">
        <v>1614300</v>
      </c>
      <c r="H612" s="5">
        <v>789300</v>
      </c>
      <c r="I612" s="5">
        <v>825000</v>
      </c>
    </row>
    <row r="613" spans="1:9" x14ac:dyDescent="0.3">
      <c r="A613" t="s">
        <v>238</v>
      </c>
      <c r="B613" t="str">
        <f>"37121"</f>
        <v>37121</v>
      </c>
      <c r="C613" t="s">
        <v>12</v>
      </c>
      <c r="D613" t="s">
        <v>240</v>
      </c>
      <c r="E613" t="str">
        <f>"003"</f>
        <v>003</v>
      </c>
      <c r="F613">
        <v>2005</v>
      </c>
      <c r="G613" s="5">
        <v>7165600</v>
      </c>
      <c r="H613" s="5">
        <v>55700</v>
      </c>
      <c r="I613" s="5">
        <v>7109900</v>
      </c>
    </row>
    <row r="614" spans="1:9" x14ac:dyDescent="0.3">
      <c r="A614" t="s">
        <v>238</v>
      </c>
      <c r="B614" t="str">
        <f>"37121"</f>
        <v>37121</v>
      </c>
      <c r="C614" t="s">
        <v>12</v>
      </c>
      <c r="D614" t="s">
        <v>240</v>
      </c>
      <c r="E614" t="str">
        <f>"004"</f>
        <v>004</v>
      </c>
      <c r="F614">
        <v>2016</v>
      </c>
      <c r="G614" s="5">
        <v>4663100</v>
      </c>
      <c r="H614" s="5">
        <v>1655200</v>
      </c>
      <c r="I614" s="5">
        <v>3007900</v>
      </c>
    </row>
    <row r="615" spans="1:9" x14ac:dyDescent="0.3">
      <c r="A615" t="s">
        <v>238</v>
      </c>
      <c r="B615" t="str">
        <f>"37136"</f>
        <v>37136</v>
      </c>
      <c r="C615" t="s">
        <v>12</v>
      </c>
      <c r="D615" t="s">
        <v>241</v>
      </c>
      <c r="E615" t="str">
        <f>"001"</f>
        <v>001</v>
      </c>
      <c r="F615">
        <v>2007</v>
      </c>
      <c r="G615" s="5">
        <v>11311100</v>
      </c>
      <c r="H615" s="5">
        <v>3240500</v>
      </c>
      <c r="I615" s="5">
        <v>8070600</v>
      </c>
    </row>
    <row r="616" spans="1:9" x14ac:dyDescent="0.3">
      <c r="A616" t="s">
        <v>238</v>
      </c>
      <c r="B616" t="str">
        <f>"37145"</f>
        <v>37145</v>
      </c>
      <c r="C616" t="s">
        <v>12</v>
      </c>
      <c r="D616" t="s">
        <v>242</v>
      </c>
      <c r="E616" t="str">
        <f>"001"</f>
        <v>001</v>
      </c>
      <c r="F616">
        <v>2005</v>
      </c>
      <c r="G616" s="5">
        <v>18402800</v>
      </c>
      <c r="H616" s="5">
        <v>2262300</v>
      </c>
      <c r="I616" s="5">
        <v>16140500</v>
      </c>
    </row>
    <row r="617" spans="1:9" x14ac:dyDescent="0.3">
      <c r="A617" t="s">
        <v>238</v>
      </c>
      <c r="B617" t="str">
        <f>"37145"</f>
        <v>37145</v>
      </c>
      <c r="C617" t="s">
        <v>12</v>
      </c>
      <c r="D617" t="s">
        <v>242</v>
      </c>
      <c r="E617" t="str">
        <f>"002"</f>
        <v>002</v>
      </c>
      <c r="F617">
        <v>2005</v>
      </c>
      <c r="G617" s="5">
        <v>52342700</v>
      </c>
      <c r="H617" s="5">
        <v>5398600</v>
      </c>
      <c r="I617" s="5">
        <v>46944100</v>
      </c>
    </row>
    <row r="618" spans="1:9" x14ac:dyDescent="0.3">
      <c r="A618" t="s">
        <v>238</v>
      </c>
      <c r="B618" t="str">
        <f>"37145"</f>
        <v>37145</v>
      </c>
      <c r="C618" t="s">
        <v>12</v>
      </c>
      <c r="D618" t="s">
        <v>242</v>
      </c>
      <c r="E618" t="str">
        <f>"003"</f>
        <v>003</v>
      </c>
      <c r="F618">
        <v>2005</v>
      </c>
      <c r="G618" s="5">
        <v>1165700</v>
      </c>
      <c r="H618" s="5">
        <v>405100</v>
      </c>
      <c r="I618" s="5">
        <v>760600</v>
      </c>
    </row>
    <row r="619" spans="1:9" x14ac:dyDescent="0.3">
      <c r="A619" t="s">
        <v>238</v>
      </c>
      <c r="B619" t="str">
        <f>"37145"</f>
        <v>37145</v>
      </c>
      <c r="C619" t="s">
        <v>12</v>
      </c>
      <c r="D619" t="s">
        <v>242</v>
      </c>
      <c r="E619" t="str">
        <f>"004"</f>
        <v>004</v>
      </c>
      <c r="F619">
        <v>2005</v>
      </c>
      <c r="G619" s="5">
        <v>6039500</v>
      </c>
      <c r="H619" s="5">
        <v>106600</v>
      </c>
      <c r="I619" s="5">
        <v>5932900</v>
      </c>
    </row>
    <row r="620" spans="1:9" x14ac:dyDescent="0.3">
      <c r="A620" t="s">
        <v>238</v>
      </c>
      <c r="B620" t="str">
        <f>"37146"</f>
        <v>37146</v>
      </c>
      <c r="C620" t="s">
        <v>12</v>
      </c>
      <c r="D620" t="s">
        <v>243</v>
      </c>
      <c r="E620" t="str">
        <f>"001"</f>
        <v>001</v>
      </c>
      <c r="F620">
        <v>1997</v>
      </c>
      <c r="G620" s="5">
        <v>10481200</v>
      </c>
      <c r="H620" s="5">
        <v>447100</v>
      </c>
      <c r="I620" s="5">
        <v>10034100</v>
      </c>
    </row>
    <row r="621" spans="1:9" x14ac:dyDescent="0.3">
      <c r="A621" t="s">
        <v>238</v>
      </c>
      <c r="B621" t="str">
        <f>"37151"</f>
        <v>37151</v>
      </c>
      <c r="C621" t="s">
        <v>12</v>
      </c>
      <c r="D621" t="s">
        <v>238</v>
      </c>
      <c r="E621" t="str">
        <f>"001"</f>
        <v>001</v>
      </c>
      <c r="F621">
        <v>2002</v>
      </c>
      <c r="G621" s="5">
        <v>37314700</v>
      </c>
      <c r="H621" s="5">
        <v>7361400</v>
      </c>
      <c r="I621" s="5">
        <v>29953300</v>
      </c>
    </row>
    <row r="622" spans="1:9" x14ac:dyDescent="0.3">
      <c r="A622" t="s">
        <v>238</v>
      </c>
      <c r="B622" t="str">
        <f>"37151"</f>
        <v>37151</v>
      </c>
      <c r="C622" t="s">
        <v>12</v>
      </c>
      <c r="D622" t="s">
        <v>238</v>
      </c>
      <c r="E622" t="str">
        <f>"002"</f>
        <v>002</v>
      </c>
      <c r="F622">
        <v>2016</v>
      </c>
      <c r="G622" s="5">
        <v>7949900</v>
      </c>
      <c r="H622" s="5">
        <v>1146800</v>
      </c>
      <c r="I622" s="5">
        <v>6803100</v>
      </c>
    </row>
    <row r="623" spans="1:9" x14ac:dyDescent="0.3">
      <c r="A623" t="s">
        <v>238</v>
      </c>
      <c r="B623" t="str">
        <f>"37251"</f>
        <v>37251</v>
      </c>
      <c r="C623" t="s">
        <v>11</v>
      </c>
      <c r="D623" t="s">
        <v>244</v>
      </c>
      <c r="E623" t="str">
        <f>"002"</f>
        <v>002</v>
      </c>
      <c r="F623">
        <v>2006</v>
      </c>
      <c r="G623" s="5">
        <v>29741400</v>
      </c>
      <c r="H623" s="5">
        <v>12930700</v>
      </c>
      <c r="I623" s="5">
        <v>16810700</v>
      </c>
    </row>
    <row r="624" spans="1:9" x14ac:dyDescent="0.3">
      <c r="A624" t="s">
        <v>238</v>
      </c>
      <c r="B624" t="str">
        <f>"37251"</f>
        <v>37251</v>
      </c>
      <c r="C624" t="s">
        <v>11</v>
      </c>
      <c r="D624" t="s">
        <v>244</v>
      </c>
      <c r="E624" t="str">
        <f>"003"</f>
        <v>003</v>
      </c>
      <c r="F624">
        <v>2013</v>
      </c>
      <c r="G624" s="5">
        <v>12964600</v>
      </c>
      <c r="H624" s="5">
        <v>7531100</v>
      </c>
      <c r="I624" s="5">
        <v>5433500</v>
      </c>
    </row>
    <row r="625" spans="1:9" x14ac:dyDescent="0.3">
      <c r="A625" t="s">
        <v>238</v>
      </c>
      <c r="B625" t="str">
        <f>"37176"</f>
        <v>37176</v>
      </c>
      <c r="C625" t="s">
        <v>12</v>
      </c>
      <c r="D625" t="s">
        <v>245</v>
      </c>
      <c r="E625" t="str">
        <f>"002"</f>
        <v>002</v>
      </c>
      <c r="F625">
        <v>2013</v>
      </c>
      <c r="G625" s="5">
        <v>59260900</v>
      </c>
      <c r="H625" s="5">
        <v>44864400</v>
      </c>
      <c r="I625" s="5">
        <v>14396500</v>
      </c>
    </row>
    <row r="626" spans="1:9" x14ac:dyDescent="0.3">
      <c r="A626" t="s">
        <v>238</v>
      </c>
      <c r="B626" t="str">
        <f>"37281"</f>
        <v>37281</v>
      </c>
      <c r="C626" t="s">
        <v>11</v>
      </c>
      <c r="D626" t="s">
        <v>246</v>
      </c>
      <c r="E626" t="str">
        <f>"002"</f>
        <v>002</v>
      </c>
      <c r="F626">
        <v>1994</v>
      </c>
      <c r="G626" s="5">
        <v>18752700</v>
      </c>
      <c r="H626" s="5">
        <v>3273500</v>
      </c>
      <c r="I626" s="5">
        <v>15479200</v>
      </c>
    </row>
    <row r="627" spans="1:9" x14ac:dyDescent="0.3">
      <c r="A627" t="s">
        <v>238</v>
      </c>
      <c r="B627" t="str">
        <f>"37281"</f>
        <v>37281</v>
      </c>
      <c r="C627" t="s">
        <v>11</v>
      </c>
      <c r="D627" t="s">
        <v>246</v>
      </c>
      <c r="E627" t="str">
        <f>"003"</f>
        <v>003</v>
      </c>
      <c r="F627">
        <v>1997</v>
      </c>
      <c r="G627" s="5">
        <v>12556300</v>
      </c>
      <c r="H627" s="5">
        <v>4839000</v>
      </c>
      <c r="I627" s="5">
        <v>7717300</v>
      </c>
    </row>
    <row r="628" spans="1:9" x14ac:dyDescent="0.3">
      <c r="A628" t="s">
        <v>238</v>
      </c>
      <c r="B628" t="str">
        <f>"37281"</f>
        <v>37281</v>
      </c>
      <c r="C628" t="s">
        <v>11</v>
      </c>
      <c r="D628" t="s">
        <v>246</v>
      </c>
      <c r="E628" t="str">
        <f>"004"</f>
        <v>004</v>
      </c>
      <c r="F628">
        <v>2017</v>
      </c>
      <c r="G628" s="5">
        <v>11987700</v>
      </c>
      <c r="H628" s="5">
        <v>4534200</v>
      </c>
      <c r="I628" s="5">
        <v>7453500</v>
      </c>
    </row>
    <row r="629" spans="1:9" x14ac:dyDescent="0.3">
      <c r="A629" t="s">
        <v>238</v>
      </c>
      <c r="B629" t="str">
        <f>"37181"</f>
        <v>37181</v>
      </c>
      <c r="C629" t="s">
        <v>12</v>
      </c>
      <c r="D629" t="s">
        <v>247</v>
      </c>
      <c r="E629" t="str">
        <f>"002"</f>
        <v>002</v>
      </c>
      <c r="F629">
        <v>1999</v>
      </c>
      <c r="G629" s="5">
        <v>8085800</v>
      </c>
      <c r="H629" s="5">
        <v>2954600</v>
      </c>
      <c r="I629" s="5">
        <v>5131200</v>
      </c>
    </row>
    <row r="630" spans="1:9" x14ac:dyDescent="0.3">
      <c r="A630" t="s">
        <v>238</v>
      </c>
      <c r="B630" t="str">
        <f>"37181"</f>
        <v>37181</v>
      </c>
      <c r="C630" t="s">
        <v>12</v>
      </c>
      <c r="D630" t="s">
        <v>247</v>
      </c>
      <c r="E630" t="str">
        <f>"003"</f>
        <v>003</v>
      </c>
      <c r="F630">
        <v>2013</v>
      </c>
      <c r="G630" s="5">
        <v>2575800</v>
      </c>
      <c r="H630" s="5">
        <v>519500</v>
      </c>
      <c r="I630" s="5">
        <v>2056300</v>
      </c>
    </row>
    <row r="631" spans="1:9" x14ac:dyDescent="0.3">
      <c r="A631" t="s">
        <v>238</v>
      </c>
      <c r="B631" t="str">
        <f>"37181"</f>
        <v>37181</v>
      </c>
      <c r="C631" t="s">
        <v>12</v>
      </c>
      <c r="D631" t="s">
        <v>247</v>
      </c>
      <c r="E631" t="str">
        <f>"004"</f>
        <v>004</v>
      </c>
      <c r="F631">
        <v>2016</v>
      </c>
      <c r="G631" s="5">
        <v>6676800</v>
      </c>
      <c r="H631" s="5">
        <v>6831100</v>
      </c>
      <c r="I631" s="5">
        <v>-154300</v>
      </c>
    </row>
    <row r="632" spans="1:9" x14ac:dyDescent="0.3">
      <c r="A632" t="s">
        <v>238</v>
      </c>
      <c r="B632" t="str">
        <f>"37182"</f>
        <v>37182</v>
      </c>
      <c r="C632" t="s">
        <v>12</v>
      </c>
      <c r="D632" t="s">
        <v>248</v>
      </c>
      <c r="E632" t="str">
        <f>"003"</f>
        <v>003</v>
      </c>
      <c r="F632">
        <v>2006</v>
      </c>
      <c r="G632" s="5">
        <v>9449300</v>
      </c>
      <c r="H632" s="5">
        <v>2413400</v>
      </c>
      <c r="I632" s="5">
        <v>7035900</v>
      </c>
    </row>
    <row r="633" spans="1:9" x14ac:dyDescent="0.3">
      <c r="A633" t="s">
        <v>238</v>
      </c>
      <c r="B633" t="str">
        <f>"37182"</f>
        <v>37182</v>
      </c>
      <c r="C633" t="s">
        <v>12</v>
      </c>
      <c r="D633" t="s">
        <v>248</v>
      </c>
      <c r="E633" t="str">
        <f>"004"</f>
        <v>004</v>
      </c>
      <c r="F633">
        <v>2015</v>
      </c>
      <c r="G633" s="5">
        <v>21113400</v>
      </c>
      <c r="H633" s="5">
        <v>9055500</v>
      </c>
      <c r="I633" s="5">
        <v>12057900</v>
      </c>
    </row>
    <row r="634" spans="1:9" x14ac:dyDescent="0.3">
      <c r="A634" t="s">
        <v>238</v>
      </c>
      <c r="B634" t="str">
        <f>"37186"</f>
        <v>37186</v>
      </c>
      <c r="C634" t="s">
        <v>12</v>
      </c>
      <c r="D634" t="s">
        <v>80</v>
      </c>
      <c r="E634" t="str">
        <f>"001"</f>
        <v>001</v>
      </c>
      <c r="F634">
        <v>1998</v>
      </c>
      <c r="G634" s="5">
        <v>249900</v>
      </c>
      <c r="H634" s="5">
        <v>196000</v>
      </c>
      <c r="I634" s="5">
        <v>53900</v>
      </c>
    </row>
    <row r="635" spans="1:9" x14ac:dyDescent="0.3">
      <c r="A635" t="s">
        <v>238</v>
      </c>
      <c r="B635" t="str">
        <f t="shared" ref="B635:B642" si="26">"37291"</f>
        <v>37291</v>
      </c>
      <c r="C635" t="s">
        <v>11</v>
      </c>
      <c r="D635" t="s">
        <v>249</v>
      </c>
      <c r="E635" t="str">
        <f>"003"</f>
        <v>003</v>
      </c>
      <c r="F635">
        <v>1994</v>
      </c>
      <c r="G635" s="5">
        <v>145034800</v>
      </c>
      <c r="H635" s="5">
        <v>42818700</v>
      </c>
      <c r="I635" s="5">
        <v>102216100</v>
      </c>
    </row>
    <row r="636" spans="1:9" x14ac:dyDescent="0.3">
      <c r="A636" t="s">
        <v>238</v>
      </c>
      <c r="B636" t="str">
        <f t="shared" si="26"/>
        <v>37291</v>
      </c>
      <c r="C636" t="s">
        <v>11</v>
      </c>
      <c r="D636" t="s">
        <v>249</v>
      </c>
      <c r="E636" t="str">
        <f>"006"</f>
        <v>006</v>
      </c>
      <c r="F636">
        <v>2005</v>
      </c>
      <c r="G636" s="5">
        <v>198944700</v>
      </c>
      <c r="H636" s="5">
        <v>80840800</v>
      </c>
      <c r="I636" s="5">
        <v>118103900</v>
      </c>
    </row>
    <row r="637" spans="1:9" x14ac:dyDescent="0.3">
      <c r="A637" t="s">
        <v>238</v>
      </c>
      <c r="B637" t="str">
        <f t="shared" si="26"/>
        <v>37291</v>
      </c>
      <c r="C637" t="s">
        <v>11</v>
      </c>
      <c r="D637" t="s">
        <v>249</v>
      </c>
      <c r="E637" t="str">
        <f>"007"</f>
        <v>007</v>
      </c>
      <c r="F637">
        <v>2006</v>
      </c>
      <c r="G637" s="5">
        <v>69814300</v>
      </c>
      <c r="H637" s="5">
        <v>29525900</v>
      </c>
      <c r="I637" s="5">
        <v>40288400</v>
      </c>
    </row>
    <row r="638" spans="1:9" x14ac:dyDescent="0.3">
      <c r="A638" t="s">
        <v>238</v>
      </c>
      <c r="B638" t="str">
        <f t="shared" si="26"/>
        <v>37291</v>
      </c>
      <c r="C638" t="s">
        <v>11</v>
      </c>
      <c r="D638" t="s">
        <v>249</v>
      </c>
      <c r="E638" t="str">
        <f>"008"</f>
        <v>008</v>
      </c>
      <c r="F638">
        <v>2012</v>
      </c>
      <c r="G638" s="5">
        <v>43117700</v>
      </c>
      <c r="H638" s="5">
        <v>35408900</v>
      </c>
      <c r="I638" s="5">
        <v>7708800</v>
      </c>
    </row>
    <row r="639" spans="1:9" x14ac:dyDescent="0.3">
      <c r="A639" t="s">
        <v>238</v>
      </c>
      <c r="B639" t="str">
        <f t="shared" si="26"/>
        <v>37291</v>
      </c>
      <c r="C639" t="s">
        <v>11</v>
      </c>
      <c r="D639" t="s">
        <v>249</v>
      </c>
      <c r="E639" t="str">
        <f>"009"</f>
        <v>009</v>
      </c>
      <c r="F639">
        <v>2012</v>
      </c>
      <c r="G639" s="5">
        <v>2233900</v>
      </c>
      <c r="H639" s="5">
        <v>1232400</v>
      </c>
      <c r="I639" s="5">
        <v>1001500</v>
      </c>
    </row>
    <row r="640" spans="1:9" x14ac:dyDescent="0.3">
      <c r="A640" t="s">
        <v>238</v>
      </c>
      <c r="B640" t="str">
        <f t="shared" si="26"/>
        <v>37291</v>
      </c>
      <c r="C640" t="s">
        <v>11</v>
      </c>
      <c r="D640" t="s">
        <v>249</v>
      </c>
      <c r="E640" t="str">
        <f>"010"</f>
        <v>010</v>
      </c>
      <c r="F640">
        <v>2013</v>
      </c>
      <c r="G640" s="5">
        <v>58352700</v>
      </c>
      <c r="H640" s="5">
        <v>45713000</v>
      </c>
      <c r="I640" s="5">
        <v>12639700</v>
      </c>
    </row>
    <row r="641" spans="1:9" x14ac:dyDescent="0.3">
      <c r="A641" t="s">
        <v>238</v>
      </c>
      <c r="B641" t="str">
        <f t="shared" si="26"/>
        <v>37291</v>
      </c>
      <c r="C641" t="s">
        <v>11</v>
      </c>
      <c r="D641" t="s">
        <v>249</v>
      </c>
      <c r="E641" t="str">
        <f>"011"</f>
        <v>011</v>
      </c>
      <c r="F641">
        <v>2017</v>
      </c>
      <c r="G641" s="5">
        <v>63434900</v>
      </c>
      <c r="H641" s="5">
        <v>1386400</v>
      </c>
      <c r="I641" s="5">
        <v>62048500</v>
      </c>
    </row>
    <row r="642" spans="1:9" x14ac:dyDescent="0.3">
      <c r="A642" t="s">
        <v>238</v>
      </c>
      <c r="B642" t="str">
        <f t="shared" si="26"/>
        <v>37291</v>
      </c>
      <c r="C642" t="s">
        <v>11</v>
      </c>
      <c r="D642" t="s">
        <v>249</v>
      </c>
      <c r="E642" t="str">
        <f>"012"</f>
        <v>012</v>
      </c>
      <c r="F642">
        <v>2017</v>
      </c>
      <c r="G642" s="5">
        <v>24402300</v>
      </c>
      <c r="H642" s="5">
        <v>32285000</v>
      </c>
      <c r="I642" s="5">
        <v>-7882700</v>
      </c>
    </row>
    <row r="643" spans="1:9" x14ac:dyDescent="0.3">
      <c r="A643" t="s">
        <v>238</v>
      </c>
      <c r="B643" t="str">
        <f>"37192"</f>
        <v>37192</v>
      </c>
      <c r="C643" t="s">
        <v>12</v>
      </c>
      <c r="D643" t="s">
        <v>250</v>
      </c>
      <c r="E643" t="str">
        <f>"001"</f>
        <v>001</v>
      </c>
      <c r="F643">
        <v>1998</v>
      </c>
      <c r="G643" s="5">
        <v>310522800</v>
      </c>
      <c r="H643" s="5">
        <v>38651600</v>
      </c>
      <c r="I643" s="5">
        <v>271871200</v>
      </c>
    </row>
    <row r="644" spans="1:9" x14ac:dyDescent="0.3">
      <c r="A644" t="s">
        <v>238</v>
      </c>
      <c r="B644" t="str">
        <f>"37192"</f>
        <v>37192</v>
      </c>
      <c r="C644" t="s">
        <v>12</v>
      </c>
      <c r="D644" t="s">
        <v>250</v>
      </c>
      <c r="E644" t="str">
        <f>"002"</f>
        <v>002</v>
      </c>
      <c r="F644">
        <v>2004</v>
      </c>
      <c r="G644" s="5">
        <v>60902500</v>
      </c>
      <c r="H644" s="5">
        <v>34853000</v>
      </c>
      <c r="I644" s="5">
        <v>26049500</v>
      </c>
    </row>
    <row r="645" spans="1:9" x14ac:dyDescent="0.3">
      <c r="A645" t="s">
        <v>251</v>
      </c>
      <c r="B645" t="str">
        <f>"38111"</f>
        <v>38111</v>
      </c>
      <c r="C645" t="s">
        <v>12</v>
      </c>
      <c r="D645" t="s">
        <v>252</v>
      </c>
      <c r="E645" t="str">
        <f>"001"</f>
        <v>001</v>
      </c>
      <c r="F645">
        <v>2005</v>
      </c>
      <c r="G645" s="5">
        <v>6733300</v>
      </c>
      <c r="H645" s="5">
        <v>2604100</v>
      </c>
      <c r="I645" s="5">
        <v>4129200</v>
      </c>
    </row>
    <row r="646" spans="1:9" x14ac:dyDescent="0.3">
      <c r="A646" t="s">
        <v>251</v>
      </c>
      <c r="B646" t="str">
        <f>"38111"</f>
        <v>38111</v>
      </c>
      <c r="C646" t="s">
        <v>12</v>
      </c>
      <c r="D646" t="s">
        <v>252</v>
      </c>
      <c r="E646" t="str">
        <f>"002"</f>
        <v>002</v>
      </c>
      <c r="F646">
        <v>2017</v>
      </c>
      <c r="G646" s="5">
        <v>2611400</v>
      </c>
      <c r="H646" s="5">
        <v>431900</v>
      </c>
      <c r="I646" s="5">
        <v>2179500</v>
      </c>
    </row>
    <row r="647" spans="1:9" x14ac:dyDescent="0.3">
      <c r="A647" t="s">
        <v>251</v>
      </c>
      <c r="B647" t="str">
        <f>"38111"</f>
        <v>38111</v>
      </c>
      <c r="C647" t="s">
        <v>12</v>
      </c>
      <c r="D647" t="s">
        <v>252</v>
      </c>
      <c r="E647" t="str">
        <f>"003"</f>
        <v>003</v>
      </c>
      <c r="F647">
        <v>2018</v>
      </c>
      <c r="G647" s="5">
        <v>161700</v>
      </c>
      <c r="H647" s="5">
        <v>115800</v>
      </c>
      <c r="I647" s="5">
        <v>45900</v>
      </c>
    </row>
    <row r="648" spans="1:9" x14ac:dyDescent="0.3">
      <c r="A648" t="s">
        <v>251</v>
      </c>
      <c r="B648" t="str">
        <f>"38121"</f>
        <v>38121</v>
      </c>
      <c r="C648" t="s">
        <v>12</v>
      </c>
      <c r="D648" t="s">
        <v>253</v>
      </c>
      <c r="E648" t="str">
        <f>"001"</f>
        <v>001</v>
      </c>
      <c r="F648">
        <v>2001</v>
      </c>
      <c r="G648" s="5">
        <v>22280400</v>
      </c>
      <c r="H648" s="5">
        <v>4285600</v>
      </c>
      <c r="I648" s="5">
        <v>17994800</v>
      </c>
    </row>
    <row r="649" spans="1:9" x14ac:dyDescent="0.3">
      <c r="A649" t="s">
        <v>251</v>
      </c>
      <c r="B649" t="str">
        <f t="shared" ref="B649:B656" si="27">"38251"</f>
        <v>38251</v>
      </c>
      <c r="C649" t="s">
        <v>11</v>
      </c>
      <c r="D649" t="s">
        <v>251</v>
      </c>
      <c r="E649" t="str">
        <f>"006"</f>
        <v>006</v>
      </c>
      <c r="F649">
        <v>2002</v>
      </c>
      <c r="G649" s="5">
        <v>10821500</v>
      </c>
      <c r="H649" s="5">
        <v>323100</v>
      </c>
      <c r="I649" s="5">
        <v>10498400</v>
      </c>
    </row>
    <row r="650" spans="1:9" x14ac:dyDescent="0.3">
      <c r="A650" t="s">
        <v>251</v>
      </c>
      <c r="B650" t="str">
        <f t="shared" si="27"/>
        <v>38251</v>
      </c>
      <c r="C650" t="s">
        <v>11</v>
      </c>
      <c r="D650" t="s">
        <v>251</v>
      </c>
      <c r="E650" t="str">
        <f>"007"</f>
        <v>007</v>
      </c>
      <c r="F650">
        <v>2005</v>
      </c>
      <c r="G650" s="5">
        <v>5696000</v>
      </c>
      <c r="H650" s="5">
        <v>2893700</v>
      </c>
      <c r="I650" s="5">
        <v>2802300</v>
      </c>
    </row>
    <row r="651" spans="1:9" x14ac:dyDescent="0.3">
      <c r="A651" t="s">
        <v>251</v>
      </c>
      <c r="B651" t="str">
        <f t="shared" si="27"/>
        <v>38251</v>
      </c>
      <c r="C651" t="s">
        <v>11</v>
      </c>
      <c r="D651" t="s">
        <v>251</v>
      </c>
      <c r="E651" t="str">
        <f>"008"</f>
        <v>008</v>
      </c>
      <c r="F651">
        <v>2007</v>
      </c>
      <c r="G651" s="5">
        <v>8395300</v>
      </c>
      <c r="H651" s="5">
        <v>1434700</v>
      </c>
      <c r="I651" s="5">
        <v>6960600</v>
      </c>
    </row>
    <row r="652" spans="1:9" x14ac:dyDescent="0.3">
      <c r="A652" t="s">
        <v>251</v>
      </c>
      <c r="B652" t="str">
        <f t="shared" si="27"/>
        <v>38251</v>
      </c>
      <c r="C652" t="s">
        <v>11</v>
      </c>
      <c r="D652" t="s">
        <v>251</v>
      </c>
      <c r="E652" t="str">
        <f>"009"</f>
        <v>009</v>
      </c>
      <c r="F652">
        <v>2009</v>
      </c>
      <c r="G652" s="5">
        <v>1835600</v>
      </c>
      <c r="H652" s="5">
        <v>312900</v>
      </c>
      <c r="I652" s="5">
        <v>1522700</v>
      </c>
    </row>
    <row r="653" spans="1:9" x14ac:dyDescent="0.3">
      <c r="A653" t="s">
        <v>251</v>
      </c>
      <c r="B653" t="str">
        <f t="shared" si="27"/>
        <v>38251</v>
      </c>
      <c r="C653" t="s">
        <v>11</v>
      </c>
      <c r="D653" t="s">
        <v>251</v>
      </c>
      <c r="E653" t="str">
        <f>"010"</f>
        <v>010</v>
      </c>
      <c r="F653">
        <v>2010</v>
      </c>
      <c r="G653" s="5">
        <v>13581100</v>
      </c>
      <c r="H653" s="5">
        <v>3500500</v>
      </c>
      <c r="I653" s="5">
        <v>10080600</v>
      </c>
    </row>
    <row r="654" spans="1:9" x14ac:dyDescent="0.3">
      <c r="A654" t="s">
        <v>251</v>
      </c>
      <c r="B654" t="str">
        <f t="shared" si="27"/>
        <v>38251</v>
      </c>
      <c r="C654" t="s">
        <v>11</v>
      </c>
      <c r="D654" t="s">
        <v>251</v>
      </c>
      <c r="E654" t="str">
        <f>"011"</f>
        <v>011</v>
      </c>
      <c r="F654">
        <v>2011</v>
      </c>
      <c r="G654" s="5">
        <v>34786400</v>
      </c>
      <c r="H654" s="5">
        <v>15378700</v>
      </c>
      <c r="I654" s="5">
        <v>19407700</v>
      </c>
    </row>
    <row r="655" spans="1:9" x14ac:dyDescent="0.3">
      <c r="A655" t="s">
        <v>251</v>
      </c>
      <c r="B655" t="str">
        <f t="shared" si="27"/>
        <v>38251</v>
      </c>
      <c r="C655" t="s">
        <v>11</v>
      </c>
      <c r="D655" t="s">
        <v>251</v>
      </c>
      <c r="E655" t="str">
        <f>"012"</f>
        <v>012</v>
      </c>
      <c r="F655">
        <v>2012</v>
      </c>
      <c r="G655" s="5">
        <v>3611500</v>
      </c>
      <c r="H655" s="5">
        <v>1633900</v>
      </c>
      <c r="I655" s="5">
        <v>1977600</v>
      </c>
    </row>
    <row r="656" spans="1:9" x14ac:dyDescent="0.3">
      <c r="A656" t="s">
        <v>251</v>
      </c>
      <c r="B656" t="str">
        <f t="shared" si="27"/>
        <v>38251</v>
      </c>
      <c r="C656" t="s">
        <v>11</v>
      </c>
      <c r="D656" t="s">
        <v>251</v>
      </c>
      <c r="E656" t="str">
        <f>"013"</f>
        <v>013</v>
      </c>
      <c r="F656">
        <v>2016</v>
      </c>
      <c r="G656" s="5">
        <v>16246600</v>
      </c>
      <c r="H656" s="5">
        <v>4650700</v>
      </c>
      <c r="I656" s="5">
        <v>11595900</v>
      </c>
    </row>
    <row r="657" spans="1:9" x14ac:dyDescent="0.3">
      <c r="A657" t="s">
        <v>251</v>
      </c>
      <c r="B657" t="str">
        <f>"38261"</f>
        <v>38261</v>
      </c>
      <c r="C657" t="s">
        <v>11</v>
      </c>
      <c r="D657" t="s">
        <v>254</v>
      </c>
      <c r="E657" t="str">
        <f>"001"</f>
        <v>001</v>
      </c>
      <c r="F657">
        <v>1995</v>
      </c>
      <c r="G657" s="5">
        <v>790200</v>
      </c>
      <c r="H657" s="5">
        <v>0</v>
      </c>
      <c r="I657" s="5">
        <v>790200</v>
      </c>
    </row>
    <row r="658" spans="1:9" x14ac:dyDescent="0.3">
      <c r="A658" t="s">
        <v>251</v>
      </c>
      <c r="B658" t="str">
        <f>"38261"</f>
        <v>38261</v>
      </c>
      <c r="C658" t="s">
        <v>11</v>
      </c>
      <c r="D658" t="s">
        <v>254</v>
      </c>
      <c r="E658" t="str">
        <f>"002"</f>
        <v>002</v>
      </c>
      <c r="F658">
        <v>1998</v>
      </c>
      <c r="G658" s="5">
        <v>1009300</v>
      </c>
      <c r="H658" s="5">
        <v>28500</v>
      </c>
      <c r="I658" s="5">
        <v>980800</v>
      </c>
    </row>
    <row r="659" spans="1:9" x14ac:dyDescent="0.3">
      <c r="A659" t="s">
        <v>251</v>
      </c>
      <c r="B659" t="str">
        <f>"38171"</f>
        <v>38171</v>
      </c>
      <c r="C659" t="s">
        <v>12</v>
      </c>
      <c r="D659" t="s">
        <v>255</v>
      </c>
      <c r="E659" t="str">
        <f>"001"</f>
        <v>001</v>
      </c>
      <c r="F659">
        <v>2015</v>
      </c>
      <c r="G659" s="5">
        <v>564500</v>
      </c>
      <c r="H659" s="5">
        <v>4100</v>
      </c>
      <c r="I659" s="5">
        <v>560400</v>
      </c>
    </row>
    <row r="660" spans="1:9" x14ac:dyDescent="0.3">
      <c r="A660" t="s">
        <v>256</v>
      </c>
      <c r="B660" t="str">
        <f>"39121"</f>
        <v>39121</v>
      </c>
      <c r="C660" t="s">
        <v>12</v>
      </c>
      <c r="D660" t="s">
        <v>257</v>
      </c>
      <c r="E660" t="str">
        <f>"001"</f>
        <v>001</v>
      </c>
      <c r="F660">
        <v>1993</v>
      </c>
      <c r="G660" s="5">
        <v>6359900</v>
      </c>
      <c r="H660" s="5">
        <v>1159900</v>
      </c>
      <c r="I660" s="5">
        <v>5200000</v>
      </c>
    </row>
    <row r="661" spans="1:9" x14ac:dyDescent="0.3">
      <c r="A661" t="s">
        <v>256</v>
      </c>
      <c r="B661" t="str">
        <f>"39191"</f>
        <v>39191</v>
      </c>
      <c r="C661" t="s">
        <v>12</v>
      </c>
      <c r="D661" t="s">
        <v>258</v>
      </c>
      <c r="E661" t="str">
        <f>"001"</f>
        <v>001</v>
      </c>
      <c r="F661">
        <v>1993</v>
      </c>
      <c r="G661" s="5">
        <v>13440900</v>
      </c>
      <c r="H661" s="5">
        <v>2748500</v>
      </c>
      <c r="I661" s="5">
        <v>10692400</v>
      </c>
    </row>
    <row r="662" spans="1:9" x14ac:dyDescent="0.3">
      <c r="A662" t="s">
        <v>259</v>
      </c>
      <c r="B662" t="str">
        <f>"40107"</f>
        <v>40107</v>
      </c>
      <c r="C662" t="s">
        <v>12</v>
      </c>
      <c r="D662" t="s">
        <v>260</v>
      </c>
      <c r="E662" t="str">
        <f>"002"</f>
        <v>002</v>
      </c>
      <c r="F662">
        <v>1995</v>
      </c>
      <c r="G662" s="5">
        <v>36668400</v>
      </c>
      <c r="H662" s="5">
        <v>11979900</v>
      </c>
      <c r="I662" s="5">
        <v>24688500</v>
      </c>
    </row>
    <row r="663" spans="1:9" x14ac:dyDescent="0.3">
      <c r="A663" t="s">
        <v>259</v>
      </c>
      <c r="B663" t="str">
        <f>"40107"</f>
        <v>40107</v>
      </c>
      <c r="C663" t="s">
        <v>12</v>
      </c>
      <c r="D663" t="s">
        <v>260</v>
      </c>
      <c r="E663" t="str">
        <f>"003"</f>
        <v>003</v>
      </c>
      <c r="F663">
        <v>2005</v>
      </c>
      <c r="G663" s="5">
        <v>47188500</v>
      </c>
      <c r="H663" s="5">
        <v>22968900</v>
      </c>
      <c r="I663" s="5">
        <v>24219600</v>
      </c>
    </row>
    <row r="664" spans="1:9" x14ac:dyDescent="0.3">
      <c r="A664" t="s">
        <v>259</v>
      </c>
      <c r="B664" t="str">
        <f>"40107"</f>
        <v>40107</v>
      </c>
      <c r="C664" t="s">
        <v>12</v>
      </c>
      <c r="D664" t="s">
        <v>260</v>
      </c>
      <c r="E664" t="str">
        <f>"004"</f>
        <v>004</v>
      </c>
      <c r="F664">
        <v>2005</v>
      </c>
      <c r="G664" s="5">
        <v>20181900</v>
      </c>
      <c r="H664" s="5">
        <v>19798600</v>
      </c>
      <c r="I664" s="5">
        <v>383300</v>
      </c>
    </row>
    <row r="665" spans="1:9" x14ac:dyDescent="0.3">
      <c r="A665" t="s">
        <v>259</v>
      </c>
      <c r="B665" t="str">
        <f>"40211"</f>
        <v>40211</v>
      </c>
      <c r="C665" t="s">
        <v>11</v>
      </c>
      <c r="D665" t="s">
        <v>261</v>
      </c>
      <c r="E665" t="str">
        <f>"001"</f>
        <v>001</v>
      </c>
      <c r="F665">
        <v>1994</v>
      </c>
      <c r="G665" s="5">
        <v>304473800</v>
      </c>
      <c r="H665" s="5">
        <v>72824500</v>
      </c>
      <c r="I665" s="5">
        <v>231649300</v>
      </c>
    </row>
    <row r="666" spans="1:9" x14ac:dyDescent="0.3">
      <c r="A666" t="s">
        <v>259</v>
      </c>
      <c r="B666" t="str">
        <f>"40211"</f>
        <v>40211</v>
      </c>
      <c r="C666" t="s">
        <v>11</v>
      </c>
      <c r="D666" t="s">
        <v>261</v>
      </c>
      <c r="E666" t="str">
        <f>"001E"</f>
        <v>001E</v>
      </c>
      <c r="F666">
        <v>2003</v>
      </c>
      <c r="G666" s="5">
        <v>10410000</v>
      </c>
      <c r="H666" s="5">
        <v>972600</v>
      </c>
      <c r="I666" s="5">
        <v>9437400</v>
      </c>
    </row>
    <row r="667" spans="1:9" x14ac:dyDescent="0.3">
      <c r="A667" t="s">
        <v>259</v>
      </c>
      <c r="B667" t="str">
        <f>"40211"</f>
        <v>40211</v>
      </c>
      <c r="C667" t="s">
        <v>11</v>
      </c>
      <c r="D667" t="s">
        <v>261</v>
      </c>
      <c r="E667" t="str">
        <f>"002E"</f>
        <v>002E</v>
      </c>
      <c r="F667">
        <v>2010</v>
      </c>
      <c r="G667" s="5">
        <v>570100</v>
      </c>
      <c r="H667" s="5">
        <v>527600</v>
      </c>
      <c r="I667" s="5">
        <v>42500</v>
      </c>
    </row>
    <row r="668" spans="1:9" x14ac:dyDescent="0.3">
      <c r="A668" t="s">
        <v>259</v>
      </c>
      <c r="B668" t="str">
        <f>"40226"</f>
        <v>40226</v>
      </c>
      <c r="C668" t="s">
        <v>11</v>
      </c>
      <c r="D668" t="s">
        <v>262</v>
      </c>
      <c r="E668" t="str">
        <f>"003"</f>
        <v>003</v>
      </c>
      <c r="F668">
        <v>2005</v>
      </c>
      <c r="G668" s="5">
        <v>270874800</v>
      </c>
      <c r="H668" s="5">
        <v>173488200</v>
      </c>
      <c r="I668" s="5">
        <v>97386600</v>
      </c>
    </row>
    <row r="669" spans="1:9" x14ac:dyDescent="0.3">
      <c r="A669" t="s">
        <v>259</v>
      </c>
      <c r="B669" t="str">
        <f>"40226"</f>
        <v>40226</v>
      </c>
      <c r="C669" t="s">
        <v>11</v>
      </c>
      <c r="D669" t="s">
        <v>262</v>
      </c>
      <c r="E669" t="str">
        <f>"004"</f>
        <v>004</v>
      </c>
      <c r="F669">
        <v>2005</v>
      </c>
      <c r="G669" s="5">
        <v>74486100</v>
      </c>
      <c r="H669" s="5">
        <v>19817900</v>
      </c>
      <c r="I669" s="5">
        <v>54668200</v>
      </c>
    </row>
    <row r="670" spans="1:9" x14ac:dyDescent="0.3">
      <c r="A670" t="s">
        <v>259</v>
      </c>
      <c r="B670" t="str">
        <f>"40226"</f>
        <v>40226</v>
      </c>
      <c r="C670" t="s">
        <v>11</v>
      </c>
      <c r="D670" t="s">
        <v>262</v>
      </c>
      <c r="E670" t="str">
        <f>"005"</f>
        <v>005</v>
      </c>
      <c r="F670">
        <v>2016</v>
      </c>
      <c r="G670" s="5">
        <v>24483400</v>
      </c>
      <c r="H670" s="5">
        <v>3043900</v>
      </c>
      <c r="I670" s="5">
        <v>21439500</v>
      </c>
    </row>
    <row r="671" spans="1:9" x14ac:dyDescent="0.3">
      <c r="A671" t="s">
        <v>259</v>
      </c>
      <c r="B671" t="str">
        <f>"40226"</f>
        <v>40226</v>
      </c>
      <c r="C671" t="s">
        <v>11</v>
      </c>
      <c r="D671" t="s">
        <v>262</v>
      </c>
      <c r="E671" t="str">
        <f>"006"</f>
        <v>006</v>
      </c>
      <c r="F671">
        <v>2019</v>
      </c>
      <c r="G671" s="5">
        <v>1172700</v>
      </c>
      <c r="H671" s="5">
        <v>1183900</v>
      </c>
      <c r="I671" s="5">
        <v>-11200</v>
      </c>
    </row>
    <row r="672" spans="1:9" x14ac:dyDescent="0.3">
      <c r="A672" t="s">
        <v>259</v>
      </c>
      <c r="B672" t="str">
        <f>"40226"</f>
        <v>40226</v>
      </c>
      <c r="C672" t="s">
        <v>11</v>
      </c>
      <c r="D672" t="s">
        <v>262</v>
      </c>
      <c r="E672" t="str">
        <f>"007"</f>
        <v>007</v>
      </c>
      <c r="F672">
        <v>2019</v>
      </c>
      <c r="G672" s="5">
        <v>8028800</v>
      </c>
      <c r="H672" s="5">
        <v>7495500</v>
      </c>
      <c r="I672" s="5">
        <v>533300</v>
      </c>
    </row>
    <row r="673" spans="1:9" x14ac:dyDescent="0.3">
      <c r="A673" t="s">
        <v>259</v>
      </c>
      <c r="B673" t="str">
        <f>"40231"</f>
        <v>40231</v>
      </c>
      <c r="C673" t="s">
        <v>11</v>
      </c>
      <c r="D673" t="s">
        <v>263</v>
      </c>
      <c r="E673" t="str">
        <f>"007"</f>
        <v>007</v>
      </c>
      <c r="F673">
        <v>1996</v>
      </c>
      <c r="G673" s="5">
        <v>112260600</v>
      </c>
      <c r="H673" s="5">
        <v>14036000</v>
      </c>
      <c r="I673" s="5">
        <v>98224600</v>
      </c>
    </row>
    <row r="674" spans="1:9" x14ac:dyDescent="0.3">
      <c r="A674" t="s">
        <v>259</v>
      </c>
      <c r="B674" t="str">
        <f>"40231"</f>
        <v>40231</v>
      </c>
      <c r="C674" t="s">
        <v>11</v>
      </c>
      <c r="D674" t="s">
        <v>263</v>
      </c>
      <c r="E674" t="str">
        <f>"008"</f>
        <v>008</v>
      </c>
      <c r="F674">
        <v>2002</v>
      </c>
      <c r="G674" s="5">
        <v>101918100</v>
      </c>
      <c r="H674" s="5">
        <v>80847600</v>
      </c>
      <c r="I674" s="5">
        <v>21070500</v>
      </c>
    </row>
    <row r="675" spans="1:9" x14ac:dyDescent="0.3">
      <c r="A675" t="s">
        <v>259</v>
      </c>
      <c r="B675" t="str">
        <f>"40131"</f>
        <v>40131</v>
      </c>
      <c r="C675" t="s">
        <v>12</v>
      </c>
      <c r="D675" t="s">
        <v>264</v>
      </c>
      <c r="E675" t="str">
        <f>"001"</f>
        <v>001</v>
      </c>
      <c r="F675">
        <v>2010</v>
      </c>
      <c r="G675" s="5">
        <v>11906700</v>
      </c>
      <c r="H675" s="5">
        <v>623100</v>
      </c>
      <c r="I675" s="5">
        <v>11283600</v>
      </c>
    </row>
    <row r="676" spans="1:9" x14ac:dyDescent="0.3">
      <c r="A676" t="s">
        <v>259</v>
      </c>
      <c r="B676" t="str">
        <f>"40131"</f>
        <v>40131</v>
      </c>
      <c r="C676" t="s">
        <v>12</v>
      </c>
      <c r="D676" t="s">
        <v>264</v>
      </c>
      <c r="E676" t="str">
        <f>"002"</f>
        <v>002</v>
      </c>
      <c r="F676">
        <v>2011</v>
      </c>
      <c r="G676" s="5">
        <v>189953000</v>
      </c>
      <c r="H676" s="5">
        <v>105493100</v>
      </c>
      <c r="I676" s="5">
        <v>84459900</v>
      </c>
    </row>
    <row r="677" spans="1:9" x14ac:dyDescent="0.3">
      <c r="A677" t="s">
        <v>259</v>
      </c>
      <c r="B677" t="str">
        <f>"40131"</f>
        <v>40131</v>
      </c>
      <c r="C677" t="s">
        <v>12</v>
      </c>
      <c r="D677" t="s">
        <v>264</v>
      </c>
      <c r="E677" t="str">
        <f>"003"</f>
        <v>003</v>
      </c>
      <c r="F677">
        <v>2011</v>
      </c>
      <c r="G677" s="5">
        <v>17268900</v>
      </c>
      <c r="H677" s="5">
        <v>6500900</v>
      </c>
      <c r="I677" s="5">
        <v>10768000</v>
      </c>
    </row>
    <row r="678" spans="1:9" x14ac:dyDescent="0.3">
      <c r="A678" t="s">
        <v>259</v>
      </c>
      <c r="B678" t="str">
        <f>"40131"</f>
        <v>40131</v>
      </c>
      <c r="C678" t="s">
        <v>12</v>
      </c>
      <c r="D678" t="s">
        <v>264</v>
      </c>
      <c r="E678" t="str">
        <f>"004"</f>
        <v>004</v>
      </c>
      <c r="F678">
        <v>2016</v>
      </c>
      <c r="G678" s="5">
        <v>35909000</v>
      </c>
      <c r="H678" s="5">
        <v>7476800</v>
      </c>
      <c r="I678" s="5">
        <v>28432200</v>
      </c>
    </row>
    <row r="679" spans="1:9" x14ac:dyDescent="0.3">
      <c r="A679" t="s">
        <v>259</v>
      </c>
      <c r="B679" t="str">
        <f>"40131"</f>
        <v>40131</v>
      </c>
      <c r="C679" t="s">
        <v>12</v>
      </c>
      <c r="D679" t="s">
        <v>264</v>
      </c>
      <c r="E679" t="str">
        <f>"005"</f>
        <v>005</v>
      </c>
      <c r="F679">
        <v>2018</v>
      </c>
      <c r="G679" s="5">
        <v>18489100</v>
      </c>
      <c r="H679" s="5">
        <v>5149200</v>
      </c>
      <c r="I679" s="5">
        <v>13339900</v>
      </c>
    </row>
    <row r="680" spans="1:9" x14ac:dyDescent="0.3">
      <c r="A680" t="s">
        <v>259</v>
      </c>
      <c r="B680" t="str">
        <f>"40236"</f>
        <v>40236</v>
      </c>
      <c r="C680" t="s">
        <v>11</v>
      </c>
      <c r="D680" t="s">
        <v>265</v>
      </c>
      <c r="E680" t="str">
        <f>"002"</f>
        <v>002</v>
      </c>
      <c r="F680">
        <v>2007</v>
      </c>
      <c r="G680" s="5">
        <v>68706500</v>
      </c>
      <c r="H680" s="5">
        <v>14974600</v>
      </c>
      <c r="I680" s="5">
        <v>53731900</v>
      </c>
    </row>
    <row r="681" spans="1:9" x14ac:dyDescent="0.3">
      <c r="A681" t="s">
        <v>259</v>
      </c>
      <c r="B681" t="str">
        <f>"40236"</f>
        <v>40236</v>
      </c>
      <c r="C681" t="s">
        <v>11</v>
      </c>
      <c r="D681" t="s">
        <v>265</v>
      </c>
      <c r="E681" t="str">
        <f>"003"</f>
        <v>003</v>
      </c>
      <c r="F681">
        <v>2009</v>
      </c>
      <c r="G681" s="5">
        <v>82757700</v>
      </c>
      <c r="H681" s="5">
        <v>75731000</v>
      </c>
      <c r="I681" s="5">
        <v>7026700</v>
      </c>
    </row>
    <row r="682" spans="1:9" x14ac:dyDescent="0.3">
      <c r="A682" t="s">
        <v>259</v>
      </c>
      <c r="B682" t="str">
        <f>"40236"</f>
        <v>40236</v>
      </c>
      <c r="C682" t="s">
        <v>11</v>
      </c>
      <c r="D682" t="s">
        <v>265</v>
      </c>
      <c r="E682" t="str">
        <f>"004"</f>
        <v>004</v>
      </c>
      <c r="F682">
        <v>2015</v>
      </c>
      <c r="G682" s="5">
        <v>63954500</v>
      </c>
      <c r="H682" s="5">
        <v>25438700</v>
      </c>
      <c r="I682" s="5">
        <v>38515800</v>
      </c>
    </row>
    <row r="683" spans="1:9" x14ac:dyDescent="0.3">
      <c r="A683" t="s">
        <v>259</v>
      </c>
      <c r="B683" t="str">
        <f>"40236"</f>
        <v>40236</v>
      </c>
      <c r="C683" t="s">
        <v>11</v>
      </c>
      <c r="D683" t="s">
        <v>265</v>
      </c>
      <c r="E683" t="str">
        <f>"005"</f>
        <v>005</v>
      </c>
      <c r="F683">
        <v>2015</v>
      </c>
      <c r="G683" s="5">
        <v>7198500</v>
      </c>
      <c r="H683" s="5">
        <v>6921000</v>
      </c>
      <c r="I683" s="5">
        <v>277500</v>
      </c>
    </row>
    <row r="684" spans="1:9" x14ac:dyDescent="0.3">
      <c r="A684" t="s">
        <v>259</v>
      </c>
      <c r="B684" t="str">
        <f>"40236"</f>
        <v>40236</v>
      </c>
      <c r="C684" t="s">
        <v>11</v>
      </c>
      <c r="D684" t="s">
        <v>265</v>
      </c>
      <c r="E684" t="str">
        <f>"006"</f>
        <v>006</v>
      </c>
      <c r="F684">
        <v>2015</v>
      </c>
      <c r="G684" s="5">
        <v>182036600</v>
      </c>
      <c r="H684" s="5">
        <v>7959100</v>
      </c>
      <c r="I684" s="5">
        <v>174077500</v>
      </c>
    </row>
    <row r="685" spans="1:9" x14ac:dyDescent="0.3">
      <c r="A685" t="s">
        <v>259</v>
      </c>
      <c r="B685" t="str">
        <f>"40136"</f>
        <v>40136</v>
      </c>
      <c r="C685" t="s">
        <v>12</v>
      </c>
      <c r="D685" t="s">
        <v>266</v>
      </c>
      <c r="E685" t="str">
        <f>"004"</f>
        <v>004</v>
      </c>
      <c r="F685">
        <v>2016</v>
      </c>
      <c r="G685" s="5">
        <v>23564100</v>
      </c>
      <c r="H685" s="5">
        <v>11977200</v>
      </c>
      <c r="I685" s="5">
        <v>11586900</v>
      </c>
    </row>
    <row r="686" spans="1:9" x14ac:dyDescent="0.3">
      <c r="A686" t="s">
        <v>259</v>
      </c>
      <c r="B686" t="str">
        <f t="shared" ref="B686:B717" si="28">"40251"</f>
        <v>40251</v>
      </c>
      <c r="C686" t="s">
        <v>11</v>
      </c>
      <c r="D686" t="s">
        <v>259</v>
      </c>
      <c r="E686" t="str">
        <f>"022"</f>
        <v>022</v>
      </c>
      <c r="F686">
        <v>1994</v>
      </c>
      <c r="G686" s="5">
        <v>294746600</v>
      </c>
      <c r="H686" s="5">
        <v>41210300</v>
      </c>
      <c r="I686" s="5">
        <v>253536300</v>
      </c>
    </row>
    <row r="687" spans="1:9" x14ac:dyDescent="0.3">
      <c r="A687" t="s">
        <v>259</v>
      </c>
      <c r="B687" t="str">
        <f t="shared" si="28"/>
        <v>40251</v>
      </c>
      <c r="C687" t="s">
        <v>11</v>
      </c>
      <c r="D687" t="s">
        <v>259</v>
      </c>
      <c r="E687" t="str">
        <f>"037"</f>
        <v>037</v>
      </c>
      <c r="F687">
        <v>1998</v>
      </c>
      <c r="G687" s="5">
        <v>155652200</v>
      </c>
      <c r="H687" s="5">
        <v>60317400</v>
      </c>
      <c r="I687" s="5">
        <v>95334800</v>
      </c>
    </row>
    <row r="688" spans="1:9" x14ac:dyDescent="0.3">
      <c r="A688" t="s">
        <v>259</v>
      </c>
      <c r="B688" t="str">
        <f t="shared" si="28"/>
        <v>40251</v>
      </c>
      <c r="C688" t="s">
        <v>11</v>
      </c>
      <c r="D688" t="s">
        <v>259</v>
      </c>
      <c r="E688" t="str">
        <f>"039"</f>
        <v>039</v>
      </c>
      <c r="F688">
        <v>2000</v>
      </c>
      <c r="G688" s="5">
        <v>46504000</v>
      </c>
      <c r="H688" s="5">
        <v>23863400</v>
      </c>
      <c r="I688" s="5">
        <v>22640600</v>
      </c>
    </row>
    <row r="689" spans="1:9" x14ac:dyDescent="0.3">
      <c r="A689" t="s">
        <v>259</v>
      </c>
      <c r="B689" t="str">
        <f t="shared" si="28"/>
        <v>40251</v>
      </c>
      <c r="C689" t="s">
        <v>11</v>
      </c>
      <c r="D689" t="s">
        <v>259</v>
      </c>
      <c r="E689" t="str">
        <f>"041"</f>
        <v>041</v>
      </c>
      <c r="F689">
        <v>2000</v>
      </c>
      <c r="G689" s="5">
        <v>134338500</v>
      </c>
      <c r="H689" s="5">
        <v>10021400</v>
      </c>
      <c r="I689" s="5">
        <v>124317100</v>
      </c>
    </row>
    <row r="690" spans="1:9" x14ac:dyDescent="0.3">
      <c r="A690" t="s">
        <v>259</v>
      </c>
      <c r="B690" t="str">
        <f t="shared" si="28"/>
        <v>40251</v>
      </c>
      <c r="C690" t="s">
        <v>11</v>
      </c>
      <c r="D690" t="s">
        <v>259</v>
      </c>
      <c r="E690" t="str">
        <f>"042"</f>
        <v>042</v>
      </c>
      <c r="F690">
        <v>2001</v>
      </c>
      <c r="G690" s="5">
        <v>36891700</v>
      </c>
      <c r="H690" s="5">
        <v>7118300</v>
      </c>
      <c r="I690" s="5">
        <v>29773400</v>
      </c>
    </row>
    <row r="691" spans="1:9" x14ac:dyDescent="0.3">
      <c r="A691" t="s">
        <v>259</v>
      </c>
      <c r="B691" t="str">
        <f t="shared" si="28"/>
        <v>40251</v>
      </c>
      <c r="C691" t="s">
        <v>11</v>
      </c>
      <c r="D691" t="s">
        <v>259</v>
      </c>
      <c r="E691" t="str">
        <f>"046"</f>
        <v>046</v>
      </c>
      <c r="F691">
        <v>2001</v>
      </c>
      <c r="G691" s="5">
        <v>45543400</v>
      </c>
      <c r="H691" s="5">
        <v>14759500</v>
      </c>
      <c r="I691" s="5">
        <v>30783900</v>
      </c>
    </row>
    <row r="692" spans="1:9" x14ac:dyDescent="0.3">
      <c r="A692" t="s">
        <v>259</v>
      </c>
      <c r="B692" t="str">
        <f t="shared" si="28"/>
        <v>40251</v>
      </c>
      <c r="C692" t="s">
        <v>11</v>
      </c>
      <c r="D692" t="s">
        <v>259</v>
      </c>
      <c r="E692" t="str">
        <f>"048"</f>
        <v>048</v>
      </c>
      <c r="F692">
        <v>2002</v>
      </c>
      <c r="G692" s="5">
        <v>365538900</v>
      </c>
      <c r="H692" s="5">
        <v>45325600</v>
      </c>
      <c r="I692" s="5">
        <v>320213300</v>
      </c>
    </row>
    <row r="693" spans="1:9" x14ac:dyDescent="0.3">
      <c r="A693" t="s">
        <v>259</v>
      </c>
      <c r="B693" t="str">
        <f t="shared" si="28"/>
        <v>40251</v>
      </c>
      <c r="C693" t="s">
        <v>11</v>
      </c>
      <c r="D693" t="s">
        <v>259</v>
      </c>
      <c r="E693" t="str">
        <f>"049"</f>
        <v>049</v>
      </c>
      <c r="F693">
        <v>2002</v>
      </c>
      <c r="G693" s="5">
        <v>59535400</v>
      </c>
      <c r="H693" s="5">
        <v>2052700</v>
      </c>
      <c r="I693" s="5">
        <v>57482700</v>
      </c>
    </row>
    <row r="694" spans="1:9" x14ac:dyDescent="0.3">
      <c r="A694" t="s">
        <v>259</v>
      </c>
      <c r="B694" t="str">
        <f t="shared" si="28"/>
        <v>40251</v>
      </c>
      <c r="C694" t="s">
        <v>11</v>
      </c>
      <c r="D694" t="s">
        <v>259</v>
      </c>
      <c r="E694" t="str">
        <f>"051"</f>
        <v>051</v>
      </c>
      <c r="F694">
        <v>2003</v>
      </c>
      <c r="G694" s="5">
        <v>12087100</v>
      </c>
      <c r="H694" s="5">
        <v>10048700</v>
      </c>
      <c r="I694" s="5">
        <v>2038400</v>
      </c>
    </row>
    <row r="695" spans="1:9" x14ac:dyDescent="0.3">
      <c r="A695" t="s">
        <v>259</v>
      </c>
      <c r="B695" t="str">
        <f t="shared" si="28"/>
        <v>40251</v>
      </c>
      <c r="C695" t="s">
        <v>11</v>
      </c>
      <c r="D695" t="s">
        <v>259</v>
      </c>
      <c r="E695" t="str">
        <f>"052"</f>
        <v>052</v>
      </c>
      <c r="F695">
        <v>2003</v>
      </c>
      <c r="G695" s="5">
        <v>27272200</v>
      </c>
      <c r="H695" s="5">
        <v>10225900</v>
      </c>
      <c r="I695" s="5">
        <v>17046300</v>
      </c>
    </row>
    <row r="696" spans="1:9" x14ac:dyDescent="0.3">
      <c r="A696" t="s">
        <v>259</v>
      </c>
      <c r="B696" t="str">
        <f t="shared" si="28"/>
        <v>40251</v>
      </c>
      <c r="C696" t="s">
        <v>11</v>
      </c>
      <c r="D696" t="s">
        <v>259</v>
      </c>
      <c r="E696" t="str">
        <f>"053"</f>
        <v>053</v>
      </c>
      <c r="F696">
        <v>2004</v>
      </c>
      <c r="G696" s="5">
        <v>78891000</v>
      </c>
      <c r="H696" s="5">
        <v>4752300</v>
      </c>
      <c r="I696" s="5">
        <v>74138700</v>
      </c>
    </row>
    <row r="697" spans="1:9" x14ac:dyDescent="0.3">
      <c r="A697" t="s">
        <v>259</v>
      </c>
      <c r="B697" t="str">
        <f t="shared" si="28"/>
        <v>40251</v>
      </c>
      <c r="C697" t="s">
        <v>11</v>
      </c>
      <c r="D697" t="s">
        <v>259</v>
      </c>
      <c r="E697" t="str">
        <f>"054"</f>
        <v>054</v>
      </c>
      <c r="F697">
        <v>2004</v>
      </c>
      <c r="G697" s="5">
        <v>19932500</v>
      </c>
      <c r="H697" s="5">
        <v>1148000</v>
      </c>
      <c r="I697" s="5">
        <v>18784500</v>
      </c>
    </row>
    <row r="698" spans="1:9" x14ac:dyDescent="0.3">
      <c r="A698" t="s">
        <v>259</v>
      </c>
      <c r="B698" t="str">
        <f t="shared" si="28"/>
        <v>40251</v>
      </c>
      <c r="C698" t="s">
        <v>11</v>
      </c>
      <c r="D698" t="s">
        <v>259</v>
      </c>
      <c r="E698" t="str">
        <f>"056"</f>
        <v>056</v>
      </c>
      <c r="F698">
        <v>2004</v>
      </c>
      <c r="G698" s="5">
        <v>189462000</v>
      </c>
      <c r="H698" s="5">
        <v>8958600</v>
      </c>
      <c r="I698" s="5">
        <v>180503400</v>
      </c>
    </row>
    <row r="699" spans="1:9" x14ac:dyDescent="0.3">
      <c r="A699" t="s">
        <v>259</v>
      </c>
      <c r="B699" t="str">
        <f t="shared" si="28"/>
        <v>40251</v>
      </c>
      <c r="C699" t="s">
        <v>11</v>
      </c>
      <c r="D699" t="s">
        <v>259</v>
      </c>
      <c r="E699" t="str">
        <f>"057"</f>
        <v>057</v>
      </c>
      <c r="F699">
        <v>2005</v>
      </c>
      <c r="G699" s="5">
        <v>16315000</v>
      </c>
      <c r="H699" s="5">
        <v>0</v>
      </c>
      <c r="I699" s="5">
        <v>16315000</v>
      </c>
    </row>
    <row r="700" spans="1:9" x14ac:dyDescent="0.3">
      <c r="A700" t="s">
        <v>259</v>
      </c>
      <c r="B700" t="str">
        <f t="shared" si="28"/>
        <v>40251</v>
      </c>
      <c r="C700" t="s">
        <v>11</v>
      </c>
      <c r="D700" t="s">
        <v>259</v>
      </c>
      <c r="E700" t="str">
        <f>"058"</f>
        <v>058</v>
      </c>
      <c r="F700">
        <v>2005</v>
      </c>
      <c r="G700" s="5">
        <v>4829900</v>
      </c>
      <c r="H700" s="5">
        <v>4753200</v>
      </c>
      <c r="I700" s="5">
        <v>76700</v>
      </c>
    </row>
    <row r="701" spans="1:9" x14ac:dyDescent="0.3">
      <c r="A701" t="s">
        <v>259</v>
      </c>
      <c r="B701" t="str">
        <f t="shared" si="28"/>
        <v>40251</v>
      </c>
      <c r="C701" t="s">
        <v>11</v>
      </c>
      <c r="D701" t="s">
        <v>259</v>
      </c>
      <c r="E701" t="str">
        <f>"059"</f>
        <v>059</v>
      </c>
      <c r="F701">
        <v>2005</v>
      </c>
      <c r="G701" s="5">
        <v>55401700</v>
      </c>
      <c r="H701" s="5">
        <v>46021500</v>
      </c>
      <c r="I701" s="5">
        <v>9380200</v>
      </c>
    </row>
    <row r="702" spans="1:9" x14ac:dyDescent="0.3">
      <c r="A702" t="s">
        <v>259</v>
      </c>
      <c r="B702" t="str">
        <f t="shared" si="28"/>
        <v>40251</v>
      </c>
      <c r="C702" t="s">
        <v>11</v>
      </c>
      <c r="D702" t="s">
        <v>259</v>
      </c>
      <c r="E702" t="str">
        <f>"060"</f>
        <v>060</v>
      </c>
      <c r="F702">
        <v>2005</v>
      </c>
      <c r="G702" s="5">
        <v>13554900</v>
      </c>
      <c r="H702" s="5">
        <v>2212900</v>
      </c>
      <c r="I702" s="5">
        <v>11342000</v>
      </c>
    </row>
    <row r="703" spans="1:9" x14ac:dyDescent="0.3">
      <c r="A703" t="s">
        <v>259</v>
      </c>
      <c r="B703" t="str">
        <f t="shared" si="28"/>
        <v>40251</v>
      </c>
      <c r="C703" t="s">
        <v>11</v>
      </c>
      <c r="D703" t="s">
        <v>259</v>
      </c>
      <c r="E703" t="str">
        <f>"062"</f>
        <v>062</v>
      </c>
      <c r="F703">
        <v>2006</v>
      </c>
      <c r="G703" s="5">
        <v>8920100</v>
      </c>
      <c r="H703" s="5">
        <v>5329800</v>
      </c>
      <c r="I703" s="5">
        <v>3590300</v>
      </c>
    </row>
    <row r="704" spans="1:9" x14ac:dyDescent="0.3">
      <c r="A704" t="s">
        <v>259</v>
      </c>
      <c r="B704" t="str">
        <f t="shared" si="28"/>
        <v>40251</v>
      </c>
      <c r="C704" t="s">
        <v>11</v>
      </c>
      <c r="D704" t="s">
        <v>259</v>
      </c>
      <c r="E704" t="str">
        <f>"063"</f>
        <v>063</v>
      </c>
      <c r="F704">
        <v>2006</v>
      </c>
      <c r="G704" s="5">
        <v>11850400</v>
      </c>
      <c r="H704" s="5">
        <v>8871100</v>
      </c>
      <c r="I704" s="5">
        <v>2979300</v>
      </c>
    </row>
    <row r="705" spans="1:9" x14ac:dyDescent="0.3">
      <c r="A705" t="s">
        <v>259</v>
      </c>
      <c r="B705" t="str">
        <f t="shared" si="28"/>
        <v>40251</v>
      </c>
      <c r="C705" t="s">
        <v>11</v>
      </c>
      <c r="D705" t="s">
        <v>259</v>
      </c>
      <c r="E705" t="str">
        <f>"064"</f>
        <v>064</v>
      </c>
      <c r="F705">
        <v>2006</v>
      </c>
      <c r="G705" s="5">
        <v>30588000</v>
      </c>
      <c r="H705" s="5">
        <v>14358000</v>
      </c>
      <c r="I705" s="5">
        <v>16230000</v>
      </c>
    </row>
    <row r="706" spans="1:9" x14ac:dyDescent="0.3">
      <c r="A706" t="s">
        <v>259</v>
      </c>
      <c r="B706" t="str">
        <f t="shared" si="28"/>
        <v>40251</v>
      </c>
      <c r="C706" t="s">
        <v>11</v>
      </c>
      <c r="D706" t="s">
        <v>259</v>
      </c>
      <c r="E706" t="str">
        <f>"065"</f>
        <v>065</v>
      </c>
      <c r="F706">
        <v>2006</v>
      </c>
      <c r="G706" s="5">
        <v>4244400</v>
      </c>
      <c r="H706" s="5">
        <v>3220700</v>
      </c>
      <c r="I706" s="5">
        <v>1023700</v>
      </c>
    </row>
    <row r="707" spans="1:9" x14ac:dyDescent="0.3">
      <c r="A707" t="s">
        <v>259</v>
      </c>
      <c r="B707" t="str">
        <f t="shared" si="28"/>
        <v>40251</v>
      </c>
      <c r="C707" t="s">
        <v>11</v>
      </c>
      <c r="D707" t="s">
        <v>259</v>
      </c>
      <c r="E707" t="str">
        <f>"066"</f>
        <v>066</v>
      </c>
      <c r="F707">
        <v>2007</v>
      </c>
      <c r="G707" s="5">
        <v>30472300</v>
      </c>
      <c r="H707" s="5">
        <v>50443300</v>
      </c>
      <c r="I707" s="5">
        <v>-19971000</v>
      </c>
    </row>
    <row r="708" spans="1:9" x14ac:dyDescent="0.3">
      <c r="A708" t="s">
        <v>259</v>
      </c>
      <c r="B708" t="str">
        <f t="shared" si="28"/>
        <v>40251</v>
      </c>
      <c r="C708" t="s">
        <v>11</v>
      </c>
      <c r="D708" t="s">
        <v>259</v>
      </c>
      <c r="E708" t="str">
        <f>"067"</f>
        <v>067</v>
      </c>
      <c r="F708">
        <v>2007</v>
      </c>
      <c r="G708" s="5">
        <v>169197600</v>
      </c>
      <c r="H708" s="5">
        <v>9266900</v>
      </c>
      <c r="I708" s="5">
        <v>159930700</v>
      </c>
    </row>
    <row r="709" spans="1:9" x14ac:dyDescent="0.3">
      <c r="A709" t="s">
        <v>259</v>
      </c>
      <c r="B709" t="str">
        <f t="shared" si="28"/>
        <v>40251</v>
      </c>
      <c r="C709" t="s">
        <v>11</v>
      </c>
      <c r="D709" t="s">
        <v>259</v>
      </c>
      <c r="E709" t="str">
        <f>"068"</f>
        <v>068</v>
      </c>
      <c r="F709">
        <v>2007</v>
      </c>
      <c r="G709" s="5">
        <v>85219200</v>
      </c>
      <c r="H709" s="5">
        <v>32806800</v>
      </c>
      <c r="I709" s="5">
        <v>52412400</v>
      </c>
    </row>
    <row r="710" spans="1:9" x14ac:dyDescent="0.3">
      <c r="A710" t="s">
        <v>259</v>
      </c>
      <c r="B710" t="str">
        <f t="shared" si="28"/>
        <v>40251</v>
      </c>
      <c r="C710" t="s">
        <v>11</v>
      </c>
      <c r="D710" t="s">
        <v>259</v>
      </c>
      <c r="E710" t="str">
        <f>"070"</f>
        <v>070</v>
      </c>
      <c r="F710">
        <v>2007</v>
      </c>
      <c r="G710" s="5">
        <v>29271300</v>
      </c>
      <c r="H710" s="5">
        <v>14904700</v>
      </c>
      <c r="I710" s="5">
        <v>14366600</v>
      </c>
    </row>
    <row r="711" spans="1:9" x14ac:dyDescent="0.3">
      <c r="A711" t="s">
        <v>259</v>
      </c>
      <c r="B711" t="str">
        <f t="shared" si="28"/>
        <v>40251</v>
      </c>
      <c r="C711" t="s">
        <v>11</v>
      </c>
      <c r="D711" t="s">
        <v>259</v>
      </c>
      <c r="E711" t="str">
        <f>"071"</f>
        <v>071</v>
      </c>
      <c r="F711">
        <v>2008</v>
      </c>
      <c r="G711" s="5">
        <v>69961100</v>
      </c>
      <c r="H711" s="5">
        <v>66751300</v>
      </c>
      <c r="I711" s="5">
        <v>3209800</v>
      </c>
    </row>
    <row r="712" spans="1:9" x14ac:dyDescent="0.3">
      <c r="A712" t="s">
        <v>259</v>
      </c>
      <c r="B712" t="str">
        <f t="shared" si="28"/>
        <v>40251</v>
      </c>
      <c r="C712" t="s">
        <v>11</v>
      </c>
      <c r="D712" t="s">
        <v>259</v>
      </c>
      <c r="E712" t="str">
        <f>"072"</f>
        <v>072</v>
      </c>
      <c r="F712">
        <v>2009</v>
      </c>
      <c r="G712" s="5">
        <v>23812900</v>
      </c>
      <c r="H712" s="5">
        <v>24474700</v>
      </c>
      <c r="I712" s="5">
        <v>-661800</v>
      </c>
    </row>
    <row r="713" spans="1:9" x14ac:dyDescent="0.3">
      <c r="A713" t="s">
        <v>259</v>
      </c>
      <c r="B713" t="str">
        <f t="shared" si="28"/>
        <v>40251</v>
      </c>
      <c r="C713" t="s">
        <v>11</v>
      </c>
      <c r="D713" t="s">
        <v>259</v>
      </c>
      <c r="E713" t="str">
        <f>"073"</f>
        <v>073</v>
      </c>
      <c r="F713">
        <v>2009</v>
      </c>
      <c r="G713" s="5">
        <v>8741100</v>
      </c>
      <c r="H713" s="5">
        <v>4602800</v>
      </c>
      <c r="I713" s="5">
        <v>4138300</v>
      </c>
    </row>
    <row r="714" spans="1:9" x14ac:dyDescent="0.3">
      <c r="A714" t="s">
        <v>259</v>
      </c>
      <c r="B714" t="str">
        <f t="shared" si="28"/>
        <v>40251</v>
      </c>
      <c r="C714" t="s">
        <v>11</v>
      </c>
      <c r="D714" t="s">
        <v>259</v>
      </c>
      <c r="E714" t="str">
        <f>"074"</f>
        <v>074</v>
      </c>
      <c r="F714">
        <v>2009</v>
      </c>
      <c r="G714" s="5">
        <v>57168400</v>
      </c>
      <c r="H714" s="5">
        <v>63334700</v>
      </c>
      <c r="I714" s="5">
        <v>-6166300</v>
      </c>
    </row>
    <row r="715" spans="1:9" x14ac:dyDescent="0.3">
      <c r="A715" t="s">
        <v>259</v>
      </c>
      <c r="B715" t="str">
        <f t="shared" si="28"/>
        <v>40251</v>
      </c>
      <c r="C715" t="s">
        <v>11</v>
      </c>
      <c r="D715" t="s">
        <v>259</v>
      </c>
      <c r="E715" t="str">
        <f>"075"</f>
        <v>075</v>
      </c>
      <c r="F715">
        <v>2009</v>
      </c>
      <c r="G715" s="5">
        <v>130736500</v>
      </c>
      <c r="H715" s="5">
        <v>26470500</v>
      </c>
      <c r="I715" s="5">
        <v>104266000</v>
      </c>
    </row>
    <row r="716" spans="1:9" x14ac:dyDescent="0.3">
      <c r="A716" t="s">
        <v>259</v>
      </c>
      <c r="B716" t="str">
        <f t="shared" si="28"/>
        <v>40251</v>
      </c>
      <c r="C716" t="s">
        <v>11</v>
      </c>
      <c r="D716" t="s">
        <v>259</v>
      </c>
      <c r="E716" t="str">
        <f>"076"</f>
        <v>076</v>
      </c>
      <c r="F716">
        <v>2010</v>
      </c>
      <c r="G716" s="5">
        <v>21495600</v>
      </c>
      <c r="H716" s="5">
        <v>16113000</v>
      </c>
      <c r="I716" s="5">
        <v>5382600</v>
      </c>
    </row>
    <row r="717" spans="1:9" x14ac:dyDescent="0.3">
      <c r="A717" t="s">
        <v>259</v>
      </c>
      <c r="B717" t="str">
        <f t="shared" si="28"/>
        <v>40251</v>
      </c>
      <c r="C717" t="s">
        <v>11</v>
      </c>
      <c r="D717" t="s">
        <v>259</v>
      </c>
      <c r="E717" t="str">
        <f>"077"</f>
        <v>077</v>
      </c>
      <c r="F717">
        <v>2012</v>
      </c>
      <c r="G717" s="5">
        <v>9264400</v>
      </c>
      <c r="H717" s="5">
        <v>3368100</v>
      </c>
      <c r="I717" s="5">
        <v>5896300</v>
      </c>
    </row>
    <row r="718" spans="1:9" x14ac:dyDescent="0.3">
      <c r="A718" t="s">
        <v>259</v>
      </c>
      <c r="B718" t="str">
        <f t="shared" ref="B718:B740" si="29">"40251"</f>
        <v>40251</v>
      </c>
      <c r="C718" t="s">
        <v>11</v>
      </c>
      <c r="D718" t="s">
        <v>259</v>
      </c>
      <c r="E718" t="str">
        <f>"078"</f>
        <v>078</v>
      </c>
      <c r="F718">
        <v>2013</v>
      </c>
      <c r="G718" s="5">
        <v>310273600</v>
      </c>
      <c r="H718" s="5">
        <v>49588500</v>
      </c>
      <c r="I718" s="5">
        <v>260685100</v>
      </c>
    </row>
    <row r="719" spans="1:9" x14ac:dyDescent="0.3">
      <c r="A719" t="s">
        <v>259</v>
      </c>
      <c r="B719" t="str">
        <f t="shared" si="29"/>
        <v>40251</v>
      </c>
      <c r="C719" t="s">
        <v>11</v>
      </c>
      <c r="D719" t="s">
        <v>259</v>
      </c>
      <c r="E719" t="str">
        <f>"079"</f>
        <v>079</v>
      </c>
      <c r="F719">
        <v>2013</v>
      </c>
      <c r="G719" s="5">
        <v>65998500</v>
      </c>
      <c r="H719" s="5">
        <v>13718700</v>
      </c>
      <c r="I719" s="5">
        <v>52279800</v>
      </c>
    </row>
    <row r="720" spans="1:9" x14ac:dyDescent="0.3">
      <c r="A720" t="s">
        <v>259</v>
      </c>
      <c r="B720" t="str">
        <f t="shared" si="29"/>
        <v>40251</v>
      </c>
      <c r="C720" t="s">
        <v>11</v>
      </c>
      <c r="D720" t="s">
        <v>259</v>
      </c>
      <c r="E720" t="str">
        <f>"080"</f>
        <v>080</v>
      </c>
      <c r="F720">
        <v>2014</v>
      </c>
      <c r="G720" s="5">
        <v>13887300</v>
      </c>
      <c r="H720" s="5">
        <v>3500300</v>
      </c>
      <c r="I720" s="5">
        <v>10387000</v>
      </c>
    </row>
    <row r="721" spans="1:9" x14ac:dyDescent="0.3">
      <c r="A721" t="s">
        <v>259</v>
      </c>
      <c r="B721" t="str">
        <f t="shared" si="29"/>
        <v>40251</v>
      </c>
      <c r="C721" t="s">
        <v>11</v>
      </c>
      <c r="D721" t="s">
        <v>259</v>
      </c>
      <c r="E721" t="str">
        <f>"081"</f>
        <v>081</v>
      </c>
      <c r="F721">
        <v>2015</v>
      </c>
      <c r="G721" s="5">
        <v>20372900</v>
      </c>
      <c r="H721" s="5">
        <v>2689200</v>
      </c>
      <c r="I721" s="5">
        <v>17683700</v>
      </c>
    </row>
    <row r="722" spans="1:9" x14ac:dyDescent="0.3">
      <c r="A722" t="s">
        <v>259</v>
      </c>
      <c r="B722" t="str">
        <f t="shared" si="29"/>
        <v>40251</v>
      </c>
      <c r="C722" t="s">
        <v>11</v>
      </c>
      <c r="D722" t="s">
        <v>259</v>
      </c>
      <c r="E722" t="str">
        <f>"082"</f>
        <v>082</v>
      </c>
      <c r="F722">
        <v>2015</v>
      </c>
      <c r="G722" s="5">
        <v>104087900</v>
      </c>
      <c r="H722" s="5">
        <v>5474100</v>
      </c>
      <c r="I722" s="5">
        <v>98613800</v>
      </c>
    </row>
    <row r="723" spans="1:9" x14ac:dyDescent="0.3">
      <c r="A723" t="s">
        <v>259</v>
      </c>
      <c r="B723" t="str">
        <f t="shared" si="29"/>
        <v>40251</v>
      </c>
      <c r="C723" t="s">
        <v>11</v>
      </c>
      <c r="D723" t="s">
        <v>259</v>
      </c>
      <c r="E723" t="str">
        <f>"083"</f>
        <v>083</v>
      </c>
      <c r="F723">
        <v>2015</v>
      </c>
      <c r="G723" s="5">
        <v>21844300</v>
      </c>
      <c r="H723" s="5">
        <v>5774200</v>
      </c>
      <c r="I723" s="5">
        <v>16070100</v>
      </c>
    </row>
    <row r="724" spans="1:9" x14ac:dyDescent="0.3">
      <c r="A724" t="s">
        <v>259</v>
      </c>
      <c r="B724" t="str">
        <f t="shared" si="29"/>
        <v>40251</v>
      </c>
      <c r="C724" t="s">
        <v>11</v>
      </c>
      <c r="D724" t="s">
        <v>259</v>
      </c>
      <c r="E724" t="str">
        <f>"084"</f>
        <v>084</v>
      </c>
      <c r="F724">
        <v>2015</v>
      </c>
      <c r="G724" s="5">
        <v>166548600</v>
      </c>
      <c r="H724" s="5">
        <v>60111100</v>
      </c>
      <c r="I724" s="5">
        <v>106437500</v>
      </c>
    </row>
    <row r="725" spans="1:9" x14ac:dyDescent="0.3">
      <c r="A725" t="s">
        <v>259</v>
      </c>
      <c r="B725" t="str">
        <f t="shared" si="29"/>
        <v>40251</v>
      </c>
      <c r="C725" t="s">
        <v>11</v>
      </c>
      <c r="D725" t="s">
        <v>259</v>
      </c>
      <c r="E725" t="str">
        <f>"085"</f>
        <v>085</v>
      </c>
      <c r="F725">
        <v>2015</v>
      </c>
      <c r="G725" s="5">
        <v>46127500</v>
      </c>
      <c r="H725" s="5">
        <v>32096600</v>
      </c>
      <c r="I725" s="5">
        <v>14030900</v>
      </c>
    </row>
    <row r="726" spans="1:9" x14ac:dyDescent="0.3">
      <c r="A726" t="s">
        <v>259</v>
      </c>
      <c r="B726" t="str">
        <f t="shared" si="29"/>
        <v>40251</v>
      </c>
      <c r="C726" t="s">
        <v>11</v>
      </c>
      <c r="D726" t="s">
        <v>259</v>
      </c>
      <c r="E726" t="str">
        <f>"086"</f>
        <v>086</v>
      </c>
      <c r="F726">
        <v>2016</v>
      </c>
      <c r="G726" s="5">
        <v>4598700</v>
      </c>
      <c r="H726" s="5">
        <v>3311300</v>
      </c>
      <c r="I726" s="5">
        <v>1287400</v>
      </c>
    </row>
    <row r="727" spans="1:9" x14ac:dyDescent="0.3">
      <c r="A727" t="s">
        <v>259</v>
      </c>
      <c r="B727" t="str">
        <f t="shared" si="29"/>
        <v>40251</v>
      </c>
      <c r="C727" t="s">
        <v>11</v>
      </c>
      <c r="D727" t="s">
        <v>259</v>
      </c>
      <c r="E727" t="str">
        <f>"087"</f>
        <v>087</v>
      </c>
      <c r="F727">
        <v>2016</v>
      </c>
      <c r="G727" s="5">
        <v>3804300</v>
      </c>
      <c r="H727" s="5">
        <v>380600</v>
      </c>
      <c r="I727" s="5">
        <v>3423700</v>
      </c>
    </row>
    <row r="728" spans="1:9" x14ac:dyDescent="0.3">
      <c r="A728" t="s">
        <v>259</v>
      </c>
      <c r="B728" t="str">
        <f t="shared" si="29"/>
        <v>40251</v>
      </c>
      <c r="C728" t="s">
        <v>11</v>
      </c>
      <c r="D728" t="s">
        <v>259</v>
      </c>
      <c r="E728" t="str">
        <f>"088"</f>
        <v>088</v>
      </c>
      <c r="F728">
        <v>2016</v>
      </c>
      <c r="G728" s="5">
        <v>4350700</v>
      </c>
      <c r="H728" s="5">
        <v>4207500</v>
      </c>
      <c r="I728" s="5">
        <v>143200</v>
      </c>
    </row>
    <row r="729" spans="1:9" x14ac:dyDescent="0.3">
      <c r="A729" t="s">
        <v>259</v>
      </c>
      <c r="B729" t="str">
        <f t="shared" si="29"/>
        <v>40251</v>
      </c>
      <c r="C729" t="s">
        <v>11</v>
      </c>
      <c r="D729" t="s">
        <v>259</v>
      </c>
      <c r="E729" t="str">
        <f>"089"</f>
        <v>089</v>
      </c>
      <c r="F729">
        <v>2017</v>
      </c>
      <c r="G729" s="5">
        <v>2983500</v>
      </c>
      <c r="H729" s="5">
        <v>0</v>
      </c>
      <c r="I729" s="5">
        <v>2983500</v>
      </c>
    </row>
    <row r="730" spans="1:9" x14ac:dyDescent="0.3">
      <c r="A730" t="s">
        <v>259</v>
      </c>
      <c r="B730" t="str">
        <f t="shared" si="29"/>
        <v>40251</v>
      </c>
      <c r="C730" t="s">
        <v>11</v>
      </c>
      <c r="D730" t="s">
        <v>259</v>
      </c>
      <c r="E730" t="str">
        <f>"090"</f>
        <v>090</v>
      </c>
      <c r="F730">
        <v>2017</v>
      </c>
      <c r="G730" s="5">
        <v>1850200</v>
      </c>
      <c r="H730" s="5">
        <v>276600</v>
      </c>
      <c r="I730" s="5">
        <v>1573600</v>
      </c>
    </row>
    <row r="731" spans="1:9" x14ac:dyDescent="0.3">
      <c r="A731" t="s">
        <v>259</v>
      </c>
      <c r="B731" t="str">
        <f t="shared" si="29"/>
        <v>40251</v>
      </c>
      <c r="C731" t="s">
        <v>11</v>
      </c>
      <c r="D731" t="s">
        <v>259</v>
      </c>
      <c r="E731" t="str">
        <f>"091"</f>
        <v>091</v>
      </c>
      <c r="F731">
        <v>2017</v>
      </c>
      <c r="G731" s="5">
        <v>60869700</v>
      </c>
      <c r="H731" s="5">
        <v>62670400</v>
      </c>
      <c r="I731" s="5">
        <v>-1800700</v>
      </c>
    </row>
    <row r="732" spans="1:9" x14ac:dyDescent="0.3">
      <c r="A732" t="s">
        <v>259</v>
      </c>
      <c r="B732" t="str">
        <f t="shared" si="29"/>
        <v>40251</v>
      </c>
      <c r="C732" t="s">
        <v>11</v>
      </c>
      <c r="D732" t="s">
        <v>259</v>
      </c>
      <c r="E732" t="str">
        <f>"092"</f>
        <v>092</v>
      </c>
      <c r="F732">
        <v>2017</v>
      </c>
      <c r="G732" s="5">
        <v>6215400</v>
      </c>
      <c r="H732" s="5">
        <v>1122000</v>
      </c>
      <c r="I732" s="5">
        <v>5093400</v>
      </c>
    </row>
    <row r="733" spans="1:9" x14ac:dyDescent="0.3">
      <c r="A733" t="s">
        <v>259</v>
      </c>
      <c r="B733" t="str">
        <f t="shared" si="29"/>
        <v>40251</v>
      </c>
      <c r="C733" t="s">
        <v>11</v>
      </c>
      <c r="D733" t="s">
        <v>259</v>
      </c>
      <c r="E733" t="str">
        <f>"093"</f>
        <v>093</v>
      </c>
      <c r="F733">
        <v>2018</v>
      </c>
      <c r="G733" s="5">
        <v>2827100</v>
      </c>
      <c r="H733" s="5">
        <v>756900</v>
      </c>
      <c r="I733" s="5">
        <v>2070200</v>
      </c>
    </row>
    <row r="734" spans="1:9" x14ac:dyDescent="0.3">
      <c r="A734" t="s">
        <v>259</v>
      </c>
      <c r="B734" t="str">
        <f t="shared" si="29"/>
        <v>40251</v>
      </c>
      <c r="C734" t="s">
        <v>11</v>
      </c>
      <c r="D734" t="s">
        <v>259</v>
      </c>
      <c r="E734" t="str">
        <f>"094"</f>
        <v>094</v>
      </c>
      <c r="F734">
        <v>2019</v>
      </c>
      <c r="G734" s="5">
        <v>5419100</v>
      </c>
      <c r="H734" s="5">
        <v>5468400</v>
      </c>
      <c r="I734" s="5">
        <v>-49300</v>
      </c>
    </row>
    <row r="735" spans="1:9" x14ac:dyDescent="0.3">
      <c r="A735" t="s">
        <v>259</v>
      </c>
      <c r="B735" t="str">
        <f t="shared" si="29"/>
        <v>40251</v>
      </c>
      <c r="C735" t="s">
        <v>11</v>
      </c>
      <c r="D735" t="s">
        <v>259</v>
      </c>
      <c r="E735" t="str">
        <f>"095"</f>
        <v>095</v>
      </c>
      <c r="F735">
        <v>2019</v>
      </c>
      <c r="G735" s="5">
        <v>61900</v>
      </c>
      <c r="H735" s="5">
        <v>88600</v>
      </c>
      <c r="I735" s="5">
        <v>-26700</v>
      </c>
    </row>
    <row r="736" spans="1:9" x14ac:dyDescent="0.3">
      <c r="A736" t="s">
        <v>259</v>
      </c>
      <c r="B736" t="str">
        <f t="shared" si="29"/>
        <v>40251</v>
      </c>
      <c r="C736" t="s">
        <v>11</v>
      </c>
      <c r="D736" t="s">
        <v>259</v>
      </c>
      <c r="E736" t="str">
        <f>"096"</f>
        <v>096</v>
      </c>
      <c r="F736">
        <v>2019</v>
      </c>
      <c r="G736" s="5">
        <v>3779300</v>
      </c>
      <c r="H736" s="5">
        <v>3814600</v>
      </c>
      <c r="I736" s="5">
        <v>-35300</v>
      </c>
    </row>
    <row r="737" spans="1:12" x14ac:dyDescent="0.3">
      <c r="A737" t="s">
        <v>259</v>
      </c>
      <c r="B737" t="str">
        <f t="shared" si="29"/>
        <v>40251</v>
      </c>
      <c r="C737" t="s">
        <v>11</v>
      </c>
      <c r="D737" t="s">
        <v>259</v>
      </c>
      <c r="E737" t="str">
        <f>"097"</f>
        <v>097</v>
      </c>
      <c r="F737">
        <v>2019</v>
      </c>
      <c r="G737" s="5">
        <v>44011700</v>
      </c>
      <c r="H737" s="5">
        <v>37542700</v>
      </c>
      <c r="I737" s="5">
        <v>6469000</v>
      </c>
    </row>
    <row r="738" spans="1:12" x14ac:dyDescent="0.3">
      <c r="A738" t="s">
        <v>259</v>
      </c>
      <c r="B738" t="str">
        <f t="shared" si="29"/>
        <v>40251</v>
      </c>
      <c r="C738" t="s">
        <v>11</v>
      </c>
      <c r="D738" t="s">
        <v>259</v>
      </c>
      <c r="E738" t="str">
        <f>"098"</f>
        <v>098</v>
      </c>
      <c r="F738">
        <v>2019</v>
      </c>
      <c r="G738" s="5">
        <v>1524100</v>
      </c>
      <c r="H738" s="5">
        <v>1483700</v>
      </c>
      <c r="I738" s="5">
        <v>40400</v>
      </c>
    </row>
    <row r="739" spans="1:12" x14ac:dyDescent="0.3">
      <c r="A739" t="s">
        <v>259</v>
      </c>
      <c r="B739" t="str">
        <f t="shared" si="29"/>
        <v>40251</v>
      </c>
      <c r="C739" t="s">
        <v>11</v>
      </c>
      <c r="D739" t="s">
        <v>259</v>
      </c>
      <c r="E739" t="str">
        <f>"099"</f>
        <v>099</v>
      </c>
      <c r="F739">
        <v>2019</v>
      </c>
      <c r="G739" s="5">
        <v>389800</v>
      </c>
      <c r="H739" s="5">
        <v>393400</v>
      </c>
      <c r="I739" s="5">
        <v>-3600</v>
      </c>
    </row>
    <row r="740" spans="1:12" x14ac:dyDescent="0.3">
      <c r="A740" t="s">
        <v>259</v>
      </c>
      <c r="B740" t="str">
        <f t="shared" si="29"/>
        <v>40251</v>
      </c>
      <c r="C740" t="s">
        <v>11</v>
      </c>
      <c r="D740" t="s">
        <v>259</v>
      </c>
      <c r="E740" t="str">
        <f>"100"</f>
        <v>100</v>
      </c>
      <c r="F740">
        <v>2019</v>
      </c>
      <c r="G740" s="5">
        <v>11250000</v>
      </c>
      <c r="H740" s="5">
        <v>2068000</v>
      </c>
      <c r="I740" s="5">
        <v>9182000</v>
      </c>
    </row>
    <row r="741" spans="1:12" x14ac:dyDescent="0.3">
      <c r="A741" t="s">
        <v>259</v>
      </c>
      <c r="B741" t="str">
        <f t="shared" ref="B741:B750" si="30">"40265"</f>
        <v>40265</v>
      </c>
      <c r="C741" t="s">
        <v>11</v>
      </c>
      <c r="D741" t="s">
        <v>267</v>
      </c>
      <c r="E741" t="str">
        <f>"006"</f>
        <v>006</v>
      </c>
      <c r="F741">
        <v>2001</v>
      </c>
      <c r="G741" s="5">
        <v>16333500</v>
      </c>
      <c r="H741" s="5">
        <v>1377200</v>
      </c>
      <c r="I741" s="5">
        <v>14956300</v>
      </c>
    </row>
    <row r="742" spans="1:12" x14ac:dyDescent="0.3">
      <c r="A742" t="s">
        <v>259</v>
      </c>
      <c r="B742" t="str">
        <f t="shared" si="30"/>
        <v>40265</v>
      </c>
      <c r="C742" t="s">
        <v>11</v>
      </c>
      <c r="D742" t="s">
        <v>267</v>
      </c>
      <c r="E742" t="str">
        <f>"007"</f>
        <v>007</v>
      </c>
      <c r="F742">
        <v>2007</v>
      </c>
      <c r="G742" s="5">
        <v>221585900</v>
      </c>
      <c r="H742" s="5">
        <v>165053100</v>
      </c>
      <c r="I742" s="5">
        <v>56532800</v>
      </c>
    </row>
    <row r="743" spans="1:12" x14ac:dyDescent="0.3">
      <c r="A743" t="s">
        <v>259</v>
      </c>
      <c r="B743" t="str">
        <f t="shared" si="30"/>
        <v>40265</v>
      </c>
      <c r="C743" t="s">
        <v>11</v>
      </c>
      <c r="D743" t="s">
        <v>267</v>
      </c>
      <c r="E743" t="str">
        <f>"008"</f>
        <v>008</v>
      </c>
      <c r="F743">
        <v>2009</v>
      </c>
      <c r="G743" s="5">
        <v>109538400</v>
      </c>
      <c r="H743" s="5">
        <v>23056600</v>
      </c>
      <c r="I743" s="5">
        <v>86481800</v>
      </c>
    </row>
    <row r="744" spans="1:12" x14ac:dyDescent="0.3">
      <c r="A744" t="s">
        <v>259</v>
      </c>
      <c r="B744" t="str">
        <f t="shared" si="30"/>
        <v>40265</v>
      </c>
      <c r="C744" t="s">
        <v>11</v>
      </c>
      <c r="D744" t="s">
        <v>267</v>
      </c>
      <c r="E744" t="str">
        <f>"010"</f>
        <v>010</v>
      </c>
      <c r="F744">
        <v>2010</v>
      </c>
      <c r="G744" s="5">
        <v>39245700</v>
      </c>
      <c r="H744" s="5">
        <v>19223700</v>
      </c>
      <c r="I744" s="5">
        <v>20022000</v>
      </c>
    </row>
    <row r="745" spans="1:12" x14ac:dyDescent="0.3">
      <c r="A745" t="s">
        <v>259</v>
      </c>
      <c r="B745" t="str">
        <f t="shared" si="30"/>
        <v>40265</v>
      </c>
      <c r="C745" t="s">
        <v>11</v>
      </c>
      <c r="D745" t="s">
        <v>267</v>
      </c>
      <c r="E745" t="str">
        <f>"011"</f>
        <v>011</v>
      </c>
      <c r="F745">
        <v>2012</v>
      </c>
      <c r="G745" s="5">
        <v>177142100</v>
      </c>
      <c r="H745" s="5">
        <v>12861900</v>
      </c>
      <c r="I745" s="5">
        <v>164280200</v>
      </c>
    </row>
    <row r="746" spans="1:12" x14ac:dyDescent="0.3">
      <c r="A746" t="s">
        <v>259</v>
      </c>
      <c r="B746" t="str">
        <f t="shared" si="30"/>
        <v>40265</v>
      </c>
      <c r="C746" t="s">
        <v>11</v>
      </c>
      <c r="D746" t="s">
        <v>267</v>
      </c>
      <c r="E746" t="str">
        <f>"012"</f>
        <v>012</v>
      </c>
      <c r="F746">
        <v>2016</v>
      </c>
      <c r="G746" s="5">
        <v>56541300</v>
      </c>
      <c r="H746" s="5">
        <v>3738200</v>
      </c>
      <c r="I746" s="5">
        <v>52803100</v>
      </c>
    </row>
    <row r="747" spans="1:12" x14ac:dyDescent="0.3">
      <c r="A747" t="s">
        <v>259</v>
      </c>
      <c r="B747" t="str">
        <f t="shared" si="30"/>
        <v>40265</v>
      </c>
      <c r="C747" t="s">
        <v>11</v>
      </c>
      <c r="D747" t="s">
        <v>267</v>
      </c>
      <c r="E747" t="str">
        <f>"013"</f>
        <v>013</v>
      </c>
      <c r="F747">
        <v>2017</v>
      </c>
      <c r="G747" s="5">
        <v>5211400</v>
      </c>
      <c r="H747" s="5">
        <v>4703500</v>
      </c>
      <c r="I747" s="5">
        <v>507900</v>
      </c>
    </row>
    <row r="748" spans="1:12" x14ac:dyDescent="0.3">
      <c r="A748" t="s">
        <v>259</v>
      </c>
      <c r="B748" t="str">
        <f t="shared" si="30"/>
        <v>40265</v>
      </c>
      <c r="C748" t="s">
        <v>11</v>
      </c>
      <c r="D748" t="s">
        <v>267</v>
      </c>
      <c r="E748" t="str">
        <f>"014"</f>
        <v>014</v>
      </c>
      <c r="F748">
        <v>2018</v>
      </c>
      <c r="G748" s="5">
        <v>7112300</v>
      </c>
      <c r="H748" s="5">
        <v>641300</v>
      </c>
      <c r="I748" s="5">
        <v>6471000</v>
      </c>
    </row>
    <row r="749" spans="1:12" x14ac:dyDescent="0.3">
      <c r="A749" t="s">
        <v>259</v>
      </c>
      <c r="B749" t="str">
        <f t="shared" si="30"/>
        <v>40265</v>
      </c>
      <c r="C749" t="s">
        <v>11</v>
      </c>
      <c r="D749" t="s">
        <v>267</v>
      </c>
      <c r="E749" t="str">
        <f>"015"</f>
        <v>015</v>
      </c>
      <c r="F749">
        <v>2018</v>
      </c>
      <c r="G749" s="5">
        <v>5739700</v>
      </c>
      <c r="H749" s="5">
        <v>1899900</v>
      </c>
      <c r="I749" s="5">
        <v>3839800</v>
      </c>
    </row>
    <row r="750" spans="1:12" x14ac:dyDescent="0.3">
      <c r="A750" t="s">
        <v>259</v>
      </c>
      <c r="B750" t="str">
        <f t="shared" si="30"/>
        <v>40265</v>
      </c>
      <c r="C750" t="s">
        <v>11</v>
      </c>
      <c r="D750" t="s">
        <v>267</v>
      </c>
      <c r="E750" t="str">
        <f>"016"</f>
        <v>016</v>
      </c>
      <c r="F750">
        <v>2018</v>
      </c>
      <c r="G750" s="5">
        <v>120217600</v>
      </c>
      <c r="H750" s="5">
        <v>1549200</v>
      </c>
      <c r="I750" s="5">
        <v>118668400</v>
      </c>
    </row>
    <row r="751" spans="1:12" x14ac:dyDescent="0.3">
      <c r="A751" t="s">
        <v>259</v>
      </c>
      <c r="B751" t="str">
        <f>"40281"</f>
        <v>40281</v>
      </c>
      <c r="C751" t="s">
        <v>11</v>
      </c>
      <c r="D751" t="s">
        <v>268</v>
      </c>
      <c r="E751" t="str">
        <f>"003"</f>
        <v>003</v>
      </c>
      <c r="F751">
        <v>2006</v>
      </c>
      <c r="G751" s="5">
        <v>68724900</v>
      </c>
      <c r="H751" s="5">
        <v>56131300</v>
      </c>
      <c r="I751" s="5">
        <v>12593600</v>
      </c>
      <c r="L751" s="6"/>
    </row>
    <row r="752" spans="1:12" x14ac:dyDescent="0.3">
      <c r="A752" t="s">
        <v>259</v>
      </c>
      <c r="B752" t="str">
        <f>"40281"</f>
        <v>40281</v>
      </c>
      <c r="C752" t="s">
        <v>11</v>
      </c>
      <c r="D752" t="s">
        <v>268</v>
      </c>
      <c r="E752" t="str">
        <f>"004"</f>
        <v>004</v>
      </c>
      <c r="F752">
        <v>2012</v>
      </c>
      <c r="G752" s="5">
        <v>57819800</v>
      </c>
      <c r="H752" s="5">
        <v>48457100</v>
      </c>
      <c r="I752" s="5">
        <v>9362700</v>
      </c>
      <c r="L752" s="5"/>
    </row>
    <row r="753" spans="1:12" x14ac:dyDescent="0.3">
      <c r="A753" t="s">
        <v>259</v>
      </c>
      <c r="B753" t="str">
        <f>"40281"</f>
        <v>40281</v>
      </c>
      <c r="C753" t="s">
        <v>11</v>
      </c>
      <c r="D753" t="s">
        <v>268</v>
      </c>
      <c r="E753" t="str">
        <f>"005"</f>
        <v>005</v>
      </c>
      <c r="F753">
        <v>2015</v>
      </c>
      <c r="G753" s="5">
        <v>123508600</v>
      </c>
      <c r="H753" s="5">
        <v>81376200</v>
      </c>
      <c r="I753" s="5">
        <v>42132400</v>
      </c>
      <c r="L753" s="6"/>
    </row>
    <row r="754" spans="1:12" x14ac:dyDescent="0.3">
      <c r="A754" t="s">
        <v>259</v>
      </c>
      <c r="B754" t="str">
        <f>"40181"</f>
        <v>40181</v>
      </c>
      <c r="C754" t="s">
        <v>12</v>
      </c>
      <c r="D754" t="s">
        <v>269</v>
      </c>
      <c r="E754" t="str">
        <f>"001"</f>
        <v>001</v>
      </c>
      <c r="F754">
        <v>1995</v>
      </c>
      <c r="G754" s="7">
        <v>231699899</v>
      </c>
      <c r="H754" s="7">
        <v>139131300</v>
      </c>
      <c r="I754" s="7">
        <v>92568599</v>
      </c>
      <c r="K754" s="6"/>
    </row>
    <row r="755" spans="1:12" x14ac:dyDescent="0.3">
      <c r="A755" t="s">
        <v>259</v>
      </c>
      <c r="B755" t="str">
        <f>"40181"</f>
        <v>40181</v>
      </c>
      <c r="C755" t="s">
        <v>12</v>
      </c>
      <c r="D755" t="s">
        <v>269</v>
      </c>
      <c r="E755" t="str">
        <f>"003"</f>
        <v>003</v>
      </c>
      <c r="F755">
        <v>2008</v>
      </c>
      <c r="G755" s="5">
        <v>49688700</v>
      </c>
      <c r="H755" s="5">
        <v>7748400</v>
      </c>
      <c r="I755" s="5">
        <v>41940300</v>
      </c>
    </row>
    <row r="756" spans="1:12" x14ac:dyDescent="0.3">
      <c r="A756" t="s">
        <v>259</v>
      </c>
      <c r="B756" t="str">
        <f>"40181"</f>
        <v>40181</v>
      </c>
      <c r="C756" t="s">
        <v>12</v>
      </c>
      <c r="D756" t="s">
        <v>269</v>
      </c>
      <c r="E756" t="str">
        <f>"004"</f>
        <v>004</v>
      </c>
      <c r="F756">
        <v>2011</v>
      </c>
      <c r="G756" s="5">
        <v>18287400</v>
      </c>
      <c r="H756" s="5">
        <v>1195400</v>
      </c>
      <c r="I756" s="5">
        <v>17092000</v>
      </c>
    </row>
    <row r="757" spans="1:12" x14ac:dyDescent="0.3">
      <c r="A757" t="s">
        <v>259</v>
      </c>
      <c r="B757" t="str">
        <f>"40181"</f>
        <v>40181</v>
      </c>
      <c r="C757" t="s">
        <v>12</v>
      </c>
      <c r="D757" t="s">
        <v>269</v>
      </c>
      <c r="E757" t="str">
        <f>"005"</f>
        <v>005</v>
      </c>
      <c r="F757">
        <v>2014</v>
      </c>
      <c r="G757" s="5">
        <v>68639600</v>
      </c>
      <c r="H757" s="5">
        <v>8085800</v>
      </c>
      <c r="I757" s="5">
        <v>60553800</v>
      </c>
    </row>
    <row r="758" spans="1:12" x14ac:dyDescent="0.3">
      <c r="A758" t="s">
        <v>259</v>
      </c>
      <c r="B758" t="str">
        <f>"40282"</f>
        <v>40282</v>
      </c>
      <c r="C758" t="s">
        <v>11</v>
      </c>
      <c r="D758" t="s">
        <v>270</v>
      </c>
      <c r="E758" t="str">
        <f>"001"</f>
        <v>001</v>
      </c>
      <c r="F758">
        <v>2000</v>
      </c>
      <c r="G758" s="5">
        <v>23351000</v>
      </c>
      <c r="H758" s="5">
        <v>8397700</v>
      </c>
      <c r="I758" s="5">
        <v>14953300</v>
      </c>
    </row>
    <row r="759" spans="1:12" x14ac:dyDescent="0.3">
      <c r="A759" t="s">
        <v>259</v>
      </c>
      <c r="B759" t="str">
        <f>"40282"</f>
        <v>40282</v>
      </c>
      <c r="C759" t="s">
        <v>11</v>
      </c>
      <c r="D759" t="s">
        <v>270</v>
      </c>
      <c r="E759" t="str">
        <f>"002"</f>
        <v>002</v>
      </c>
      <c r="F759">
        <v>2000</v>
      </c>
      <c r="G759" s="5">
        <v>37064400</v>
      </c>
      <c r="H759" s="5">
        <v>6394400</v>
      </c>
      <c r="I759" s="5">
        <v>30670000</v>
      </c>
    </row>
    <row r="760" spans="1:12" x14ac:dyDescent="0.3">
      <c r="A760" t="s">
        <v>259</v>
      </c>
      <c r="B760" t="str">
        <f>"40282"</f>
        <v>40282</v>
      </c>
      <c r="C760" t="s">
        <v>11</v>
      </c>
      <c r="D760" t="s">
        <v>270</v>
      </c>
      <c r="E760" t="str">
        <f>"003"</f>
        <v>003</v>
      </c>
      <c r="F760">
        <v>2005</v>
      </c>
      <c r="G760" s="5">
        <v>37910800</v>
      </c>
      <c r="H760" s="5">
        <v>16460500</v>
      </c>
      <c r="I760" s="5">
        <v>21450300</v>
      </c>
    </row>
    <row r="761" spans="1:12" x14ac:dyDescent="0.3">
      <c r="A761" t="s">
        <v>259</v>
      </c>
      <c r="B761" t="str">
        <f>"40282"</f>
        <v>40282</v>
      </c>
      <c r="C761" t="s">
        <v>11</v>
      </c>
      <c r="D761" t="s">
        <v>270</v>
      </c>
      <c r="E761" t="str">
        <f>"005"</f>
        <v>005</v>
      </c>
      <c r="F761">
        <v>2018</v>
      </c>
      <c r="G761" s="5">
        <v>21224500</v>
      </c>
      <c r="H761" s="5">
        <v>23398800</v>
      </c>
      <c r="I761" s="5">
        <v>-2174300</v>
      </c>
    </row>
    <row r="762" spans="1:12" x14ac:dyDescent="0.3">
      <c r="A762" t="s">
        <v>259</v>
      </c>
      <c r="B762" t="str">
        <f t="shared" ref="B762:B768" si="31">"40291"</f>
        <v>40291</v>
      </c>
      <c r="C762" t="s">
        <v>11</v>
      </c>
      <c r="D762" t="s">
        <v>271</v>
      </c>
      <c r="E762" t="str">
        <f>"006"</f>
        <v>006</v>
      </c>
      <c r="F762">
        <v>2010</v>
      </c>
      <c r="G762" s="5">
        <v>141234200</v>
      </c>
      <c r="H762" s="5">
        <v>26768400</v>
      </c>
      <c r="I762" s="5">
        <v>114465800</v>
      </c>
    </row>
    <row r="763" spans="1:12" x14ac:dyDescent="0.3">
      <c r="A763" t="s">
        <v>259</v>
      </c>
      <c r="B763" t="str">
        <f t="shared" si="31"/>
        <v>40291</v>
      </c>
      <c r="C763" t="s">
        <v>11</v>
      </c>
      <c r="D763" t="s">
        <v>271</v>
      </c>
      <c r="E763" t="str">
        <f>"007"</f>
        <v>007</v>
      </c>
      <c r="F763">
        <v>2013</v>
      </c>
      <c r="G763" s="5">
        <v>149451900</v>
      </c>
      <c r="H763" s="5">
        <v>20815000</v>
      </c>
      <c r="I763" s="5">
        <v>128636900</v>
      </c>
    </row>
    <row r="764" spans="1:12" x14ac:dyDescent="0.3">
      <c r="A764" t="s">
        <v>259</v>
      </c>
      <c r="B764" t="str">
        <f t="shared" si="31"/>
        <v>40291</v>
      </c>
      <c r="C764" t="s">
        <v>11</v>
      </c>
      <c r="D764" t="s">
        <v>271</v>
      </c>
      <c r="E764" t="str">
        <f>"008"</f>
        <v>008</v>
      </c>
      <c r="F764">
        <v>2014</v>
      </c>
      <c r="G764" s="5">
        <v>49685500</v>
      </c>
      <c r="H764" s="5">
        <v>21723600</v>
      </c>
      <c r="I764" s="5">
        <v>27961900</v>
      </c>
    </row>
    <row r="765" spans="1:12" x14ac:dyDescent="0.3">
      <c r="A765" t="s">
        <v>259</v>
      </c>
      <c r="B765" t="str">
        <f t="shared" si="31"/>
        <v>40291</v>
      </c>
      <c r="C765" t="s">
        <v>11</v>
      </c>
      <c r="D765" t="s">
        <v>271</v>
      </c>
      <c r="E765" t="str">
        <f>"009"</f>
        <v>009</v>
      </c>
      <c r="F765">
        <v>2015</v>
      </c>
      <c r="G765" s="5">
        <v>15678800</v>
      </c>
      <c r="H765" s="5">
        <v>5128200</v>
      </c>
      <c r="I765" s="5">
        <v>10550600</v>
      </c>
    </row>
    <row r="766" spans="1:12" x14ac:dyDescent="0.3">
      <c r="A766" t="s">
        <v>259</v>
      </c>
      <c r="B766" t="str">
        <f t="shared" si="31"/>
        <v>40291</v>
      </c>
      <c r="C766" t="s">
        <v>11</v>
      </c>
      <c r="D766" t="s">
        <v>271</v>
      </c>
      <c r="E766" t="str">
        <f>"010"</f>
        <v>010</v>
      </c>
      <c r="F766">
        <v>2015</v>
      </c>
      <c r="G766" s="5">
        <v>20254400</v>
      </c>
      <c r="H766" s="5">
        <v>3970400</v>
      </c>
      <c r="I766" s="5">
        <v>16284000</v>
      </c>
    </row>
    <row r="767" spans="1:12" x14ac:dyDescent="0.3">
      <c r="A767" t="s">
        <v>259</v>
      </c>
      <c r="B767" t="str">
        <f t="shared" si="31"/>
        <v>40291</v>
      </c>
      <c r="C767" t="s">
        <v>11</v>
      </c>
      <c r="D767" t="s">
        <v>271</v>
      </c>
      <c r="E767" t="str">
        <f>"011"</f>
        <v>011</v>
      </c>
      <c r="F767">
        <v>2015</v>
      </c>
      <c r="G767" s="5">
        <v>44405200</v>
      </c>
      <c r="H767" s="5">
        <v>11163400</v>
      </c>
      <c r="I767" s="5">
        <v>33241800</v>
      </c>
    </row>
    <row r="768" spans="1:12" x14ac:dyDescent="0.3">
      <c r="A768" t="s">
        <v>259</v>
      </c>
      <c r="B768" t="str">
        <f t="shared" si="31"/>
        <v>40291</v>
      </c>
      <c r="C768" t="s">
        <v>11</v>
      </c>
      <c r="D768" t="s">
        <v>271</v>
      </c>
      <c r="E768" t="str">
        <f>"012"</f>
        <v>012</v>
      </c>
      <c r="F768">
        <v>2018</v>
      </c>
      <c r="G768" s="5">
        <v>47980500</v>
      </c>
      <c r="H768" s="5">
        <v>35541200</v>
      </c>
      <c r="I768" s="5">
        <v>12439300</v>
      </c>
    </row>
    <row r="769" spans="1:9" x14ac:dyDescent="0.3">
      <c r="A769" t="s">
        <v>259</v>
      </c>
      <c r="B769" t="str">
        <f t="shared" ref="B769:B780" si="32">"40292"</f>
        <v>40292</v>
      </c>
      <c r="C769" t="s">
        <v>11</v>
      </c>
      <c r="D769" t="s">
        <v>272</v>
      </c>
      <c r="E769" t="str">
        <f>"005"</f>
        <v>005</v>
      </c>
      <c r="F769">
        <v>2001</v>
      </c>
      <c r="G769" s="5">
        <v>51986000</v>
      </c>
      <c r="H769" s="5">
        <v>18524000</v>
      </c>
      <c r="I769" s="5">
        <v>33462000</v>
      </c>
    </row>
    <row r="770" spans="1:9" x14ac:dyDescent="0.3">
      <c r="A770" t="s">
        <v>259</v>
      </c>
      <c r="B770" t="str">
        <f t="shared" si="32"/>
        <v>40292</v>
      </c>
      <c r="C770" t="s">
        <v>11</v>
      </c>
      <c r="D770" t="s">
        <v>272</v>
      </c>
      <c r="E770" t="str">
        <f>"006"</f>
        <v>006</v>
      </c>
      <c r="F770">
        <v>2004</v>
      </c>
      <c r="G770" s="5">
        <v>1330600</v>
      </c>
      <c r="H770" s="5">
        <v>1330600</v>
      </c>
      <c r="I770" s="5">
        <v>0</v>
      </c>
    </row>
    <row r="771" spans="1:9" x14ac:dyDescent="0.3">
      <c r="A771" t="s">
        <v>259</v>
      </c>
      <c r="B771" t="str">
        <f t="shared" si="32"/>
        <v>40292</v>
      </c>
      <c r="C771" t="s">
        <v>11</v>
      </c>
      <c r="D771" t="s">
        <v>272</v>
      </c>
      <c r="E771" t="str">
        <f>"007"</f>
        <v>007</v>
      </c>
      <c r="F771">
        <v>2004</v>
      </c>
      <c r="G771" s="5">
        <v>92548000</v>
      </c>
      <c r="H771" s="5">
        <v>15914400</v>
      </c>
      <c r="I771" s="5">
        <v>76633600</v>
      </c>
    </row>
    <row r="772" spans="1:9" x14ac:dyDescent="0.3">
      <c r="A772" t="s">
        <v>259</v>
      </c>
      <c r="B772" t="str">
        <f t="shared" si="32"/>
        <v>40292</v>
      </c>
      <c r="C772" t="s">
        <v>11</v>
      </c>
      <c r="D772" t="s">
        <v>272</v>
      </c>
      <c r="E772" t="str">
        <f>"009"</f>
        <v>009</v>
      </c>
      <c r="F772">
        <v>2006</v>
      </c>
      <c r="G772" s="5">
        <v>14698300</v>
      </c>
      <c r="H772" s="5">
        <v>2299600</v>
      </c>
      <c r="I772" s="5">
        <v>12398700</v>
      </c>
    </row>
    <row r="773" spans="1:9" x14ac:dyDescent="0.3">
      <c r="A773" t="s">
        <v>259</v>
      </c>
      <c r="B773" t="str">
        <f t="shared" si="32"/>
        <v>40292</v>
      </c>
      <c r="C773" t="s">
        <v>11</v>
      </c>
      <c r="D773" t="s">
        <v>272</v>
      </c>
      <c r="E773" t="str">
        <f>"010"</f>
        <v>010</v>
      </c>
      <c r="F773">
        <v>2008</v>
      </c>
      <c r="G773" s="5">
        <v>14939700</v>
      </c>
      <c r="H773" s="5">
        <v>3463600</v>
      </c>
      <c r="I773" s="5">
        <v>11476100</v>
      </c>
    </row>
    <row r="774" spans="1:9" x14ac:dyDescent="0.3">
      <c r="A774" t="s">
        <v>259</v>
      </c>
      <c r="B774" t="str">
        <f t="shared" si="32"/>
        <v>40292</v>
      </c>
      <c r="C774" t="s">
        <v>11</v>
      </c>
      <c r="D774" t="s">
        <v>272</v>
      </c>
      <c r="E774" t="str">
        <f>"011"</f>
        <v>011</v>
      </c>
      <c r="F774">
        <v>2010</v>
      </c>
      <c r="G774" s="5">
        <v>40017700</v>
      </c>
      <c r="H774" s="5">
        <v>4678000</v>
      </c>
      <c r="I774" s="5">
        <v>35339700</v>
      </c>
    </row>
    <row r="775" spans="1:9" x14ac:dyDescent="0.3">
      <c r="A775" t="s">
        <v>259</v>
      </c>
      <c r="B775" t="str">
        <f t="shared" si="32"/>
        <v>40292</v>
      </c>
      <c r="C775" t="s">
        <v>11</v>
      </c>
      <c r="D775" t="s">
        <v>272</v>
      </c>
      <c r="E775" t="str">
        <f>"012"</f>
        <v>012</v>
      </c>
      <c r="F775">
        <v>2011</v>
      </c>
      <c r="G775" s="5">
        <v>0</v>
      </c>
      <c r="H775" s="5">
        <v>232900</v>
      </c>
      <c r="I775" s="5">
        <v>-232900</v>
      </c>
    </row>
    <row r="776" spans="1:9" x14ac:dyDescent="0.3">
      <c r="A776" t="s">
        <v>259</v>
      </c>
      <c r="B776" t="str">
        <f t="shared" si="32"/>
        <v>40292</v>
      </c>
      <c r="C776" t="s">
        <v>11</v>
      </c>
      <c r="D776" t="s">
        <v>272</v>
      </c>
      <c r="E776" t="str">
        <f>"013"</f>
        <v>013</v>
      </c>
      <c r="F776">
        <v>2011</v>
      </c>
      <c r="G776" s="5">
        <v>923000</v>
      </c>
      <c r="H776" s="5">
        <v>537400</v>
      </c>
      <c r="I776" s="5">
        <v>385600</v>
      </c>
    </row>
    <row r="777" spans="1:9" x14ac:dyDescent="0.3">
      <c r="A777" t="s">
        <v>259</v>
      </c>
      <c r="B777" t="str">
        <f t="shared" si="32"/>
        <v>40292</v>
      </c>
      <c r="C777" t="s">
        <v>11</v>
      </c>
      <c r="D777" t="s">
        <v>272</v>
      </c>
      <c r="E777" t="str">
        <f>"014"</f>
        <v>014</v>
      </c>
      <c r="F777">
        <v>2015</v>
      </c>
      <c r="G777" s="5">
        <v>66600</v>
      </c>
      <c r="H777" s="5">
        <v>1354300</v>
      </c>
      <c r="I777" s="5">
        <v>-1287700</v>
      </c>
    </row>
    <row r="778" spans="1:9" x14ac:dyDescent="0.3">
      <c r="A778" t="s">
        <v>259</v>
      </c>
      <c r="B778" t="str">
        <f t="shared" si="32"/>
        <v>40292</v>
      </c>
      <c r="C778" t="s">
        <v>11</v>
      </c>
      <c r="D778" t="s">
        <v>272</v>
      </c>
      <c r="E778" t="str">
        <f>"015"</f>
        <v>015</v>
      </c>
      <c r="F778">
        <v>2016</v>
      </c>
      <c r="G778" s="5">
        <v>38574900</v>
      </c>
      <c r="H778" s="5">
        <v>0</v>
      </c>
      <c r="I778" s="5">
        <v>38574900</v>
      </c>
    </row>
    <row r="779" spans="1:9" x14ac:dyDescent="0.3">
      <c r="A779" t="s">
        <v>259</v>
      </c>
      <c r="B779" t="str">
        <f t="shared" si="32"/>
        <v>40292</v>
      </c>
      <c r="C779" t="s">
        <v>11</v>
      </c>
      <c r="D779" t="s">
        <v>272</v>
      </c>
      <c r="E779" t="str">
        <f>"016"</f>
        <v>016</v>
      </c>
      <c r="F779">
        <v>2018</v>
      </c>
      <c r="G779" s="5">
        <v>13830600</v>
      </c>
      <c r="H779" s="5">
        <v>3283200</v>
      </c>
      <c r="I779" s="5">
        <v>10547400</v>
      </c>
    </row>
    <row r="780" spans="1:9" x14ac:dyDescent="0.3">
      <c r="A780" t="s">
        <v>259</v>
      </c>
      <c r="B780" t="str">
        <f t="shared" si="32"/>
        <v>40292</v>
      </c>
      <c r="C780" t="s">
        <v>11</v>
      </c>
      <c r="D780" t="s">
        <v>272</v>
      </c>
      <c r="E780" t="str">
        <f>"017"</f>
        <v>017</v>
      </c>
      <c r="F780">
        <v>2019</v>
      </c>
      <c r="G780" s="5">
        <v>15164400</v>
      </c>
      <c r="H780" s="5">
        <v>15514500</v>
      </c>
      <c r="I780" s="5">
        <v>-350100</v>
      </c>
    </row>
    <row r="781" spans="1:9" x14ac:dyDescent="0.3">
      <c r="A781" t="s">
        <v>259</v>
      </c>
      <c r="B781" t="str">
        <f>"40191"</f>
        <v>40191</v>
      </c>
      <c r="C781" t="s">
        <v>12</v>
      </c>
      <c r="D781" t="s">
        <v>273</v>
      </c>
      <c r="E781" t="str">
        <f>"001E"</f>
        <v>001E</v>
      </c>
      <c r="F781">
        <v>2016</v>
      </c>
      <c r="G781" s="5">
        <v>9146300</v>
      </c>
      <c r="H781" s="5">
        <v>833100</v>
      </c>
      <c r="I781" s="5">
        <v>8313200</v>
      </c>
    </row>
    <row r="782" spans="1:9" x14ac:dyDescent="0.3">
      <c r="A782" t="s">
        <v>259</v>
      </c>
      <c r="B782" t="str">
        <f>"40191"</f>
        <v>40191</v>
      </c>
      <c r="C782" t="s">
        <v>12</v>
      </c>
      <c r="D782" t="s">
        <v>273</v>
      </c>
      <c r="E782" t="str">
        <f>"002"</f>
        <v>002</v>
      </c>
      <c r="F782">
        <v>2001</v>
      </c>
      <c r="G782" s="5">
        <v>21578800</v>
      </c>
      <c r="H782" s="5">
        <v>5022300</v>
      </c>
      <c r="I782" s="5">
        <v>16556500</v>
      </c>
    </row>
    <row r="783" spans="1:9" x14ac:dyDescent="0.3">
      <c r="A783" t="s">
        <v>259</v>
      </c>
      <c r="B783" t="str">
        <f>"40191"</f>
        <v>40191</v>
      </c>
      <c r="C783" t="s">
        <v>12</v>
      </c>
      <c r="D783" t="s">
        <v>273</v>
      </c>
      <c r="E783" t="str">
        <f>"003"</f>
        <v>003</v>
      </c>
      <c r="F783">
        <v>2003</v>
      </c>
      <c r="G783" s="5">
        <v>2739500</v>
      </c>
      <c r="H783" s="5">
        <v>167200</v>
      </c>
      <c r="I783" s="5">
        <v>2572300</v>
      </c>
    </row>
    <row r="784" spans="1:9" x14ac:dyDescent="0.3">
      <c r="A784" t="s">
        <v>259</v>
      </c>
      <c r="B784" t="str">
        <f>"40192"</f>
        <v>40192</v>
      </c>
      <c r="C784" t="s">
        <v>12</v>
      </c>
      <c r="D784" t="s">
        <v>274</v>
      </c>
      <c r="E784" t="str">
        <f>"001"</f>
        <v>001</v>
      </c>
      <c r="F784">
        <v>2004</v>
      </c>
      <c r="G784" s="5">
        <v>64602700</v>
      </c>
      <c r="H784" s="5">
        <v>38403700</v>
      </c>
      <c r="I784" s="5">
        <v>26199000</v>
      </c>
    </row>
    <row r="785" spans="1:9" x14ac:dyDescent="0.3">
      <c r="A785" t="s">
        <v>259</v>
      </c>
      <c r="B785" t="str">
        <f>"40192"</f>
        <v>40192</v>
      </c>
      <c r="C785" t="s">
        <v>12</v>
      </c>
      <c r="D785" t="s">
        <v>274</v>
      </c>
      <c r="E785" t="str">
        <f>"002"</f>
        <v>002</v>
      </c>
      <c r="F785">
        <v>2013</v>
      </c>
      <c r="G785" s="5">
        <v>15959300</v>
      </c>
      <c r="H785" s="5">
        <v>405600</v>
      </c>
      <c r="I785" s="5">
        <v>15553700</v>
      </c>
    </row>
    <row r="786" spans="1:9" x14ac:dyDescent="0.3">
      <c r="A786" t="s">
        <v>171</v>
      </c>
      <c r="B786" t="str">
        <f>"41111"</f>
        <v>41111</v>
      </c>
      <c r="C786" t="s">
        <v>12</v>
      </c>
      <c r="D786" t="s">
        <v>275</v>
      </c>
      <c r="E786" t="str">
        <f>"001"</f>
        <v>001</v>
      </c>
      <c r="F786">
        <v>1993</v>
      </c>
      <c r="G786" s="5">
        <v>2736500</v>
      </c>
      <c r="H786" s="5">
        <v>82200</v>
      </c>
      <c r="I786" s="5">
        <v>2654300</v>
      </c>
    </row>
    <row r="787" spans="1:9" x14ac:dyDescent="0.3">
      <c r="A787" t="s">
        <v>171</v>
      </c>
      <c r="B787" t="str">
        <f>"41111"</f>
        <v>41111</v>
      </c>
      <c r="C787" t="s">
        <v>12</v>
      </c>
      <c r="D787" t="s">
        <v>275</v>
      </c>
      <c r="E787" t="str">
        <f>"002"</f>
        <v>002</v>
      </c>
      <c r="F787">
        <v>1998</v>
      </c>
      <c r="G787" s="5">
        <v>1662500</v>
      </c>
      <c r="H787" s="5">
        <v>836000</v>
      </c>
      <c r="I787" s="5">
        <v>826500</v>
      </c>
    </row>
    <row r="788" spans="1:9" x14ac:dyDescent="0.3">
      <c r="A788" t="s">
        <v>171</v>
      </c>
      <c r="B788" t="str">
        <f>"41111"</f>
        <v>41111</v>
      </c>
      <c r="C788" t="s">
        <v>12</v>
      </c>
      <c r="D788" t="s">
        <v>275</v>
      </c>
      <c r="E788" t="str">
        <f>"003"</f>
        <v>003</v>
      </c>
      <c r="F788">
        <v>2005</v>
      </c>
      <c r="G788" s="5">
        <v>44669200</v>
      </c>
      <c r="H788" s="5">
        <v>332300</v>
      </c>
      <c r="I788" s="5">
        <v>44336900</v>
      </c>
    </row>
    <row r="789" spans="1:9" x14ac:dyDescent="0.3">
      <c r="A789" t="s">
        <v>171</v>
      </c>
      <c r="B789" t="str">
        <f>"41176"</f>
        <v>41176</v>
      </c>
      <c r="C789" t="s">
        <v>12</v>
      </c>
      <c r="D789" t="s">
        <v>218</v>
      </c>
      <c r="E789" t="str">
        <f>"001"</f>
        <v>001</v>
      </c>
      <c r="F789">
        <v>2010</v>
      </c>
      <c r="G789" s="5">
        <v>3962100</v>
      </c>
      <c r="H789" s="5">
        <v>1837400</v>
      </c>
      <c r="I789" s="5">
        <v>2124700</v>
      </c>
    </row>
    <row r="790" spans="1:9" x14ac:dyDescent="0.3">
      <c r="A790" t="s">
        <v>171</v>
      </c>
      <c r="B790" t="str">
        <f>"41281"</f>
        <v>41281</v>
      </c>
      <c r="C790" t="s">
        <v>11</v>
      </c>
      <c r="D790" t="s">
        <v>276</v>
      </c>
      <c r="E790" t="str">
        <f>"006"</f>
        <v>006</v>
      </c>
      <c r="F790">
        <v>2005</v>
      </c>
      <c r="G790" s="5">
        <v>15841400</v>
      </c>
      <c r="H790" s="5">
        <v>245500</v>
      </c>
      <c r="I790" s="5">
        <v>15595900</v>
      </c>
    </row>
    <row r="791" spans="1:9" x14ac:dyDescent="0.3">
      <c r="A791" t="s">
        <v>171</v>
      </c>
      <c r="B791" t="str">
        <f>"41281"</f>
        <v>41281</v>
      </c>
      <c r="C791" t="s">
        <v>11</v>
      </c>
      <c r="D791" t="s">
        <v>276</v>
      </c>
      <c r="E791" t="str">
        <f>"008"</f>
        <v>008</v>
      </c>
      <c r="F791">
        <v>2010</v>
      </c>
      <c r="G791" s="5">
        <v>14803900</v>
      </c>
      <c r="H791" s="5">
        <v>1031700</v>
      </c>
      <c r="I791" s="5">
        <v>13772200</v>
      </c>
    </row>
    <row r="792" spans="1:9" x14ac:dyDescent="0.3">
      <c r="A792" t="s">
        <v>171</v>
      </c>
      <c r="B792" t="str">
        <f>"41281"</f>
        <v>41281</v>
      </c>
      <c r="C792" t="s">
        <v>11</v>
      </c>
      <c r="D792" t="s">
        <v>276</v>
      </c>
      <c r="E792" t="str">
        <f>"009"</f>
        <v>009</v>
      </c>
      <c r="F792">
        <v>2018</v>
      </c>
      <c r="G792" s="5">
        <v>212800</v>
      </c>
      <c r="H792" s="5">
        <v>196300</v>
      </c>
      <c r="I792" s="5">
        <v>16500</v>
      </c>
    </row>
    <row r="793" spans="1:9" x14ac:dyDescent="0.3">
      <c r="A793" t="s">
        <v>171</v>
      </c>
      <c r="B793" t="str">
        <f>"41286"</f>
        <v>41286</v>
      </c>
      <c r="C793" t="s">
        <v>11</v>
      </c>
      <c r="D793" t="s">
        <v>277</v>
      </c>
      <c r="E793" t="str">
        <f>"008"</f>
        <v>008</v>
      </c>
      <c r="F793">
        <v>2015</v>
      </c>
      <c r="G793" s="5">
        <v>61011100</v>
      </c>
      <c r="H793" s="5">
        <v>39940700</v>
      </c>
      <c r="I793" s="5">
        <v>21070400</v>
      </c>
    </row>
    <row r="794" spans="1:9" x14ac:dyDescent="0.3">
      <c r="A794" t="s">
        <v>171</v>
      </c>
      <c r="B794" t="str">
        <f>"41286"</f>
        <v>41286</v>
      </c>
      <c r="C794" t="s">
        <v>11</v>
      </c>
      <c r="D794" t="s">
        <v>277</v>
      </c>
      <c r="E794" t="str">
        <f>"009"</f>
        <v>009</v>
      </c>
      <c r="F794">
        <v>2018</v>
      </c>
      <c r="G794" s="5">
        <v>53172400</v>
      </c>
      <c r="H794" s="5">
        <v>45249100</v>
      </c>
      <c r="I794" s="5">
        <v>7923300</v>
      </c>
    </row>
    <row r="795" spans="1:9" x14ac:dyDescent="0.3">
      <c r="A795" t="s">
        <v>171</v>
      </c>
      <c r="B795" t="str">
        <f>"41286"</f>
        <v>41286</v>
      </c>
      <c r="C795" t="s">
        <v>11</v>
      </c>
      <c r="D795" t="s">
        <v>277</v>
      </c>
      <c r="E795" t="str">
        <f>"010"</f>
        <v>010</v>
      </c>
      <c r="F795">
        <v>2018</v>
      </c>
      <c r="G795" s="5">
        <v>22629200</v>
      </c>
      <c r="H795" s="5">
        <v>1657500</v>
      </c>
      <c r="I795" s="5">
        <v>20971700</v>
      </c>
    </row>
    <row r="796" spans="1:9" x14ac:dyDescent="0.3">
      <c r="A796" t="s">
        <v>171</v>
      </c>
      <c r="B796" t="str">
        <f>"41185"</f>
        <v>41185</v>
      </c>
      <c r="C796" t="s">
        <v>12</v>
      </c>
      <c r="D796" t="s">
        <v>278</v>
      </c>
      <c r="E796" t="str">
        <f>"001"</f>
        <v>001</v>
      </c>
      <c r="F796">
        <v>1998</v>
      </c>
      <c r="G796" s="5">
        <v>52059900</v>
      </c>
      <c r="H796" s="5">
        <v>8113400</v>
      </c>
      <c r="I796" s="5">
        <v>43946500</v>
      </c>
    </row>
    <row r="797" spans="1:9" x14ac:dyDescent="0.3">
      <c r="A797" t="s">
        <v>171</v>
      </c>
      <c r="B797" t="str">
        <f>"41191"</f>
        <v>41191</v>
      </c>
      <c r="C797" t="s">
        <v>12</v>
      </c>
      <c r="D797" t="s">
        <v>279</v>
      </c>
      <c r="E797" t="str">
        <f>"002"</f>
        <v>002</v>
      </c>
      <c r="F797">
        <v>1998</v>
      </c>
      <c r="G797" s="5">
        <v>16009400</v>
      </c>
      <c r="H797" s="5">
        <v>2261500</v>
      </c>
      <c r="I797" s="5">
        <v>13747900</v>
      </c>
    </row>
    <row r="798" spans="1:9" x14ac:dyDescent="0.3">
      <c r="A798" t="s">
        <v>280</v>
      </c>
      <c r="B798" t="str">
        <f>"42231"</f>
        <v>42231</v>
      </c>
      <c r="C798" t="s">
        <v>11</v>
      </c>
      <c r="D798" t="s">
        <v>281</v>
      </c>
      <c r="E798" t="str">
        <f>"002"</f>
        <v>002</v>
      </c>
      <c r="F798">
        <v>1993</v>
      </c>
      <c r="G798" s="5">
        <v>1329000</v>
      </c>
      <c r="H798" s="5">
        <v>47700</v>
      </c>
      <c r="I798" s="5">
        <v>1281300</v>
      </c>
    </row>
    <row r="799" spans="1:9" x14ac:dyDescent="0.3">
      <c r="A799" t="s">
        <v>280</v>
      </c>
      <c r="B799" t="str">
        <f>"42231"</f>
        <v>42231</v>
      </c>
      <c r="C799" t="s">
        <v>11</v>
      </c>
      <c r="D799" t="s">
        <v>281</v>
      </c>
      <c r="E799" t="str">
        <f>"003"</f>
        <v>003</v>
      </c>
      <c r="F799">
        <v>2000</v>
      </c>
      <c r="G799" s="5">
        <v>10601300</v>
      </c>
      <c r="H799" s="5">
        <v>7370500</v>
      </c>
      <c r="I799" s="5">
        <v>3230800</v>
      </c>
    </row>
    <row r="800" spans="1:9" x14ac:dyDescent="0.3">
      <c r="A800" t="s">
        <v>280</v>
      </c>
      <c r="B800" t="str">
        <f>"42265"</f>
        <v>42265</v>
      </c>
      <c r="C800" t="s">
        <v>11</v>
      </c>
      <c r="D800" t="s">
        <v>280</v>
      </c>
      <c r="E800" t="str">
        <f>"003"</f>
        <v>003</v>
      </c>
      <c r="F800">
        <v>2007</v>
      </c>
      <c r="G800" s="5">
        <v>14234300</v>
      </c>
      <c r="H800" s="5">
        <v>13416200</v>
      </c>
      <c r="I800" s="5">
        <v>818100</v>
      </c>
    </row>
    <row r="801" spans="1:9" x14ac:dyDescent="0.3">
      <c r="A801" t="s">
        <v>280</v>
      </c>
      <c r="B801" t="str">
        <f>"42265"</f>
        <v>42265</v>
      </c>
      <c r="C801" t="s">
        <v>11</v>
      </c>
      <c r="D801" t="s">
        <v>280</v>
      </c>
      <c r="E801" t="str">
        <f>"004"</f>
        <v>004</v>
      </c>
      <c r="F801">
        <v>2010</v>
      </c>
      <c r="G801" s="5">
        <v>6699400</v>
      </c>
      <c r="H801" s="5">
        <v>1428600</v>
      </c>
      <c r="I801" s="5">
        <v>5270800</v>
      </c>
    </row>
    <row r="802" spans="1:9" x14ac:dyDescent="0.3">
      <c r="A802" t="s">
        <v>280</v>
      </c>
      <c r="B802" t="str">
        <f>"42181"</f>
        <v>42181</v>
      </c>
      <c r="C802" t="s">
        <v>12</v>
      </c>
      <c r="D802" t="s">
        <v>282</v>
      </c>
      <c r="E802" t="str">
        <f>"001"</f>
        <v>001</v>
      </c>
      <c r="F802">
        <v>2000</v>
      </c>
      <c r="G802" s="5">
        <v>2703800</v>
      </c>
      <c r="H802" s="5">
        <v>1449235</v>
      </c>
      <c r="I802" s="5">
        <v>1254565</v>
      </c>
    </row>
    <row r="803" spans="1:9" x14ac:dyDescent="0.3">
      <c r="A803" t="s">
        <v>283</v>
      </c>
      <c r="B803" t="str">
        <f t="shared" ref="B803:B808" si="33">"43276"</f>
        <v>43276</v>
      </c>
      <c r="C803" t="s">
        <v>11</v>
      </c>
      <c r="D803" t="s">
        <v>284</v>
      </c>
      <c r="E803" t="str">
        <f>"001E"</f>
        <v>001E</v>
      </c>
      <c r="F803">
        <v>2005</v>
      </c>
      <c r="G803" s="5">
        <v>5588400</v>
      </c>
      <c r="H803" s="5">
        <v>1147700</v>
      </c>
      <c r="I803" s="5">
        <v>4440700</v>
      </c>
    </row>
    <row r="804" spans="1:9" x14ac:dyDescent="0.3">
      <c r="A804" t="s">
        <v>283</v>
      </c>
      <c r="B804" t="str">
        <f t="shared" si="33"/>
        <v>43276</v>
      </c>
      <c r="C804" t="s">
        <v>11</v>
      </c>
      <c r="D804" t="s">
        <v>284</v>
      </c>
      <c r="E804" t="str">
        <f>"005"</f>
        <v>005</v>
      </c>
      <c r="F804">
        <v>2000</v>
      </c>
      <c r="G804" s="5">
        <v>1583900</v>
      </c>
      <c r="H804" s="5">
        <v>966800</v>
      </c>
      <c r="I804" s="5">
        <v>617100</v>
      </c>
    </row>
    <row r="805" spans="1:9" x14ac:dyDescent="0.3">
      <c r="A805" t="s">
        <v>283</v>
      </c>
      <c r="B805" t="str">
        <f t="shared" si="33"/>
        <v>43276</v>
      </c>
      <c r="C805" t="s">
        <v>11</v>
      </c>
      <c r="D805" t="s">
        <v>284</v>
      </c>
      <c r="E805" t="str">
        <f>"006"</f>
        <v>006</v>
      </c>
      <c r="F805">
        <v>2002</v>
      </c>
      <c r="G805" s="5">
        <v>16271800</v>
      </c>
      <c r="H805" s="5">
        <v>10983800</v>
      </c>
      <c r="I805" s="5">
        <v>5288000</v>
      </c>
    </row>
    <row r="806" spans="1:9" x14ac:dyDescent="0.3">
      <c r="A806" t="s">
        <v>283</v>
      </c>
      <c r="B806" t="str">
        <f t="shared" si="33"/>
        <v>43276</v>
      </c>
      <c r="C806" t="s">
        <v>11</v>
      </c>
      <c r="D806" t="s">
        <v>284</v>
      </c>
      <c r="E806" t="str">
        <f>"008"</f>
        <v>008</v>
      </c>
      <c r="F806">
        <v>2010</v>
      </c>
      <c r="G806" s="5">
        <v>45816200</v>
      </c>
      <c r="H806" s="5">
        <v>49192200</v>
      </c>
      <c r="I806" s="5">
        <v>-3376000</v>
      </c>
    </row>
    <row r="807" spans="1:9" x14ac:dyDescent="0.3">
      <c r="A807" t="s">
        <v>283</v>
      </c>
      <c r="B807" t="str">
        <f t="shared" si="33"/>
        <v>43276</v>
      </c>
      <c r="C807" t="s">
        <v>11</v>
      </c>
      <c r="D807" t="s">
        <v>284</v>
      </c>
      <c r="E807" t="str">
        <f>"009"</f>
        <v>009</v>
      </c>
      <c r="F807">
        <v>2012</v>
      </c>
      <c r="G807" s="5">
        <v>25018400</v>
      </c>
      <c r="H807" s="5">
        <v>4900</v>
      </c>
      <c r="I807" s="5">
        <v>25013500</v>
      </c>
    </row>
    <row r="808" spans="1:9" x14ac:dyDescent="0.3">
      <c r="A808" t="s">
        <v>283</v>
      </c>
      <c r="B808" t="str">
        <f t="shared" si="33"/>
        <v>43276</v>
      </c>
      <c r="C808" t="s">
        <v>11</v>
      </c>
      <c r="D808" t="s">
        <v>284</v>
      </c>
      <c r="E808" t="str">
        <f>"010"</f>
        <v>010</v>
      </c>
      <c r="F808">
        <v>2013</v>
      </c>
      <c r="G808" s="5">
        <v>9650600</v>
      </c>
      <c r="H808" s="5">
        <v>5791100</v>
      </c>
      <c r="I808" s="5">
        <v>3859500</v>
      </c>
    </row>
    <row r="809" spans="1:9" x14ac:dyDescent="0.3">
      <c r="A809" t="s">
        <v>285</v>
      </c>
      <c r="B809" t="str">
        <f t="shared" ref="B809:B814" si="34">"44201"</f>
        <v>44201</v>
      </c>
      <c r="C809" t="s">
        <v>11</v>
      </c>
      <c r="D809" t="s">
        <v>53</v>
      </c>
      <c r="E809" t="str">
        <f>"003"</f>
        <v>003</v>
      </c>
      <c r="F809">
        <v>1993</v>
      </c>
      <c r="G809" s="5">
        <v>77660500</v>
      </c>
      <c r="H809" s="5">
        <v>18940800</v>
      </c>
      <c r="I809" s="5">
        <v>58719700</v>
      </c>
    </row>
    <row r="810" spans="1:9" x14ac:dyDescent="0.3">
      <c r="A810" t="s">
        <v>285</v>
      </c>
      <c r="B810" t="str">
        <f t="shared" si="34"/>
        <v>44201</v>
      </c>
      <c r="C810" t="s">
        <v>11</v>
      </c>
      <c r="D810" t="s">
        <v>53</v>
      </c>
      <c r="E810" t="str">
        <f>"008"</f>
        <v>008</v>
      </c>
      <c r="F810">
        <v>2009</v>
      </c>
      <c r="G810" s="5">
        <v>78139900</v>
      </c>
      <c r="H810" s="5">
        <v>6135100</v>
      </c>
      <c r="I810" s="5">
        <v>72004800</v>
      </c>
    </row>
    <row r="811" spans="1:9" x14ac:dyDescent="0.3">
      <c r="A811" t="s">
        <v>285</v>
      </c>
      <c r="B811" t="str">
        <f t="shared" si="34"/>
        <v>44201</v>
      </c>
      <c r="C811" t="s">
        <v>11</v>
      </c>
      <c r="D811" t="s">
        <v>53</v>
      </c>
      <c r="E811" t="str">
        <f>"009"</f>
        <v>009</v>
      </c>
      <c r="F811">
        <v>2013</v>
      </c>
      <c r="G811" s="5">
        <v>21978700</v>
      </c>
      <c r="H811" s="5">
        <v>21512900</v>
      </c>
      <c r="I811" s="5">
        <v>465800</v>
      </c>
    </row>
    <row r="812" spans="1:9" x14ac:dyDescent="0.3">
      <c r="A812" t="s">
        <v>285</v>
      </c>
      <c r="B812" t="str">
        <f t="shared" si="34"/>
        <v>44201</v>
      </c>
      <c r="C812" t="s">
        <v>11</v>
      </c>
      <c r="D812" t="s">
        <v>53</v>
      </c>
      <c r="E812" t="str">
        <f>"010"</f>
        <v>010</v>
      </c>
      <c r="F812">
        <v>2013</v>
      </c>
      <c r="G812" s="5">
        <v>21162300</v>
      </c>
      <c r="H812" s="5">
        <v>24543900</v>
      </c>
      <c r="I812" s="5">
        <v>-3381600</v>
      </c>
    </row>
    <row r="813" spans="1:9" x14ac:dyDescent="0.3">
      <c r="A813" t="s">
        <v>285</v>
      </c>
      <c r="B813" t="str">
        <f t="shared" si="34"/>
        <v>44201</v>
      </c>
      <c r="C813" t="s">
        <v>11</v>
      </c>
      <c r="D813" t="s">
        <v>53</v>
      </c>
      <c r="E813" t="str">
        <f>"011"</f>
        <v>011</v>
      </c>
      <c r="F813">
        <v>2017</v>
      </c>
      <c r="G813" s="5">
        <v>101405100</v>
      </c>
      <c r="H813" s="5">
        <v>83099200</v>
      </c>
      <c r="I813" s="5">
        <v>18305900</v>
      </c>
    </row>
    <row r="814" spans="1:9" x14ac:dyDescent="0.3">
      <c r="A814" t="s">
        <v>285</v>
      </c>
      <c r="B814" t="str">
        <f t="shared" si="34"/>
        <v>44201</v>
      </c>
      <c r="C814" t="s">
        <v>11</v>
      </c>
      <c r="D814" t="s">
        <v>53</v>
      </c>
      <c r="E814" t="str">
        <f>"012"</f>
        <v>012</v>
      </c>
      <c r="F814">
        <v>2017</v>
      </c>
      <c r="G814" s="5">
        <v>26685600</v>
      </c>
      <c r="H814" s="5">
        <v>22974900</v>
      </c>
      <c r="I814" s="5">
        <v>3710700</v>
      </c>
    </row>
    <row r="815" spans="1:9" x14ac:dyDescent="0.3">
      <c r="A815" t="s">
        <v>285</v>
      </c>
      <c r="B815" t="str">
        <f>"44107"</f>
        <v>44107</v>
      </c>
      <c r="C815" t="s">
        <v>12</v>
      </c>
      <c r="D815" t="s">
        <v>286</v>
      </c>
      <c r="E815" t="str">
        <f>"002"</f>
        <v>002</v>
      </c>
      <c r="F815">
        <v>1993</v>
      </c>
      <c r="G815" s="5">
        <v>19398900</v>
      </c>
      <c r="H815" s="5">
        <v>2112700</v>
      </c>
      <c r="I815" s="5">
        <v>17286200</v>
      </c>
    </row>
    <row r="816" spans="1:9" x14ac:dyDescent="0.3">
      <c r="A816" t="s">
        <v>285</v>
      </c>
      <c r="B816" t="str">
        <f>"44111"</f>
        <v>44111</v>
      </c>
      <c r="C816" t="s">
        <v>12</v>
      </c>
      <c r="D816" t="s">
        <v>287</v>
      </c>
      <c r="E816" t="str">
        <f>"002"</f>
        <v>002</v>
      </c>
      <c r="F816">
        <v>2015</v>
      </c>
      <c r="G816" s="5">
        <v>17105500</v>
      </c>
      <c r="H816" s="5">
        <v>15736800</v>
      </c>
      <c r="I816" s="5">
        <v>1368700</v>
      </c>
    </row>
    <row r="817" spans="1:9" x14ac:dyDescent="0.3">
      <c r="A817" t="s">
        <v>285</v>
      </c>
      <c r="B817" t="str">
        <f>"44111"</f>
        <v>44111</v>
      </c>
      <c r="C817" t="s">
        <v>12</v>
      </c>
      <c r="D817" t="s">
        <v>287</v>
      </c>
      <c r="E817" t="str">
        <f>"003"</f>
        <v>003</v>
      </c>
      <c r="F817">
        <v>2019</v>
      </c>
      <c r="G817" s="5">
        <v>736200</v>
      </c>
      <c r="H817" s="5">
        <v>76000</v>
      </c>
      <c r="I817" s="5">
        <v>660200</v>
      </c>
    </row>
    <row r="818" spans="1:9" x14ac:dyDescent="0.3">
      <c r="A818" t="s">
        <v>285</v>
      </c>
      <c r="B818" t="str">
        <f>"44018"</f>
        <v>44018</v>
      </c>
      <c r="C818" t="s">
        <v>14</v>
      </c>
      <c r="D818" t="s">
        <v>288</v>
      </c>
      <c r="E818" t="str">
        <f>"001A"</f>
        <v>001A</v>
      </c>
      <c r="F818">
        <v>2016</v>
      </c>
      <c r="G818" s="5">
        <v>5987200</v>
      </c>
      <c r="H818" s="5">
        <v>1993600</v>
      </c>
      <c r="I818" s="5">
        <v>3993600</v>
      </c>
    </row>
    <row r="819" spans="1:9" x14ac:dyDescent="0.3">
      <c r="A819" t="s">
        <v>285</v>
      </c>
      <c r="B819" t="str">
        <f>"44018"</f>
        <v>44018</v>
      </c>
      <c r="C819" t="s">
        <v>14</v>
      </c>
      <c r="D819" t="s">
        <v>288</v>
      </c>
      <c r="E819" t="str">
        <f>"002A"</f>
        <v>002A</v>
      </c>
      <c r="F819">
        <v>2017</v>
      </c>
      <c r="G819" s="5">
        <v>13768500</v>
      </c>
      <c r="H819" s="5">
        <v>11728400</v>
      </c>
      <c r="I819" s="5">
        <v>2040100</v>
      </c>
    </row>
    <row r="820" spans="1:9" x14ac:dyDescent="0.3">
      <c r="A820" t="s">
        <v>285</v>
      </c>
      <c r="B820" t="str">
        <f>"44020"</f>
        <v>44020</v>
      </c>
      <c r="C820" t="s">
        <v>14</v>
      </c>
      <c r="D820" t="s">
        <v>289</v>
      </c>
      <c r="E820" t="str">
        <f>"001A"</f>
        <v>001A</v>
      </c>
      <c r="F820">
        <v>2015</v>
      </c>
      <c r="G820" s="5">
        <v>16381000</v>
      </c>
      <c r="H820" s="5">
        <v>7700</v>
      </c>
      <c r="I820" s="5">
        <v>16373300</v>
      </c>
    </row>
    <row r="821" spans="1:9" x14ac:dyDescent="0.3">
      <c r="A821" t="s">
        <v>285</v>
      </c>
      <c r="B821" t="str">
        <f>"44020"</f>
        <v>44020</v>
      </c>
      <c r="C821" t="s">
        <v>14</v>
      </c>
      <c r="D821" t="s">
        <v>289</v>
      </c>
      <c r="E821" t="str">
        <f>"002A"</f>
        <v>002A</v>
      </c>
      <c r="F821">
        <v>2016</v>
      </c>
      <c r="G821" s="5">
        <v>51325600</v>
      </c>
      <c r="H821" s="5">
        <v>17214400</v>
      </c>
      <c r="I821" s="5">
        <v>34111200</v>
      </c>
    </row>
    <row r="822" spans="1:9" x14ac:dyDescent="0.3">
      <c r="A822" t="s">
        <v>285</v>
      </c>
      <c r="B822" t="str">
        <f>"44020"</f>
        <v>44020</v>
      </c>
      <c r="C822" t="s">
        <v>14</v>
      </c>
      <c r="D822" t="s">
        <v>289</v>
      </c>
      <c r="E822" t="str">
        <f>"003A"</f>
        <v>003A</v>
      </c>
      <c r="F822">
        <v>2017</v>
      </c>
      <c r="G822" s="5">
        <v>21283200</v>
      </c>
      <c r="H822" s="5">
        <v>14733400</v>
      </c>
      <c r="I822" s="5">
        <v>6549800</v>
      </c>
    </row>
    <row r="823" spans="1:9" x14ac:dyDescent="0.3">
      <c r="A823" t="s">
        <v>285</v>
      </c>
      <c r="B823" t="str">
        <f>"44020"</f>
        <v>44020</v>
      </c>
      <c r="C823" t="s">
        <v>14</v>
      </c>
      <c r="D823" t="s">
        <v>289</v>
      </c>
      <c r="E823" t="str">
        <f>"004A"</f>
        <v>004A</v>
      </c>
      <c r="F823">
        <v>2018</v>
      </c>
      <c r="G823" s="5">
        <v>15211300</v>
      </c>
      <c r="H823" s="5">
        <v>3676100</v>
      </c>
      <c r="I823" s="5">
        <v>11535200</v>
      </c>
    </row>
    <row r="824" spans="1:9" x14ac:dyDescent="0.3">
      <c r="A824" t="s">
        <v>285</v>
      </c>
      <c r="B824" t="str">
        <f>"44022"</f>
        <v>44022</v>
      </c>
      <c r="C824" t="s">
        <v>14</v>
      </c>
      <c r="D824" t="s">
        <v>290</v>
      </c>
      <c r="E824" t="str">
        <f>"001A"</f>
        <v>001A</v>
      </c>
      <c r="F824">
        <v>2017</v>
      </c>
      <c r="G824" s="5">
        <v>14697400</v>
      </c>
      <c r="H824" s="5">
        <v>11510500</v>
      </c>
      <c r="I824" s="5">
        <v>3186900</v>
      </c>
    </row>
    <row r="825" spans="1:9" x14ac:dyDescent="0.3">
      <c r="A825" t="s">
        <v>285</v>
      </c>
      <c r="B825" t="str">
        <f>"44136"</f>
        <v>44136</v>
      </c>
      <c r="C825" t="s">
        <v>12</v>
      </c>
      <c r="D825" t="s">
        <v>291</v>
      </c>
      <c r="E825" t="str">
        <f>"003"</f>
        <v>003</v>
      </c>
      <c r="F825">
        <v>2013</v>
      </c>
      <c r="G825" s="5">
        <v>7446800</v>
      </c>
      <c r="H825" s="5">
        <v>487700</v>
      </c>
      <c r="I825" s="5">
        <v>6959100</v>
      </c>
    </row>
    <row r="826" spans="1:9" x14ac:dyDescent="0.3">
      <c r="A826" t="s">
        <v>285</v>
      </c>
      <c r="B826" t="str">
        <f>"44136"</f>
        <v>44136</v>
      </c>
      <c r="C826" t="s">
        <v>12</v>
      </c>
      <c r="D826" t="s">
        <v>291</v>
      </c>
      <c r="E826" t="str">
        <f>"004"</f>
        <v>004</v>
      </c>
      <c r="F826">
        <v>2017</v>
      </c>
      <c r="G826" s="5">
        <v>3354000</v>
      </c>
      <c r="H826" s="5">
        <v>510300</v>
      </c>
      <c r="I826" s="5">
        <v>2843700</v>
      </c>
    </row>
    <row r="827" spans="1:9" x14ac:dyDescent="0.3">
      <c r="A827" t="s">
        <v>285</v>
      </c>
      <c r="B827" t="str">
        <f>"44136"</f>
        <v>44136</v>
      </c>
      <c r="C827" t="s">
        <v>12</v>
      </c>
      <c r="D827" t="s">
        <v>291</v>
      </c>
      <c r="E827" t="str">
        <f>"005"</f>
        <v>005</v>
      </c>
      <c r="F827">
        <v>2017</v>
      </c>
      <c r="G827" s="5">
        <v>532400</v>
      </c>
      <c r="H827" s="5">
        <v>522700</v>
      </c>
      <c r="I827" s="5">
        <v>9700</v>
      </c>
    </row>
    <row r="828" spans="1:9" x14ac:dyDescent="0.3">
      <c r="A828" t="s">
        <v>285</v>
      </c>
      <c r="B828" t="str">
        <f t="shared" ref="B828:B834" si="35">"44241"</f>
        <v>44241</v>
      </c>
      <c r="C828" t="s">
        <v>11</v>
      </c>
      <c r="D828" t="s">
        <v>292</v>
      </c>
      <c r="E828" t="str">
        <f>"001E"</f>
        <v>001E</v>
      </c>
      <c r="F828">
        <v>2005</v>
      </c>
      <c r="G828" s="5">
        <v>4301600</v>
      </c>
      <c r="H828" s="5">
        <v>32800</v>
      </c>
      <c r="I828" s="5">
        <v>4268800</v>
      </c>
    </row>
    <row r="829" spans="1:9" x14ac:dyDescent="0.3">
      <c r="A829" t="s">
        <v>285</v>
      </c>
      <c r="B829" t="str">
        <f t="shared" si="35"/>
        <v>44241</v>
      </c>
      <c r="C829" t="s">
        <v>11</v>
      </c>
      <c r="D829" t="s">
        <v>292</v>
      </c>
      <c r="E829" t="str">
        <f>"004"</f>
        <v>004</v>
      </c>
      <c r="F829">
        <v>2000</v>
      </c>
      <c r="G829" s="5">
        <v>19774500</v>
      </c>
      <c r="H829" s="5">
        <v>16049300</v>
      </c>
      <c r="I829" s="5">
        <v>3725200</v>
      </c>
    </row>
    <row r="830" spans="1:9" x14ac:dyDescent="0.3">
      <c r="A830" t="s">
        <v>285</v>
      </c>
      <c r="B830" t="str">
        <f t="shared" si="35"/>
        <v>44241</v>
      </c>
      <c r="C830" t="s">
        <v>11</v>
      </c>
      <c r="D830" t="s">
        <v>292</v>
      </c>
      <c r="E830" t="str">
        <f>"005"</f>
        <v>005</v>
      </c>
      <c r="F830">
        <v>2003</v>
      </c>
      <c r="G830" s="5">
        <v>18319500</v>
      </c>
      <c r="H830" s="5">
        <v>1077900</v>
      </c>
      <c r="I830" s="5">
        <v>17241600</v>
      </c>
    </row>
    <row r="831" spans="1:9" x14ac:dyDescent="0.3">
      <c r="A831" t="s">
        <v>285</v>
      </c>
      <c r="B831" t="str">
        <f t="shared" si="35"/>
        <v>44241</v>
      </c>
      <c r="C831" t="s">
        <v>11</v>
      </c>
      <c r="D831" t="s">
        <v>292</v>
      </c>
      <c r="E831" t="str">
        <f>"006"</f>
        <v>006</v>
      </c>
      <c r="F831">
        <v>2006</v>
      </c>
      <c r="G831" s="5">
        <v>48834500</v>
      </c>
      <c r="H831" s="5">
        <v>3151700</v>
      </c>
      <c r="I831" s="5">
        <v>45682800</v>
      </c>
    </row>
    <row r="832" spans="1:9" x14ac:dyDescent="0.3">
      <c r="A832" t="s">
        <v>285</v>
      </c>
      <c r="B832" t="str">
        <f t="shared" si="35"/>
        <v>44241</v>
      </c>
      <c r="C832" t="s">
        <v>11</v>
      </c>
      <c r="D832" t="s">
        <v>292</v>
      </c>
      <c r="E832" t="str">
        <f>"008"</f>
        <v>008</v>
      </c>
      <c r="F832">
        <v>2013</v>
      </c>
      <c r="G832" s="5">
        <v>8085800</v>
      </c>
      <c r="H832" s="5">
        <v>2571200</v>
      </c>
      <c r="I832" s="5">
        <v>5514600</v>
      </c>
    </row>
    <row r="833" spans="1:12" x14ac:dyDescent="0.3">
      <c r="A833" t="s">
        <v>285</v>
      </c>
      <c r="B833" t="str">
        <f t="shared" si="35"/>
        <v>44241</v>
      </c>
      <c r="C833" t="s">
        <v>11</v>
      </c>
      <c r="D833" t="s">
        <v>292</v>
      </c>
      <c r="E833" t="str">
        <f>"009"</f>
        <v>009</v>
      </c>
      <c r="F833">
        <v>2016</v>
      </c>
      <c r="G833" s="5">
        <v>2520200</v>
      </c>
      <c r="H833" s="5">
        <v>1306600</v>
      </c>
      <c r="I833" s="5">
        <v>1213600</v>
      </c>
    </row>
    <row r="834" spans="1:12" x14ac:dyDescent="0.3">
      <c r="A834" t="s">
        <v>285</v>
      </c>
      <c r="B834" t="str">
        <f t="shared" si="35"/>
        <v>44241</v>
      </c>
      <c r="C834" t="s">
        <v>11</v>
      </c>
      <c r="D834" t="s">
        <v>292</v>
      </c>
      <c r="E834" t="str">
        <f>"010"</f>
        <v>010</v>
      </c>
      <c r="F834">
        <v>2019</v>
      </c>
      <c r="G834" s="5">
        <v>7247000</v>
      </c>
      <c r="H834" s="5">
        <v>6852800</v>
      </c>
      <c r="I834" s="5">
        <v>394200</v>
      </c>
    </row>
    <row r="835" spans="1:12" x14ac:dyDescent="0.3">
      <c r="A835" t="s">
        <v>285</v>
      </c>
      <c r="B835" t="str">
        <f>"44141"</f>
        <v>44141</v>
      </c>
      <c r="C835" t="s">
        <v>12</v>
      </c>
      <c r="D835" t="s">
        <v>293</v>
      </c>
      <c r="E835" t="str">
        <f>"004"</f>
        <v>004</v>
      </c>
      <c r="F835">
        <v>2005</v>
      </c>
      <c r="G835" s="5">
        <v>10934400</v>
      </c>
      <c r="H835" s="5">
        <v>778200</v>
      </c>
      <c r="I835" s="5">
        <v>10156200</v>
      </c>
    </row>
    <row r="836" spans="1:12" x14ac:dyDescent="0.3">
      <c r="A836" t="s">
        <v>285</v>
      </c>
      <c r="B836" t="str">
        <f>"44141"</f>
        <v>44141</v>
      </c>
      <c r="C836" t="s">
        <v>12</v>
      </c>
      <c r="D836" t="s">
        <v>293</v>
      </c>
      <c r="E836" t="str">
        <f>"005"</f>
        <v>005</v>
      </c>
      <c r="F836">
        <v>2008</v>
      </c>
      <c r="G836" s="5">
        <v>47431400</v>
      </c>
      <c r="H836" s="5">
        <v>11345100</v>
      </c>
      <c r="I836" s="5">
        <v>36086300</v>
      </c>
    </row>
    <row r="837" spans="1:12" x14ac:dyDescent="0.3">
      <c r="A837" t="s">
        <v>285</v>
      </c>
      <c r="B837" t="str">
        <f>"44141"</f>
        <v>44141</v>
      </c>
      <c r="C837" t="s">
        <v>12</v>
      </c>
      <c r="D837" t="s">
        <v>293</v>
      </c>
      <c r="E837" t="str">
        <f>"006"</f>
        <v>006</v>
      </c>
      <c r="F837">
        <v>2016</v>
      </c>
      <c r="G837" s="5">
        <v>46099800</v>
      </c>
      <c r="H837" s="5">
        <v>13918500</v>
      </c>
      <c r="I837" s="5">
        <v>32181300</v>
      </c>
    </row>
    <row r="838" spans="1:12" x14ac:dyDescent="0.3">
      <c r="A838" t="s">
        <v>285</v>
      </c>
      <c r="B838" t="str">
        <f>"44146"</f>
        <v>44146</v>
      </c>
      <c r="C838" t="s">
        <v>12</v>
      </c>
      <c r="D838" t="s">
        <v>294</v>
      </c>
      <c r="E838" t="str">
        <f>"004"</f>
        <v>004</v>
      </c>
      <c r="F838">
        <v>2007</v>
      </c>
      <c r="G838" s="5">
        <v>75461700</v>
      </c>
      <c r="H838" s="5">
        <v>3413400</v>
      </c>
      <c r="I838" s="7">
        <v>72048300</v>
      </c>
      <c r="L838" s="6"/>
    </row>
    <row r="839" spans="1:12" x14ac:dyDescent="0.3">
      <c r="A839" t="s">
        <v>285</v>
      </c>
      <c r="B839" t="str">
        <f>"44146"</f>
        <v>44146</v>
      </c>
      <c r="C839" t="s">
        <v>12</v>
      </c>
      <c r="D839" t="s">
        <v>294</v>
      </c>
      <c r="E839" t="str">
        <f>"005"</f>
        <v>005</v>
      </c>
      <c r="F839">
        <v>2013</v>
      </c>
      <c r="G839" s="5">
        <v>32805000</v>
      </c>
      <c r="H839" s="5">
        <v>11735700</v>
      </c>
      <c r="I839" s="5">
        <v>21069300</v>
      </c>
    </row>
    <row r="840" spans="1:12" x14ac:dyDescent="0.3">
      <c r="A840" t="s">
        <v>285</v>
      </c>
      <c r="B840" t="str">
        <f>"44146"</f>
        <v>44146</v>
      </c>
      <c r="C840" t="s">
        <v>12</v>
      </c>
      <c r="D840" t="s">
        <v>294</v>
      </c>
      <c r="E840" t="str">
        <f>"006"</f>
        <v>006</v>
      </c>
      <c r="F840">
        <v>2016</v>
      </c>
      <c r="G840" s="5">
        <v>55906100</v>
      </c>
      <c r="H840" s="5">
        <v>2075700</v>
      </c>
      <c r="I840" s="5">
        <v>53830400</v>
      </c>
    </row>
    <row r="841" spans="1:12" x14ac:dyDescent="0.3">
      <c r="A841" t="s">
        <v>285</v>
      </c>
      <c r="B841" t="str">
        <f>"44146"</f>
        <v>44146</v>
      </c>
      <c r="C841" t="s">
        <v>12</v>
      </c>
      <c r="D841" t="s">
        <v>294</v>
      </c>
      <c r="E841" t="str">
        <f>"007"</f>
        <v>007</v>
      </c>
      <c r="F841">
        <v>2018</v>
      </c>
      <c r="G841" s="5">
        <v>30088300</v>
      </c>
      <c r="H841" s="5">
        <v>3436200</v>
      </c>
      <c r="I841" s="5">
        <v>26652100</v>
      </c>
    </row>
    <row r="842" spans="1:12" x14ac:dyDescent="0.3">
      <c r="A842" t="s">
        <v>285</v>
      </c>
      <c r="B842" t="str">
        <f>"44146"</f>
        <v>44146</v>
      </c>
      <c r="C842" t="s">
        <v>12</v>
      </c>
      <c r="D842" t="s">
        <v>294</v>
      </c>
      <c r="E842" t="str">
        <f>"008"</f>
        <v>008</v>
      </c>
      <c r="F842">
        <v>2018</v>
      </c>
      <c r="G842" s="5">
        <v>8898000</v>
      </c>
      <c r="H842" s="5">
        <v>2624500</v>
      </c>
      <c r="I842" s="5">
        <v>6273500</v>
      </c>
    </row>
    <row r="843" spans="1:12" x14ac:dyDescent="0.3">
      <c r="A843" t="s">
        <v>285</v>
      </c>
      <c r="B843" t="str">
        <f>"44261"</f>
        <v>44261</v>
      </c>
      <c r="C843" t="s">
        <v>11</v>
      </c>
      <c r="D843" t="s">
        <v>295</v>
      </c>
      <c r="E843" t="str">
        <f>"001E"</f>
        <v>001E</v>
      </c>
      <c r="F843">
        <v>2001</v>
      </c>
      <c r="G843" s="5">
        <v>765500</v>
      </c>
      <c r="H843" s="5">
        <v>14100</v>
      </c>
      <c r="I843" s="5">
        <v>751400</v>
      </c>
    </row>
    <row r="844" spans="1:12" x14ac:dyDescent="0.3">
      <c r="A844" t="s">
        <v>285</v>
      </c>
      <c r="B844" t="str">
        <f>"44281"</f>
        <v>44281</v>
      </c>
      <c r="C844" t="s">
        <v>11</v>
      </c>
      <c r="D844" t="s">
        <v>296</v>
      </c>
      <c r="E844" t="str">
        <f>"003"</f>
        <v>003</v>
      </c>
      <c r="F844">
        <v>2001</v>
      </c>
      <c r="G844" s="5">
        <v>25343000</v>
      </c>
      <c r="H844" s="5">
        <v>4829900</v>
      </c>
      <c r="I844" s="5">
        <v>20513100</v>
      </c>
    </row>
    <row r="845" spans="1:12" x14ac:dyDescent="0.3">
      <c r="A845" t="s">
        <v>285</v>
      </c>
      <c r="B845" t="str">
        <f>"44281"</f>
        <v>44281</v>
      </c>
      <c r="C845" t="s">
        <v>11</v>
      </c>
      <c r="D845" t="s">
        <v>296</v>
      </c>
      <c r="E845" t="str">
        <f>"004"</f>
        <v>004</v>
      </c>
      <c r="F845">
        <v>2011</v>
      </c>
      <c r="G845" s="5">
        <v>10154500</v>
      </c>
      <c r="H845" s="5">
        <v>5657100</v>
      </c>
      <c r="I845" s="5">
        <v>4497400</v>
      </c>
    </row>
    <row r="846" spans="1:12" x14ac:dyDescent="0.3">
      <c r="A846" t="s">
        <v>285</v>
      </c>
      <c r="B846" t="str">
        <f>"44191"</f>
        <v>44191</v>
      </c>
      <c r="C846" t="s">
        <v>12</v>
      </c>
      <c r="D846" t="s">
        <v>43</v>
      </c>
      <c r="E846" t="str">
        <f>"003"</f>
        <v>003</v>
      </c>
      <c r="F846">
        <v>2015</v>
      </c>
      <c r="G846" s="5">
        <v>25434200</v>
      </c>
      <c r="H846" s="5">
        <v>1794100</v>
      </c>
      <c r="I846" s="5">
        <v>23640100</v>
      </c>
    </row>
    <row r="847" spans="1:12" x14ac:dyDescent="0.3">
      <c r="A847" t="s">
        <v>285</v>
      </c>
      <c r="B847" t="str">
        <f>"44191"</f>
        <v>44191</v>
      </c>
      <c r="C847" t="s">
        <v>12</v>
      </c>
      <c r="D847" t="s">
        <v>43</v>
      </c>
      <c r="E847" t="str">
        <f>"004"</f>
        <v>004</v>
      </c>
      <c r="F847">
        <v>2016</v>
      </c>
      <c r="G847" s="5">
        <v>804900</v>
      </c>
      <c r="H847" s="5">
        <v>1087500</v>
      </c>
      <c r="I847" s="5">
        <v>-282600</v>
      </c>
    </row>
    <row r="848" spans="1:12" x14ac:dyDescent="0.3">
      <c r="A848" t="s">
        <v>297</v>
      </c>
      <c r="B848" t="str">
        <f>"45106"</f>
        <v>45106</v>
      </c>
      <c r="C848" t="s">
        <v>12</v>
      </c>
      <c r="D848" t="s">
        <v>298</v>
      </c>
      <c r="E848" t="str">
        <f>"004"</f>
        <v>004</v>
      </c>
      <c r="F848">
        <v>1995</v>
      </c>
      <c r="G848" s="5">
        <v>47602700</v>
      </c>
      <c r="H848" s="5">
        <v>424900</v>
      </c>
      <c r="I848" s="5">
        <v>47177800</v>
      </c>
    </row>
    <row r="849" spans="1:9" x14ac:dyDescent="0.3">
      <c r="A849" t="s">
        <v>297</v>
      </c>
      <c r="B849" t="str">
        <f>"45211"</f>
        <v>45211</v>
      </c>
      <c r="C849" t="s">
        <v>11</v>
      </c>
      <c r="D849" t="s">
        <v>299</v>
      </c>
      <c r="E849" t="str">
        <f>"003"</f>
        <v>003</v>
      </c>
      <c r="F849">
        <v>2015</v>
      </c>
      <c r="G849" s="5">
        <v>323600</v>
      </c>
      <c r="H849" s="5">
        <v>282500</v>
      </c>
      <c r="I849" s="5">
        <v>41100</v>
      </c>
    </row>
    <row r="850" spans="1:9" x14ac:dyDescent="0.3">
      <c r="A850" t="s">
        <v>297</v>
      </c>
      <c r="B850" t="str">
        <f>"45211"</f>
        <v>45211</v>
      </c>
      <c r="C850" t="s">
        <v>11</v>
      </c>
      <c r="D850" t="s">
        <v>299</v>
      </c>
      <c r="E850" t="str">
        <f>"004"</f>
        <v>004</v>
      </c>
      <c r="F850">
        <v>2018</v>
      </c>
      <c r="G850" s="5">
        <v>700</v>
      </c>
      <c r="H850" s="5">
        <v>600</v>
      </c>
      <c r="I850" s="5">
        <v>100</v>
      </c>
    </row>
    <row r="851" spans="1:9" x14ac:dyDescent="0.3">
      <c r="A851" t="s">
        <v>297</v>
      </c>
      <c r="B851" t="str">
        <f>"45211"</f>
        <v>45211</v>
      </c>
      <c r="C851" t="s">
        <v>11</v>
      </c>
      <c r="D851" t="s">
        <v>299</v>
      </c>
      <c r="E851" t="str">
        <f>"005"</f>
        <v>005</v>
      </c>
      <c r="F851">
        <v>2018</v>
      </c>
      <c r="G851" s="5">
        <v>13622000</v>
      </c>
      <c r="H851" s="5">
        <v>934200</v>
      </c>
      <c r="I851" s="5">
        <v>12687800</v>
      </c>
    </row>
    <row r="852" spans="1:9" x14ac:dyDescent="0.3">
      <c r="A852" t="s">
        <v>297</v>
      </c>
      <c r="B852" t="str">
        <f>"45131"</f>
        <v>45131</v>
      </c>
      <c r="C852" t="s">
        <v>12</v>
      </c>
      <c r="D852" t="s">
        <v>300</v>
      </c>
      <c r="E852" t="str">
        <f>"003"</f>
        <v>003</v>
      </c>
      <c r="F852">
        <v>1999</v>
      </c>
      <c r="G852" s="5">
        <v>70300300</v>
      </c>
      <c r="H852" s="5">
        <v>21039900</v>
      </c>
      <c r="I852" s="5">
        <v>49260400</v>
      </c>
    </row>
    <row r="853" spans="1:9" x14ac:dyDescent="0.3">
      <c r="A853" t="s">
        <v>297</v>
      </c>
      <c r="B853" t="str">
        <f>"45131"</f>
        <v>45131</v>
      </c>
      <c r="C853" t="s">
        <v>12</v>
      </c>
      <c r="D853" t="s">
        <v>300</v>
      </c>
      <c r="E853" t="str">
        <f>"004"</f>
        <v>004</v>
      </c>
      <c r="F853">
        <v>2004</v>
      </c>
      <c r="G853" s="5">
        <v>86644500</v>
      </c>
      <c r="H853" s="5">
        <v>47847400</v>
      </c>
      <c r="I853" s="5">
        <v>38797100</v>
      </c>
    </row>
    <row r="854" spans="1:9" x14ac:dyDescent="0.3">
      <c r="A854" t="s">
        <v>297</v>
      </c>
      <c r="B854" t="str">
        <f>"45131"</f>
        <v>45131</v>
      </c>
      <c r="C854" t="s">
        <v>12</v>
      </c>
      <c r="D854" t="s">
        <v>300</v>
      </c>
      <c r="E854" t="str">
        <f>"005"</f>
        <v>005</v>
      </c>
      <c r="F854">
        <v>2006</v>
      </c>
      <c r="G854" s="5">
        <v>49871300</v>
      </c>
      <c r="H854" s="5">
        <v>493500</v>
      </c>
      <c r="I854" s="5">
        <v>49377800</v>
      </c>
    </row>
    <row r="855" spans="1:9" x14ac:dyDescent="0.3">
      <c r="A855" t="s">
        <v>297</v>
      </c>
      <c r="B855" t="str">
        <f>"45255"</f>
        <v>45255</v>
      </c>
      <c r="C855" t="s">
        <v>11</v>
      </c>
      <c r="D855" t="s">
        <v>301</v>
      </c>
      <c r="E855" t="str">
        <f>"002"</f>
        <v>002</v>
      </c>
      <c r="F855">
        <v>2002</v>
      </c>
      <c r="G855" s="5">
        <v>24737800</v>
      </c>
      <c r="H855" s="5">
        <v>5911600</v>
      </c>
      <c r="I855" s="5">
        <v>18826200</v>
      </c>
    </row>
    <row r="856" spans="1:9" x14ac:dyDescent="0.3">
      <c r="A856" t="s">
        <v>297</v>
      </c>
      <c r="B856" t="str">
        <f>"45255"</f>
        <v>45255</v>
      </c>
      <c r="C856" t="s">
        <v>11</v>
      </c>
      <c r="D856" t="s">
        <v>301</v>
      </c>
      <c r="E856" t="str">
        <f>"003"</f>
        <v>003</v>
      </c>
      <c r="F856">
        <v>2008</v>
      </c>
      <c r="G856" s="5">
        <v>181452700</v>
      </c>
      <c r="H856" s="5">
        <v>41330300</v>
      </c>
      <c r="I856" s="5">
        <v>140122400</v>
      </c>
    </row>
    <row r="857" spans="1:9" x14ac:dyDescent="0.3">
      <c r="A857" t="s">
        <v>297</v>
      </c>
      <c r="B857" t="str">
        <f>"45255"</f>
        <v>45255</v>
      </c>
      <c r="C857" t="s">
        <v>11</v>
      </c>
      <c r="D857" t="s">
        <v>301</v>
      </c>
      <c r="E857" t="str">
        <f>"004"</f>
        <v>004</v>
      </c>
      <c r="F857">
        <v>2012</v>
      </c>
      <c r="G857" s="5">
        <v>51931400</v>
      </c>
      <c r="H857" s="5">
        <v>41872200</v>
      </c>
      <c r="I857" s="5">
        <v>10059200</v>
      </c>
    </row>
    <row r="858" spans="1:9" x14ac:dyDescent="0.3">
      <c r="A858" t="s">
        <v>297</v>
      </c>
      <c r="B858" t="str">
        <f>"45255"</f>
        <v>45255</v>
      </c>
      <c r="C858" t="s">
        <v>11</v>
      </c>
      <c r="D858" t="s">
        <v>301</v>
      </c>
      <c r="E858" t="str">
        <f>"005"</f>
        <v>005</v>
      </c>
      <c r="F858">
        <v>2012</v>
      </c>
      <c r="G858" s="5">
        <v>64629200</v>
      </c>
      <c r="H858" s="5">
        <v>51186900</v>
      </c>
      <c r="I858" s="5">
        <v>13442300</v>
      </c>
    </row>
    <row r="859" spans="1:9" x14ac:dyDescent="0.3">
      <c r="A859" t="s">
        <v>297</v>
      </c>
      <c r="B859" t="str">
        <f>"45271"</f>
        <v>45271</v>
      </c>
      <c r="C859" t="s">
        <v>11</v>
      </c>
      <c r="D859" t="s">
        <v>302</v>
      </c>
      <c r="E859" t="str">
        <f>"002"</f>
        <v>002</v>
      </c>
      <c r="F859">
        <v>2010</v>
      </c>
      <c r="G859" s="5">
        <v>32665200</v>
      </c>
      <c r="H859" s="5">
        <v>14787800</v>
      </c>
      <c r="I859" s="5">
        <v>17877400</v>
      </c>
    </row>
    <row r="860" spans="1:9" x14ac:dyDescent="0.3">
      <c r="A860" t="s">
        <v>297</v>
      </c>
      <c r="B860" t="str">
        <f>"45271"</f>
        <v>45271</v>
      </c>
      <c r="C860" t="s">
        <v>11</v>
      </c>
      <c r="D860" t="s">
        <v>302</v>
      </c>
      <c r="E860" t="str">
        <f>"003"</f>
        <v>003</v>
      </c>
      <c r="F860">
        <v>2015</v>
      </c>
      <c r="G860" s="5">
        <v>11320000</v>
      </c>
      <c r="H860" s="5">
        <v>8872700</v>
      </c>
      <c r="I860" s="5">
        <v>2447300</v>
      </c>
    </row>
    <row r="861" spans="1:9" x14ac:dyDescent="0.3">
      <c r="A861" t="s">
        <v>297</v>
      </c>
      <c r="B861" t="str">
        <f>"45181"</f>
        <v>45181</v>
      </c>
      <c r="C861" t="s">
        <v>12</v>
      </c>
      <c r="D861" t="s">
        <v>303</v>
      </c>
      <c r="E861" t="str">
        <f>"004"</f>
        <v>004</v>
      </c>
      <c r="F861">
        <v>2006</v>
      </c>
      <c r="G861" s="5">
        <v>9121600</v>
      </c>
      <c r="H861" s="5">
        <v>1600100</v>
      </c>
      <c r="I861" s="5">
        <v>7521500</v>
      </c>
    </row>
    <row r="862" spans="1:9" x14ac:dyDescent="0.3">
      <c r="A862" t="s">
        <v>304</v>
      </c>
      <c r="B862" t="str">
        <f>"46216"</f>
        <v>46216</v>
      </c>
      <c r="C862" t="s">
        <v>11</v>
      </c>
      <c r="D862" t="s">
        <v>305</v>
      </c>
      <c r="E862" t="str">
        <f>"003"</f>
        <v>003</v>
      </c>
      <c r="F862">
        <v>2007</v>
      </c>
      <c r="G862" s="5">
        <v>13553300</v>
      </c>
      <c r="H862" s="5">
        <v>10391700</v>
      </c>
      <c r="I862" s="5">
        <v>3161600</v>
      </c>
    </row>
    <row r="863" spans="1:9" x14ac:dyDescent="0.3">
      <c r="A863" t="s">
        <v>304</v>
      </c>
      <c r="B863" t="str">
        <f>"46171"</f>
        <v>46171</v>
      </c>
      <c r="C863" t="s">
        <v>12</v>
      </c>
      <c r="D863" t="s">
        <v>304</v>
      </c>
      <c r="E863" t="str">
        <f>"003"</f>
        <v>003</v>
      </c>
      <c r="F863">
        <v>2011</v>
      </c>
      <c r="G863" s="5">
        <v>11908300</v>
      </c>
      <c r="H863" s="5">
        <v>4820700</v>
      </c>
      <c r="I863" s="5">
        <v>7087600</v>
      </c>
    </row>
    <row r="864" spans="1:9" x14ac:dyDescent="0.3">
      <c r="A864" t="s">
        <v>306</v>
      </c>
      <c r="B864" t="str">
        <f t="shared" ref="B864:B869" si="36">"47121"</f>
        <v>47121</v>
      </c>
      <c r="C864" t="s">
        <v>12</v>
      </c>
      <c r="D864" t="s">
        <v>307</v>
      </c>
      <c r="E864" t="str">
        <f>"004"</f>
        <v>004</v>
      </c>
      <c r="F864">
        <v>1996</v>
      </c>
      <c r="G864" s="5">
        <v>728200</v>
      </c>
      <c r="H864" s="5">
        <v>54600</v>
      </c>
      <c r="I864" s="5">
        <v>673600</v>
      </c>
    </row>
    <row r="865" spans="1:9" x14ac:dyDescent="0.3">
      <c r="A865" t="s">
        <v>306</v>
      </c>
      <c r="B865" t="str">
        <f t="shared" si="36"/>
        <v>47121</v>
      </c>
      <c r="C865" t="s">
        <v>12</v>
      </c>
      <c r="D865" t="s">
        <v>307</v>
      </c>
      <c r="E865" t="str">
        <f>"007"</f>
        <v>007</v>
      </c>
      <c r="F865">
        <v>2006</v>
      </c>
      <c r="G865" s="5">
        <v>8446600</v>
      </c>
      <c r="H865" s="5">
        <v>223300</v>
      </c>
      <c r="I865" s="5">
        <v>8223300</v>
      </c>
    </row>
    <row r="866" spans="1:9" x14ac:dyDescent="0.3">
      <c r="A866" t="s">
        <v>306</v>
      </c>
      <c r="B866" t="str">
        <f t="shared" si="36"/>
        <v>47121</v>
      </c>
      <c r="C866" t="s">
        <v>12</v>
      </c>
      <c r="D866" t="s">
        <v>307</v>
      </c>
      <c r="E866" t="str">
        <f>"008"</f>
        <v>008</v>
      </c>
      <c r="F866">
        <v>2010</v>
      </c>
      <c r="G866" s="5">
        <v>7887200</v>
      </c>
      <c r="H866" s="5">
        <v>3773700</v>
      </c>
      <c r="I866" s="5">
        <v>4113500</v>
      </c>
    </row>
    <row r="867" spans="1:9" x14ac:dyDescent="0.3">
      <c r="A867" t="s">
        <v>306</v>
      </c>
      <c r="B867" t="str">
        <f t="shared" si="36"/>
        <v>47121</v>
      </c>
      <c r="C867" t="s">
        <v>12</v>
      </c>
      <c r="D867" t="s">
        <v>307</v>
      </c>
      <c r="E867" t="str">
        <f>"009"</f>
        <v>009</v>
      </c>
      <c r="F867">
        <v>2011</v>
      </c>
      <c r="G867" s="5">
        <v>3683400</v>
      </c>
      <c r="H867" s="5">
        <v>510400</v>
      </c>
      <c r="I867" s="5">
        <v>3173000</v>
      </c>
    </row>
    <row r="868" spans="1:9" x14ac:dyDescent="0.3">
      <c r="A868" t="s">
        <v>306</v>
      </c>
      <c r="B868" t="str">
        <f t="shared" si="36"/>
        <v>47121</v>
      </c>
      <c r="C868" t="s">
        <v>12</v>
      </c>
      <c r="D868" t="s">
        <v>307</v>
      </c>
      <c r="E868" t="str">
        <f>"010"</f>
        <v>010</v>
      </c>
      <c r="F868">
        <v>2012</v>
      </c>
      <c r="G868" s="5">
        <v>1707800</v>
      </c>
      <c r="H868" s="5">
        <v>827300</v>
      </c>
      <c r="I868" s="5">
        <v>880500</v>
      </c>
    </row>
    <row r="869" spans="1:9" x14ac:dyDescent="0.3">
      <c r="A869" t="s">
        <v>306</v>
      </c>
      <c r="B869" t="str">
        <f t="shared" si="36"/>
        <v>47121</v>
      </c>
      <c r="C869" t="s">
        <v>12</v>
      </c>
      <c r="D869" t="s">
        <v>307</v>
      </c>
      <c r="E869" t="str">
        <f>"011"</f>
        <v>011</v>
      </c>
      <c r="F869">
        <v>2013</v>
      </c>
      <c r="G869" s="5">
        <v>1619000</v>
      </c>
      <c r="H869" s="5">
        <v>1308200</v>
      </c>
      <c r="I869" s="5">
        <v>310800</v>
      </c>
    </row>
    <row r="870" spans="1:9" x14ac:dyDescent="0.3">
      <c r="A870" t="s">
        <v>306</v>
      </c>
      <c r="B870" t="str">
        <f>"47122"</f>
        <v>47122</v>
      </c>
      <c r="C870" t="s">
        <v>12</v>
      </c>
      <c r="D870" t="s">
        <v>308</v>
      </c>
      <c r="E870" t="str">
        <f>"003"</f>
        <v>003</v>
      </c>
      <c r="F870">
        <v>2002</v>
      </c>
      <c r="G870" s="5">
        <v>2341300</v>
      </c>
      <c r="H870" s="5">
        <v>752300</v>
      </c>
      <c r="I870" s="5">
        <v>1589000</v>
      </c>
    </row>
    <row r="871" spans="1:9" x14ac:dyDescent="0.3">
      <c r="A871" t="s">
        <v>306</v>
      </c>
      <c r="B871" t="str">
        <f>"47122"</f>
        <v>47122</v>
      </c>
      <c r="C871" t="s">
        <v>12</v>
      </c>
      <c r="D871" t="s">
        <v>308</v>
      </c>
      <c r="E871" t="str">
        <f>"004"</f>
        <v>004</v>
      </c>
      <c r="F871">
        <v>2009</v>
      </c>
      <c r="G871" s="5">
        <v>3980600</v>
      </c>
      <c r="H871" s="5">
        <v>3547400</v>
      </c>
      <c r="I871" s="5">
        <v>433200</v>
      </c>
    </row>
    <row r="872" spans="1:9" x14ac:dyDescent="0.3">
      <c r="A872" t="s">
        <v>306</v>
      </c>
      <c r="B872" t="str">
        <f>"47122"</f>
        <v>47122</v>
      </c>
      <c r="C872" t="s">
        <v>12</v>
      </c>
      <c r="D872" t="s">
        <v>308</v>
      </c>
      <c r="E872" t="str">
        <f>"005"</f>
        <v>005</v>
      </c>
      <c r="F872">
        <v>2007</v>
      </c>
      <c r="G872" s="5">
        <v>1956800</v>
      </c>
      <c r="H872" s="5">
        <v>373300</v>
      </c>
      <c r="I872" s="5">
        <v>1583500</v>
      </c>
    </row>
    <row r="873" spans="1:9" x14ac:dyDescent="0.3">
      <c r="A873" t="s">
        <v>306</v>
      </c>
      <c r="B873" t="str">
        <f>"47271"</f>
        <v>47271</v>
      </c>
      <c r="C873" t="s">
        <v>11</v>
      </c>
      <c r="D873" t="s">
        <v>309</v>
      </c>
      <c r="E873" t="str">
        <f>"003"</f>
        <v>003</v>
      </c>
      <c r="F873">
        <v>2000</v>
      </c>
      <c r="G873" s="5">
        <v>16371400</v>
      </c>
      <c r="H873" s="5">
        <v>3044400</v>
      </c>
      <c r="I873" s="5">
        <v>13327000</v>
      </c>
    </row>
    <row r="874" spans="1:9" x14ac:dyDescent="0.3">
      <c r="A874" t="s">
        <v>306</v>
      </c>
      <c r="B874" t="str">
        <f>"47271"</f>
        <v>47271</v>
      </c>
      <c r="C874" t="s">
        <v>11</v>
      </c>
      <c r="D874" t="s">
        <v>309</v>
      </c>
      <c r="E874" t="str">
        <f>"004"</f>
        <v>004</v>
      </c>
      <c r="F874">
        <v>2003</v>
      </c>
      <c r="G874" s="5">
        <v>26945800</v>
      </c>
      <c r="H874" s="5">
        <v>9581300</v>
      </c>
      <c r="I874" s="5">
        <v>17364500</v>
      </c>
    </row>
    <row r="875" spans="1:9" x14ac:dyDescent="0.3">
      <c r="A875" t="s">
        <v>306</v>
      </c>
      <c r="B875" t="str">
        <f>"47271"</f>
        <v>47271</v>
      </c>
      <c r="C875" t="s">
        <v>11</v>
      </c>
      <c r="D875" t="s">
        <v>309</v>
      </c>
      <c r="E875" t="str">
        <f>"005"</f>
        <v>005</v>
      </c>
      <c r="F875">
        <v>2006</v>
      </c>
      <c r="G875" s="5">
        <v>44676000</v>
      </c>
      <c r="H875" s="5">
        <v>2725800</v>
      </c>
      <c r="I875" s="5">
        <v>41950200</v>
      </c>
    </row>
    <row r="876" spans="1:9" x14ac:dyDescent="0.3">
      <c r="A876" t="s">
        <v>306</v>
      </c>
      <c r="B876" t="str">
        <f>"47276"</f>
        <v>47276</v>
      </c>
      <c r="C876" t="s">
        <v>11</v>
      </c>
      <c r="D876" t="s">
        <v>310</v>
      </c>
      <c r="E876" t="str">
        <f>"006"</f>
        <v>006</v>
      </c>
      <c r="F876">
        <v>2005</v>
      </c>
      <c r="G876" s="5">
        <v>10680800</v>
      </c>
      <c r="H876" s="5">
        <v>974600</v>
      </c>
      <c r="I876" s="5">
        <v>9706200</v>
      </c>
    </row>
    <row r="877" spans="1:9" x14ac:dyDescent="0.3">
      <c r="A877" t="s">
        <v>306</v>
      </c>
      <c r="B877" t="str">
        <f>"47276"</f>
        <v>47276</v>
      </c>
      <c r="C877" t="s">
        <v>11</v>
      </c>
      <c r="D877" t="s">
        <v>310</v>
      </c>
      <c r="E877" t="str">
        <f>"008"</f>
        <v>008</v>
      </c>
      <c r="F877">
        <v>2010</v>
      </c>
      <c r="G877" s="5">
        <v>5171900</v>
      </c>
      <c r="H877" s="5">
        <v>1326500</v>
      </c>
      <c r="I877" s="5">
        <v>3845400</v>
      </c>
    </row>
    <row r="878" spans="1:9" x14ac:dyDescent="0.3">
      <c r="A878" t="s">
        <v>306</v>
      </c>
      <c r="B878" t="str">
        <f>"47276"</f>
        <v>47276</v>
      </c>
      <c r="C878" t="s">
        <v>11</v>
      </c>
      <c r="D878" t="s">
        <v>310</v>
      </c>
      <c r="E878" t="str">
        <f>"009"</f>
        <v>009</v>
      </c>
      <c r="F878">
        <v>2012</v>
      </c>
      <c r="G878" s="5">
        <v>8690000</v>
      </c>
      <c r="H878" s="5">
        <v>4712300</v>
      </c>
      <c r="I878" s="5">
        <v>3977700</v>
      </c>
    </row>
    <row r="879" spans="1:9" x14ac:dyDescent="0.3">
      <c r="A879" t="s">
        <v>306</v>
      </c>
      <c r="B879" t="str">
        <f>"47276"</f>
        <v>47276</v>
      </c>
      <c r="C879" t="s">
        <v>11</v>
      </c>
      <c r="D879" t="s">
        <v>310</v>
      </c>
      <c r="E879" t="str">
        <f>"014"</f>
        <v>014</v>
      </c>
      <c r="F879">
        <v>2018</v>
      </c>
      <c r="G879" s="5">
        <v>1674100</v>
      </c>
      <c r="H879" s="5">
        <v>73100</v>
      </c>
      <c r="I879" s="5">
        <v>1601000</v>
      </c>
    </row>
    <row r="880" spans="1:9" x14ac:dyDescent="0.3">
      <c r="A880" t="s">
        <v>306</v>
      </c>
      <c r="B880" t="str">
        <f>"47181"</f>
        <v>47181</v>
      </c>
      <c r="C880" t="s">
        <v>12</v>
      </c>
      <c r="D880" t="s">
        <v>311</v>
      </c>
      <c r="E880" t="str">
        <f>"002"</f>
        <v>002</v>
      </c>
      <c r="F880">
        <v>1995</v>
      </c>
      <c r="G880" s="5">
        <v>7968400</v>
      </c>
      <c r="H880" s="5">
        <v>83300</v>
      </c>
      <c r="I880" s="5">
        <v>7885100</v>
      </c>
    </row>
    <row r="881" spans="1:9" x14ac:dyDescent="0.3">
      <c r="A881" t="s">
        <v>306</v>
      </c>
      <c r="B881" t="str">
        <f>"47181"</f>
        <v>47181</v>
      </c>
      <c r="C881" t="s">
        <v>12</v>
      </c>
      <c r="D881" t="s">
        <v>311</v>
      </c>
      <c r="E881" t="str">
        <f>"003"</f>
        <v>003</v>
      </c>
      <c r="F881">
        <v>2007</v>
      </c>
      <c r="G881" s="5">
        <v>3516000</v>
      </c>
      <c r="H881" s="5">
        <v>2502700</v>
      </c>
      <c r="I881" s="5">
        <v>1013300</v>
      </c>
    </row>
    <row r="882" spans="1:9" x14ac:dyDescent="0.3">
      <c r="A882" t="s">
        <v>312</v>
      </c>
      <c r="B882" t="str">
        <f>"48201"</f>
        <v>48201</v>
      </c>
      <c r="C882" t="s">
        <v>11</v>
      </c>
      <c r="D882" t="s">
        <v>313</v>
      </c>
      <c r="E882" t="str">
        <f>"006"</f>
        <v>006</v>
      </c>
      <c r="F882">
        <v>2004</v>
      </c>
      <c r="G882" s="5">
        <v>26588200</v>
      </c>
      <c r="H882" s="5">
        <v>14440900</v>
      </c>
      <c r="I882" s="5">
        <v>12147300</v>
      </c>
    </row>
    <row r="883" spans="1:9" x14ac:dyDescent="0.3">
      <c r="A883" t="s">
        <v>312</v>
      </c>
      <c r="B883" t="str">
        <f>"48201"</f>
        <v>48201</v>
      </c>
      <c r="C883" t="s">
        <v>11</v>
      </c>
      <c r="D883" t="s">
        <v>313</v>
      </c>
      <c r="E883" t="str">
        <f>"007"</f>
        <v>007</v>
      </c>
      <c r="F883">
        <v>2010</v>
      </c>
      <c r="G883" s="5">
        <v>5795500</v>
      </c>
      <c r="H883" s="5">
        <v>3318500</v>
      </c>
      <c r="I883" s="5">
        <v>2477000</v>
      </c>
    </row>
    <row r="884" spans="1:9" x14ac:dyDescent="0.3">
      <c r="A884" t="s">
        <v>312</v>
      </c>
      <c r="B884" t="str">
        <f>"48201"</f>
        <v>48201</v>
      </c>
      <c r="C884" t="s">
        <v>11</v>
      </c>
      <c r="D884" t="s">
        <v>313</v>
      </c>
      <c r="E884" t="str">
        <f>"008"</f>
        <v>008</v>
      </c>
      <c r="F884">
        <v>2016</v>
      </c>
      <c r="G884" s="5">
        <v>12721900</v>
      </c>
      <c r="H884" s="5">
        <v>11186200</v>
      </c>
      <c r="I884" s="5">
        <v>1535700</v>
      </c>
    </row>
    <row r="885" spans="1:9" x14ac:dyDescent="0.3">
      <c r="A885" t="s">
        <v>312</v>
      </c>
      <c r="B885" t="str">
        <f>"48201"</f>
        <v>48201</v>
      </c>
      <c r="C885" t="s">
        <v>11</v>
      </c>
      <c r="D885" t="s">
        <v>313</v>
      </c>
      <c r="E885" t="str">
        <f>"009"</f>
        <v>009</v>
      </c>
      <c r="F885">
        <v>2019</v>
      </c>
      <c r="G885" s="5">
        <v>29871400</v>
      </c>
      <c r="H885" s="5">
        <v>28362900</v>
      </c>
      <c r="I885" s="5">
        <v>1508500</v>
      </c>
    </row>
    <row r="886" spans="1:9" x14ac:dyDescent="0.3">
      <c r="A886" t="s">
        <v>312</v>
      </c>
      <c r="B886" t="str">
        <f>"48106"</f>
        <v>48106</v>
      </c>
      <c r="C886" t="s">
        <v>12</v>
      </c>
      <c r="D886" t="s">
        <v>314</v>
      </c>
      <c r="E886" t="str">
        <f>"002"</f>
        <v>002</v>
      </c>
      <c r="F886">
        <v>1995</v>
      </c>
      <c r="G886" s="5">
        <v>3238200</v>
      </c>
      <c r="H886" s="5">
        <v>11800</v>
      </c>
      <c r="I886" s="5">
        <v>3226400</v>
      </c>
    </row>
    <row r="887" spans="1:9" x14ac:dyDescent="0.3">
      <c r="A887" t="s">
        <v>312</v>
      </c>
      <c r="B887" t="str">
        <f>"48106"</f>
        <v>48106</v>
      </c>
      <c r="C887" t="s">
        <v>12</v>
      </c>
      <c r="D887" t="s">
        <v>314</v>
      </c>
      <c r="E887" t="str">
        <f>"003"</f>
        <v>003</v>
      </c>
      <c r="F887">
        <v>2004</v>
      </c>
      <c r="G887" s="5">
        <v>0</v>
      </c>
      <c r="H887" s="5">
        <v>22300</v>
      </c>
      <c r="I887" s="5">
        <v>-22300</v>
      </c>
    </row>
    <row r="888" spans="1:9" x14ac:dyDescent="0.3">
      <c r="A888" t="s">
        <v>312</v>
      </c>
      <c r="B888" t="str">
        <f>"48106"</f>
        <v>48106</v>
      </c>
      <c r="C888" t="s">
        <v>12</v>
      </c>
      <c r="D888" t="s">
        <v>314</v>
      </c>
      <c r="E888" t="str">
        <f>"005"</f>
        <v>005</v>
      </c>
      <c r="F888">
        <v>2006</v>
      </c>
      <c r="G888" s="5">
        <v>8749900</v>
      </c>
      <c r="H888" s="5">
        <v>7735100</v>
      </c>
      <c r="I888" s="5">
        <v>1014800</v>
      </c>
    </row>
    <row r="889" spans="1:9" x14ac:dyDescent="0.3">
      <c r="A889" t="s">
        <v>312</v>
      </c>
      <c r="B889" t="str">
        <f>"48106"</f>
        <v>48106</v>
      </c>
      <c r="C889" t="s">
        <v>12</v>
      </c>
      <c r="D889" t="s">
        <v>314</v>
      </c>
      <c r="E889" t="str">
        <f>"006"</f>
        <v>006</v>
      </c>
      <c r="F889">
        <v>2013</v>
      </c>
      <c r="G889" s="5">
        <v>9629700</v>
      </c>
      <c r="H889" s="5">
        <v>7793600</v>
      </c>
      <c r="I889" s="5">
        <v>1836100</v>
      </c>
    </row>
    <row r="890" spans="1:9" x14ac:dyDescent="0.3">
      <c r="A890" t="s">
        <v>312</v>
      </c>
      <c r="B890" t="str">
        <f>"48111"</f>
        <v>48111</v>
      </c>
      <c r="C890" t="s">
        <v>12</v>
      </c>
      <c r="D890" t="s">
        <v>315</v>
      </c>
      <c r="E890" t="str">
        <f>"001"</f>
        <v>001</v>
      </c>
      <c r="F890">
        <v>1999</v>
      </c>
      <c r="G890" s="5">
        <v>8585000</v>
      </c>
      <c r="H890" s="5">
        <v>4683000</v>
      </c>
      <c r="I890" s="5">
        <v>3902000</v>
      </c>
    </row>
    <row r="891" spans="1:9" x14ac:dyDescent="0.3">
      <c r="A891" t="s">
        <v>312</v>
      </c>
      <c r="B891" t="str">
        <f>"48112"</f>
        <v>48112</v>
      </c>
      <c r="C891" t="s">
        <v>12</v>
      </c>
      <c r="D891" t="s">
        <v>316</v>
      </c>
      <c r="E891" t="str">
        <f>"002"</f>
        <v>002</v>
      </c>
      <c r="F891">
        <v>1999</v>
      </c>
      <c r="G891" s="5">
        <v>1292000</v>
      </c>
      <c r="H891" s="5">
        <v>68000</v>
      </c>
      <c r="I891" s="5">
        <v>1224000</v>
      </c>
    </row>
    <row r="892" spans="1:9" x14ac:dyDescent="0.3">
      <c r="A892" t="s">
        <v>312</v>
      </c>
      <c r="B892" t="str">
        <f>"48113"</f>
        <v>48113</v>
      </c>
      <c r="C892" t="s">
        <v>12</v>
      </c>
      <c r="D892" t="s">
        <v>317</v>
      </c>
      <c r="E892" t="str">
        <f>"002"</f>
        <v>002</v>
      </c>
      <c r="F892">
        <v>2000</v>
      </c>
      <c r="G892" s="5">
        <v>3553100</v>
      </c>
      <c r="H892" s="5">
        <v>431100</v>
      </c>
      <c r="I892" s="5">
        <v>3122000</v>
      </c>
    </row>
    <row r="893" spans="1:9" x14ac:dyDescent="0.3">
      <c r="A893" t="s">
        <v>312</v>
      </c>
      <c r="B893" t="str">
        <f>"48113"</f>
        <v>48113</v>
      </c>
      <c r="C893" t="s">
        <v>12</v>
      </c>
      <c r="D893" t="s">
        <v>317</v>
      </c>
      <c r="E893" t="str">
        <f>"003"</f>
        <v>003</v>
      </c>
      <c r="F893">
        <v>2003</v>
      </c>
      <c r="G893" s="5">
        <v>12334800</v>
      </c>
      <c r="H893" s="5">
        <v>2113600</v>
      </c>
      <c r="I893" s="5">
        <v>10221200</v>
      </c>
    </row>
    <row r="894" spans="1:9" x14ac:dyDescent="0.3">
      <c r="A894" t="s">
        <v>312</v>
      </c>
      <c r="B894" t="str">
        <f>"48126"</f>
        <v>48126</v>
      </c>
      <c r="C894" t="s">
        <v>12</v>
      </c>
      <c r="D894" t="s">
        <v>318</v>
      </c>
      <c r="E894" t="str">
        <f>"003"</f>
        <v>003</v>
      </c>
      <c r="F894">
        <v>2007</v>
      </c>
      <c r="G894" s="5">
        <v>2650700</v>
      </c>
      <c r="H894" s="5">
        <v>1755300</v>
      </c>
      <c r="I894" s="5">
        <v>895400</v>
      </c>
    </row>
    <row r="895" spans="1:9" x14ac:dyDescent="0.3">
      <c r="A895" t="s">
        <v>312</v>
      </c>
      <c r="B895" t="str">
        <f>"48146"</f>
        <v>48146</v>
      </c>
      <c r="C895" t="s">
        <v>12</v>
      </c>
      <c r="D895" t="s">
        <v>319</v>
      </c>
      <c r="E895" t="str">
        <f>"002"</f>
        <v>002</v>
      </c>
      <c r="F895">
        <v>2002</v>
      </c>
      <c r="G895" s="5">
        <v>8538400</v>
      </c>
      <c r="H895" s="5">
        <v>5509600</v>
      </c>
      <c r="I895" s="5">
        <v>3028800</v>
      </c>
    </row>
    <row r="896" spans="1:9" x14ac:dyDescent="0.3">
      <c r="A896" t="s">
        <v>312</v>
      </c>
      <c r="B896" t="str">
        <f>"48146"</f>
        <v>48146</v>
      </c>
      <c r="C896" t="s">
        <v>12</v>
      </c>
      <c r="D896" t="s">
        <v>319</v>
      </c>
      <c r="E896" t="str">
        <f>"003"</f>
        <v>003</v>
      </c>
      <c r="F896">
        <v>2005</v>
      </c>
      <c r="G896" s="5">
        <v>4481400</v>
      </c>
      <c r="H896" s="5">
        <v>3522400</v>
      </c>
      <c r="I896" s="5">
        <v>959000</v>
      </c>
    </row>
    <row r="897" spans="1:9" x14ac:dyDescent="0.3">
      <c r="A897" t="s">
        <v>312</v>
      </c>
      <c r="B897" t="str">
        <f>"48146"</f>
        <v>48146</v>
      </c>
      <c r="C897" t="s">
        <v>12</v>
      </c>
      <c r="D897" t="s">
        <v>319</v>
      </c>
      <c r="E897" t="str">
        <f>"004"</f>
        <v>004</v>
      </c>
      <c r="F897">
        <v>2018</v>
      </c>
      <c r="G897" s="5">
        <v>9213600</v>
      </c>
      <c r="H897" s="5">
        <v>7693200</v>
      </c>
      <c r="I897" s="5">
        <v>1520400</v>
      </c>
    </row>
    <row r="898" spans="1:9" x14ac:dyDescent="0.3">
      <c r="A898" t="s">
        <v>312</v>
      </c>
      <c r="B898" t="str">
        <f>"48151"</f>
        <v>48151</v>
      </c>
      <c r="C898" t="s">
        <v>12</v>
      </c>
      <c r="D898" t="s">
        <v>320</v>
      </c>
      <c r="E898" t="str">
        <f>"002"</f>
        <v>002</v>
      </c>
      <c r="F898">
        <v>1994</v>
      </c>
      <c r="G898" s="5">
        <v>4962300</v>
      </c>
      <c r="H898" s="5">
        <v>22700</v>
      </c>
      <c r="I898" s="5">
        <v>4939600</v>
      </c>
    </row>
    <row r="899" spans="1:9" x14ac:dyDescent="0.3">
      <c r="A899" t="s">
        <v>312</v>
      </c>
      <c r="B899" t="str">
        <f>"48151"</f>
        <v>48151</v>
      </c>
      <c r="C899" t="s">
        <v>12</v>
      </c>
      <c r="D899" t="s">
        <v>320</v>
      </c>
      <c r="E899" t="str">
        <f>"003"</f>
        <v>003</v>
      </c>
      <c r="F899">
        <v>2004</v>
      </c>
      <c r="G899" s="5">
        <v>847800</v>
      </c>
      <c r="H899" s="5">
        <v>583200</v>
      </c>
      <c r="I899" s="5">
        <v>264600</v>
      </c>
    </row>
    <row r="900" spans="1:9" x14ac:dyDescent="0.3">
      <c r="A900" t="s">
        <v>312</v>
      </c>
      <c r="B900" t="str">
        <f>"48151"</f>
        <v>48151</v>
      </c>
      <c r="C900" t="s">
        <v>12</v>
      </c>
      <c r="D900" t="s">
        <v>320</v>
      </c>
      <c r="E900" t="str">
        <f>"004"</f>
        <v>004</v>
      </c>
      <c r="F900">
        <v>2012</v>
      </c>
      <c r="G900" s="5">
        <v>1680000</v>
      </c>
      <c r="H900" s="5">
        <v>1027700</v>
      </c>
      <c r="I900" s="5">
        <v>652300</v>
      </c>
    </row>
    <row r="901" spans="1:9" x14ac:dyDescent="0.3">
      <c r="A901" t="s">
        <v>312</v>
      </c>
      <c r="B901" t="str">
        <f>"48165"</f>
        <v>48165</v>
      </c>
      <c r="C901" t="s">
        <v>12</v>
      </c>
      <c r="D901" t="s">
        <v>321</v>
      </c>
      <c r="E901" t="str">
        <f>"002"</f>
        <v>002</v>
      </c>
      <c r="F901">
        <v>1992</v>
      </c>
      <c r="G901" s="5">
        <v>26939400</v>
      </c>
      <c r="H901" s="5">
        <v>3751800</v>
      </c>
      <c r="I901" s="5">
        <v>23187600</v>
      </c>
    </row>
    <row r="902" spans="1:9" x14ac:dyDescent="0.3">
      <c r="A902" t="s">
        <v>312</v>
      </c>
      <c r="B902" t="str">
        <f>"48168"</f>
        <v>48168</v>
      </c>
      <c r="C902" t="s">
        <v>12</v>
      </c>
      <c r="D902" t="s">
        <v>27</v>
      </c>
      <c r="E902" t="str">
        <f>"003"</f>
        <v>003</v>
      </c>
      <c r="F902">
        <v>2009</v>
      </c>
      <c r="G902" s="5">
        <v>17635700</v>
      </c>
      <c r="H902" s="5">
        <v>4222500</v>
      </c>
      <c r="I902" s="5">
        <v>13413200</v>
      </c>
    </row>
    <row r="903" spans="1:9" x14ac:dyDescent="0.3">
      <c r="A903" t="s">
        <v>87</v>
      </c>
      <c r="B903" t="str">
        <f>"49102"</f>
        <v>49102</v>
      </c>
      <c r="C903" t="s">
        <v>12</v>
      </c>
      <c r="D903" t="s">
        <v>322</v>
      </c>
      <c r="E903" t="str">
        <f>"002"</f>
        <v>002</v>
      </c>
      <c r="F903">
        <v>2003</v>
      </c>
      <c r="G903" s="5">
        <v>936400</v>
      </c>
      <c r="H903" s="5">
        <v>17200</v>
      </c>
      <c r="I903" s="5">
        <v>919200</v>
      </c>
    </row>
    <row r="904" spans="1:9" x14ac:dyDescent="0.3">
      <c r="A904" t="s">
        <v>87</v>
      </c>
      <c r="B904" t="str">
        <f>"49141"</f>
        <v>49141</v>
      </c>
      <c r="C904" t="s">
        <v>12</v>
      </c>
      <c r="D904" t="s">
        <v>323</v>
      </c>
      <c r="E904" t="str">
        <f>"001"</f>
        <v>001</v>
      </c>
      <c r="F904">
        <v>2008</v>
      </c>
      <c r="G904" s="5">
        <v>2322700</v>
      </c>
      <c r="H904" s="5">
        <v>1267700</v>
      </c>
      <c r="I904" s="5">
        <v>1055000</v>
      </c>
    </row>
    <row r="905" spans="1:9" x14ac:dyDescent="0.3">
      <c r="A905" t="s">
        <v>87</v>
      </c>
      <c r="B905" t="str">
        <f>"49141"</f>
        <v>49141</v>
      </c>
      <c r="C905" t="s">
        <v>12</v>
      </c>
      <c r="D905" t="s">
        <v>323</v>
      </c>
      <c r="E905" t="str">
        <f>"002"</f>
        <v>002</v>
      </c>
      <c r="F905">
        <v>2019</v>
      </c>
      <c r="G905" s="5">
        <v>2188400</v>
      </c>
      <c r="H905" s="5">
        <v>1883200</v>
      </c>
      <c r="I905" s="5">
        <v>305200</v>
      </c>
    </row>
    <row r="906" spans="1:9" x14ac:dyDescent="0.3">
      <c r="A906" t="s">
        <v>87</v>
      </c>
      <c r="B906" t="str">
        <f>"49173"</f>
        <v>49173</v>
      </c>
      <c r="C906" t="s">
        <v>12</v>
      </c>
      <c r="D906" t="s">
        <v>324</v>
      </c>
      <c r="E906" t="str">
        <f>"003"</f>
        <v>003</v>
      </c>
      <c r="F906">
        <v>2003</v>
      </c>
      <c r="G906" s="5">
        <v>23374600</v>
      </c>
      <c r="H906" s="5">
        <v>532100</v>
      </c>
      <c r="I906" s="5">
        <v>22842500</v>
      </c>
    </row>
    <row r="907" spans="1:9" x14ac:dyDescent="0.3">
      <c r="A907" t="s">
        <v>87</v>
      </c>
      <c r="B907" t="str">
        <f>"49173"</f>
        <v>49173</v>
      </c>
      <c r="C907" t="s">
        <v>12</v>
      </c>
      <c r="D907" t="s">
        <v>324</v>
      </c>
      <c r="E907" t="str">
        <f>"004"</f>
        <v>004</v>
      </c>
      <c r="F907">
        <v>2004</v>
      </c>
      <c r="G907" s="5">
        <v>58997900</v>
      </c>
      <c r="H907" s="5">
        <v>16780000</v>
      </c>
      <c r="I907" s="5">
        <v>42217900</v>
      </c>
    </row>
    <row r="908" spans="1:9" x14ac:dyDescent="0.3">
      <c r="A908" t="s">
        <v>87</v>
      </c>
      <c r="B908" t="str">
        <f>"49173"</f>
        <v>49173</v>
      </c>
      <c r="C908" t="s">
        <v>12</v>
      </c>
      <c r="D908" t="s">
        <v>324</v>
      </c>
      <c r="E908" t="str">
        <f>"005"</f>
        <v>005</v>
      </c>
      <c r="F908">
        <v>2005</v>
      </c>
      <c r="G908" s="5">
        <v>32148700</v>
      </c>
      <c r="H908" s="5">
        <v>2951500</v>
      </c>
      <c r="I908" s="5">
        <v>29197200</v>
      </c>
    </row>
    <row r="909" spans="1:9" x14ac:dyDescent="0.3">
      <c r="A909" t="s">
        <v>87</v>
      </c>
      <c r="B909" t="str">
        <f>"49173"</f>
        <v>49173</v>
      </c>
      <c r="C909" t="s">
        <v>12</v>
      </c>
      <c r="D909" t="s">
        <v>324</v>
      </c>
      <c r="E909" t="str">
        <f>"006"</f>
        <v>006</v>
      </c>
      <c r="F909">
        <v>2010</v>
      </c>
      <c r="G909" s="5">
        <v>11812000</v>
      </c>
      <c r="H909" s="5">
        <v>3300</v>
      </c>
      <c r="I909" s="5">
        <v>11808700</v>
      </c>
    </row>
    <row r="910" spans="1:9" x14ac:dyDescent="0.3">
      <c r="A910" t="s">
        <v>87</v>
      </c>
      <c r="B910" t="str">
        <f>"49173"</f>
        <v>49173</v>
      </c>
      <c r="C910" t="s">
        <v>12</v>
      </c>
      <c r="D910" t="s">
        <v>324</v>
      </c>
      <c r="E910" t="str">
        <f>"007"</f>
        <v>007</v>
      </c>
      <c r="F910">
        <v>2013</v>
      </c>
      <c r="G910" s="5">
        <v>5019900</v>
      </c>
      <c r="H910" s="5">
        <v>2637300</v>
      </c>
      <c r="I910" s="5">
        <v>2382600</v>
      </c>
    </row>
    <row r="911" spans="1:9" x14ac:dyDescent="0.3">
      <c r="A911" t="s">
        <v>87</v>
      </c>
      <c r="B911" t="str">
        <f t="shared" ref="B911:B916" si="37">"49281"</f>
        <v>49281</v>
      </c>
      <c r="C911" t="s">
        <v>11</v>
      </c>
      <c r="D911" t="s">
        <v>325</v>
      </c>
      <c r="E911" t="str">
        <f>"005"</f>
        <v>005</v>
      </c>
      <c r="F911">
        <v>2005</v>
      </c>
      <c r="G911" s="5">
        <v>144609300</v>
      </c>
      <c r="H911" s="5">
        <v>37940700</v>
      </c>
      <c r="I911" s="5">
        <v>106668600</v>
      </c>
    </row>
    <row r="912" spans="1:9" x14ac:dyDescent="0.3">
      <c r="A912" t="s">
        <v>87</v>
      </c>
      <c r="B912" t="str">
        <f t="shared" si="37"/>
        <v>49281</v>
      </c>
      <c r="C912" t="s">
        <v>11</v>
      </c>
      <c r="D912" t="s">
        <v>325</v>
      </c>
      <c r="E912" t="str">
        <f>"006"</f>
        <v>006</v>
      </c>
      <c r="F912">
        <v>2006</v>
      </c>
      <c r="G912" s="5">
        <v>59955700</v>
      </c>
      <c r="H912" s="5">
        <v>46305600</v>
      </c>
      <c r="I912" s="5">
        <v>13650100</v>
      </c>
    </row>
    <row r="913" spans="1:9" x14ac:dyDescent="0.3">
      <c r="A913" t="s">
        <v>87</v>
      </c>
      <c r="B913" t="str">
        <f t="shared" si="37"/>
        <v>49281</v>
      </c>
      <c r="C913" t="s">
        <v>11</v>
      </c>
      <c r="D913" t="s">
        <v>325</v>
      </c>
      <c r="E913" t="str">
        <f>"007"</f>
        <v>007</v>
      </c>
      <c r="F913">
        <v>2008</v>
      </c>
      <c r="G913" s="5">
        <v>41871000</v>
      </c>
      <c r="H913" s="5">
        <v>10913900</v>
      </c>
      <c r="I913" s="5">
        <v>30957100</v>
      </c>
    </row>
    <row r="914" spans="1:9" x14ac:dyDescent="0.3">
      <c r="A914" t="s">
        <v>87</v>
      </c>
      <c r="B914" t="str">
        <f t="shared" si="37"/>
        <v>49281</v>
      </c>
      <c r="C914" t="s">
        <v>11</v>
      </c>
      <c r="D914" t="s">
        <v>325</v>
      </c>
      <c r="E914" t="str">
        <f>"008"</f>
        <v>008</v>
      </c>
      <c r="F914">
        <v>2010</v>
      </c>
      <c r="G914" s="5">
        <v>29813700</v>
      </c>
      <c r="H914" s="5">
        <v>19785300</v>
      </c>
      <c r="I914" s="5">
        <v>10028400</v>
      </c>
    </row>
    <row r="915" spans="1:9" x14ac:dyDescent="0.3">
      <c r="A915" t="s">
        <v>87</v>
      </c>
      <c r="B915" t="str">
        <f t="shared" si="37"/>
        <v>49281</v>
      </c>
      <c r="C915" t="s">
        <v>11</v>
      </c>
      <c r="D915" t="s">
        <v>325</v>
      </c>
      <c r="E915" t="str">
        <f>"009"</f>
        <v>009</v>
      </c>
      <c r="F915">
        <v>2013</v>
      </c>
      <c r="G915" s="5">
        <v>166802700</v>
      </c>
      <c r="H915" s="5">
        <v>58229400</v>
      </c>
      <c r="I915" s="5">
        <v>108573300</v>
      </c>
    </row>
    <row r="916" spans="1:9" x14ac:dyDescent="0.3">
      <c r="A916" t="s">
        <v>87</v>
      </c>
      <c r="B916" t="str">
        <f t="shared" si="37"/>
        <v>49281</v>
      </c>
      <c r="C916" t="s">
        <v>11</v>
      </c>
      <c r="D916" t="s">
        <v>325</v>
      </c>
      <c r="E916" t="str">
        <f>"010"</f>
        <v>010</v>
      </c>
      <c r="F916">
        <v>2019</v>
      </c>
      <c r="G916" s="5">
        <v>50772800</v>
      </c>
      <c r="H916" s="5">
        <v>49132300</v>
      </c>
      <c r="I916" s="5">
        <v>1640500</v>
      </c>
    </row>
    <row r="917" spans="1:9" x14ac:dyDescent="0.3">
      <c r="A917" t="s">
        <v>87</v>
      </c>
      <c r="B917" t="str">
        <f>"49191"</f>
        <v>49191</v>
      </c>
      <c r="C917" t="s">
        <v>12</v>
      </c>
      <c r="D917" t="s">
        <v>326</v>
      </c>
      <c r="E917" t="str">
        <f>"001"</f>
        <v>001</v>
      </c>
      <c r="F917">
        <v>1994</v>
      </c>
      <c r="G917" s="5">
        <v>4787200</v>
      </c>
      <c r="H917" s="5">
        <v>1704800</v>
      </c>
      <c r="I917" s="5">
        <v>3082400</v>
      </c>
    </row>
    <row r="918" spans="1:9" x14ac:dyDescent="0.3">
      <c r="A918" t="s">
        <v>327</v>
      </c>
      <c r="B918" t="str">
        <f>"50271"</f>
        <v>50271</v>
      </c>
      <c r="C918" t="s">
        <v>11</v>
      </c>
      <c r="D918" t="s">
        <v>328</v>
      </c>
      <c r="E918" t="str">
        <f>"003"</f>
        <v>003</v>
      </c>
      <c r="F918">
        <v>1994</v>
      </c>
      <c r="G918" s="5">
        <v>6903900</v>
      </c>
      <c r="H918" s="5">
        <v>1351800</v>
      </c>
      <c r="I918" s="5">
        <v>5552100</v>
      </c>
    </row>
    <row r="919" spans="1:9" x14ac:dyDescent="0.3">
      <c r="A919" t="s">
        <v>327</v>
      </c>
      <c r="B919" t="str">
        <f>"50271"</f>
        <v>50271</v>
      </c>
      <c r="C919" t="s">
        <v>11</v>
      </c>
      <c r="D919" t="s">
        <v>328</v>
      </c>
      <c r="E919" t="str">
        <f>"005"</f>
        <v>005</v>
      </c>
      <c r="F919">
        <v>2019</v>
      </c>
      <c r="G919" s="5">
        <v>7515000</v>
      </c>
      <c r="H919" s="5">
        <v>8211600</v>
      </c>
      <c r="I919" s="5">
        <v>-696600</v>
      </c>
    </row>
    <row r="920" spans="1:9" x14ac:dyDescent="0.3">
      <c r="A920" t="s">
        <v>327</v>
      </c>
      <c r="B920" t="str">
        <f>"50272"</f>
        <v>50272</v>
      </c>
      <c r="C920" t="s">
        <v>11</v>
      </c>
      <c r="D920" t="s">
        <v>329</v>
      </c>
      <c r="E920" t="str">
        <f>"002"</f>
        <v>002</v>
      </c>
      <c r="F920">
        <v>1995</v>
      </c>
      <c r="G920" s="5">
        <v>149600</v>
      </c>
      <c r="H920" s="5">
        <v>100000</v>
      </c>
      <c r="I920" s="5">
        <v>49600</v>
      </c>
    </row>
    <row r="921" spans="1:9" x14ac:dyDescent="0.3">
      <c r="A921" t="s">
        <v>327</v>
      </c>
      <c r="B921" t="str">
        <f>"50272"</f>
        <v>50272</v>
      </c>
      <c r="C921" t="s">
        <v>11</v>
      </c>
      <c r="D921" t="s">
        <v>329</v>
      </c>
      <c r="E921" t="str">
        <f>"003"</f>
        <v>003</v>
      </c>
      <c r="F921">
        <v>1995</v>
      </c>
      <c r="G921" s="5">
        <v>3892500</v>
      </c>
      <c r="H921" s="5">
        <v>2177100</v>
      </c>
      <c r="I921" s="5">
        <v>1715400</v>
      </c>
    </row>
    <row r="922" spans="1:9" x14ac:dyDescent="0.3">
      <c r="A922" t="s">
        <v>327</v>
      </c>
      <c r="B922" t="str">
        <f>"50272"</f>
        <v>50272</v>
      </c>
      <c r="C922" t="s">
        <v>11</v>
      </c>
      <c r="D922" t="s">
        <v>329</v>
      </c>
      <c r="E922" t="str">
        <f>"004"</f>
        <v>004</v>
      </c>
      <c r="F922">
        <v>1995</v>
      </c>
      <c r="G922" s="5">
        <v>15498100</v>
      </c>
      <c r="H922" s="5">
        <v>753500</v>
      </c>
      <c r="I922" s="5">
        <v>14744600</v>
      </c>
    </row>
    <row r="923" spans="1:9" x14ac:dyDescent="0.3">
      <c r="A923" t="s">
        <v>327</v>
      </c>
      <c r="B923" t="str">
        <f>"50171"</f>
        <v>50171</v>
      </c>
      <c r="C923" t="s">
        <v>12</v>
      </c>
      <c r="D923" t="s">
        <v>330</v>
      </c>
      <c r="E923" t="str">
        <f>"003"</f>
        <v>003</v>
      </c>
      <c r="F923">
        <v>2011</v>
      </c>
      <c r="G923" s="5">
        <v>80700</v>
      </c>
      <c r="H923" s="5">
        <v>62000</v>
      </c>
      <c r="I923" s="5">
        <v>18700</v>
      </c>
    </row>
    <row r="924" spans="1:9" x14ac:dyDescent="0.3">
      <c r="A924" t="s">
        <v>331</v>
      </c>
      <c r="B924" t="str">
        <f>"51104"</f>
        <v>51104</v>
      </c>
      <c r="C924" t="s">
        <v>12</v>
      </c>
      <c r="D924" t="s">
        <v>332</v>
      </c>
      <c r="E924" t="str">
        <f>"001"</f>
        <v>001</v>
      </c>
      <c r="F924">
        <v>2007</v>
      </c>
      <c r="G924" s="5">
        <v>7391200</v>
      </c>
      <c r="H924" s="5">
        <v>1831800</v>
      </c>
      <c r="I924" s="5">
        <v>5559400</v>
      </c>
    </row>
    <row r="925" spans="1:9" x14ac:dyDescent="0.3">
      <c r="A925" t="s">
        <v>331</v>
      </c>
      <c r="B925" t="str">
        <f>"51104"</f>
        <v>51104</v>
      </c>
      <c r="C925" t="s">
        <v>12</v>
      </c>
      <c r="D925" t="s">
        <v>332</v>
      </c>
      <c r="E925" t="str">
        <f>"003"</f>
        <v>003</v>
      </c>
      <c r="F925">
        <v>2011</v>
      </c>
      <c r="G925" s="5">
        <v>38114400</v>
      </c>
      <c r="H925" s="5">
        <v>28632700</v>
      </c>
      <c r="I925" s="5">
        <v>9481700</v>
      </c>
    </row>
    <row r="926" spans="1:9" x14ac:dyDescent="0.3">
      <c r="A926" t="s">
        <v>331</v>
      </c>
      <c r="B926" t="str">
        <f>"51104"</f>
        <v>51104</v>
      </c>
      <c r="C926" t="s">
        <v>12</v>
      </c>
      <c r="D926" t="s">
        <v>332</v>
      </c>
      <c r="E926" t="str">
        <f>"004"</f>
        <v>004</v>
      </c>
      <c r="F926">
        <v>2014</v>
      </c>
      <c r="G926" s="5">
        <v>51183000</v>
      </c>
      <c r="H926" s="5">
        <v>15444200</v>
      </c>
      <c r="I926" s="5">
        <v>35738800</v>
      </c>
    </row>
    <row r="927" spans="1:9" x14ac:dyDescent="0.3">
      <c r="A927" t="s">
        <v>331</v>
      </c>
      <c r="B927" t="str">
        <f>"51104"</f>
        <v>51104</v>
      </c>
      <c r="C927" t="s">
        <v>12</v>
      </c>
      <c r="D927" t="s">
        <v>332</v>
      </c>
      <c r="E927" t="str">
        <f>"005"</f>
        <v>005</v>
      </c>
      <c r="F927">
        <v>2019</v>
      </c>
      <c r="G927" s="5">
        <v>243600</v>
      </c>
      <c r="H927" s="5">
        <v>617200</v>
      </c>
      <c r="I927" s="5">
        <v>-373600</v>
      </c>
    </row>
    <row r="928" spans="1:9" x14ac:dyDescent="0.3">
      <c r="A928" t="s">
        <v>331</v>
      </c>
      <c r="B928" t="str">
        <f>"51151"</f>
        <v>51151</v>
      </c>
      <c r="C928" t="s">
        <v>12</v>
      </c>
      <c r="D928" t="s">
        <v>333</v>
      </c>
      <c r="E928" t="str">
        <f>"001"</f>
        <v>001</v>
      </c>
      <c r="F928">
        <v>2006</v>
      </c>
      <c r="G928" s="5">
        <v>111230100</v>
      </c>
      <c r="H928" s="5">
        <v>4301900</v>
      </c>
      <c r="I928" s="5">
        <v>106928200</v>
      </c>
    </row>
    <row r="929" spans="1:9" x14ac:dyDescent="0.3">
      <c r="A929" t="s">
        <v>331</v>
      </c>
      <c r="B929" t="str">
        <f>"51151"</f>
        <v>51151</v>
      </c>
      <c r="C929" t="s">
        <v>12</v>
      </c>
      <c r="D929" t="s">
        <v>333</v>
      </c>
      <c r="E929" t="str">
        <f>"002"</f>
        <v>002</v>
      </c>
      <c r="F929">
        <v>2007</v>
      </c>
      <c r="G929" s="5">
        <v>196185700</v>
      </c>
      <c r="H929" s="5">
        <v>103402700</v>
      </c>
      <c r="I929" s="5">
        <v>92783000</v>
      </c>
    </row>
    <row r="930" spans="1:9" x14ac:dyDescent="0.3">
      <c r="A930" t="s">
        <v>331</v>
      </c>
      <c r="B930" t="str">
        <f>"51151"</f>
        <v>51151</v>
      </c>
      <c r="C930" t="s">
        <v>12</v>
      </c>
      <c r="D930" t="s">
        <v>333</v>
      </c>
      <c r="E930" t="str">
        <f>"003"</f>
        <v>003</v>
      </c>
      <c r="F930">
        <v>2014</v>
      </c>
      <c r="G930" s="5">
        <v>31966700</v>
      </c>
      <c r="H930" s="5">
        <v>4136200</v>
      </c>
      <c r="I930" s="5">
        <v>27830500</v>
      </c>
    </row>
    <row r="931" spans="1:9" x14ac:dyDescent="0.3">
      <c r="A931" t="s">
        <v>331</v>
      </c>
      <c r="B931" t="str">
        <f>"51151"</f>
        <v>51151</v>
      </c>
      <c r="C931" t="s">
        <v>12</v>
      </c>
      <c r="D931" t="s">
        <v>333</v>
      </c>
      <c r="E931" t="str">
        <f>"004"</f>
        <v>004</v>
      </c>
      <c r="F931">
        <v>2015</v>
      </c>
      <c r="G931" s="5">
        <v>47285000</v>
      </c>
      <c r="H931" s="5">
        <v>3587700</v>
      </c>
      <c r="I931" s="5">
        <v>43697300</v>
      </c>
    </row>
    <row r="932" spans="1:9" x14ac:dyDescent="0.3">
      <c r="A932" t="s">
        <v>331</v>
      </c>
      <c r="B932" t="str">
        <f>"51151"</f>
        <v>51151</v>
      </c>
      <c r="C932" t="s">
        <v>12</v>
      </c>
      <c r="D932" t="s">
        <v>333</v>
      </c>
      <c r="E932" t="str">
        <f>"005"</f>
        <v>005</v>
      </c>
      <c r="F932">
        <v>2018</v>
      </c>
      <c r="G932" s="5">
        <v>291660100</v>
      </c>
      <c r="H932" s="5">
        <v>30231500</v>
      </c>
      <c r="I932" s="5">
        <v>261428600</v>
      </c>
    </row>
    <row r="933" spans="1:9" x14ac:dyDescent="0.3">
      <c r="A933" t="s">
        <v>331</v>
      </c>
      <c r="B933" t="str">
        <f t="shared" ref="B933:B947" si="38">"51276"</f>
        <v>51276</v>
      </c>
      <c r="C933" t="s">
        <v>11</v>
      </c>
      <c r="D933" t="s">
        <v>331</v>
      </c>
      <c r="E933" t="str">
        <f>"002"</f>
        <v>002</v>
      </c>
      <c r="F933">
        <v>1983</v>
      </c>
      <c r="G933" s="5">
        <v>28552100</v>
      </c>
      <c r="H933" s="5">
        <v>2394700</v>
      </c>
      <c r="I933" s="5">
        <v>26157400</v>
      </c>
    </row>
    <row r="934" spans="1:9" x14ac:dyDescent="0.3">
      <c r="A934" t="s">
        <v>331</v>
      </c>
      <c r="B934" t="str">
        <f t="shared" si="38"/>
        <v>51276</v>
      </c>
      <c r="C934" t="s">
        <v>11</v>
      </c>
      <c r="D934" t="s">
        <v>331</v>
      </c>
      <c r="E934" t="str">
        <f>"009"</f>
        <v>009</v>
      </c>
      <c r="F934">
        <v>2000</v>
      </c>
      <c r="G934" s="5">
        <v>30889600</v>
      </c>
      <c r="H934" s="5">
        <v>877600</v>
      </c>
      <c r="I934" s="5">
        <v>30012000</v>
      </c>
    </row>
    <row r="935" spans="1:9" x14ac:dyDescent="0.3">
      <c r="A935" t="s">
        <v>331</v>
      </c>
      <c r="B935" t="str">
        <f t="shared" si="38"/>
        <v>51276</v>
      </c>
      <c r="C935" t="s">
        <v>11</v>
      </c>
      <c r="D935" t="s">
        <v>331</v>
      </c>
      <c r="E935" t="str">
        <f>"010"</f>
        <v>010</v>
      </c>
      <c r="F935">
        <v>2003</v>
      </c>
      <c r="G935" s="5">
        <v>984300</v>
      </c>
      <c r="H935" s="5">
        <v>1180400</v>
      </c>
      <c r="I935" s="5">
        <v>-196100</v>
      </c>
    </row>
    <row r="936" spans="1:9" x14ac:dyDescent="0.3">
      <c r="A936" t="s">
        <v>331</v>
      </c>
      <c r="B936" t="str">
        <f t="shared" si="38"/>
        <v>51276</v>
      </c>
      <c r="C936" t="s">
        <v>11</v>
      </c>
      <c r="D936" t="s">
        <v>331</v>
      </c>
      <c r="E936" t="str">
        <f>"011"</f>
        <v>011</v>
      </c>
      <c r="F936">
        <v>2005</v>
      </c>
      <c r="G936" s="5">
        <v>6028700</v>
      </c>
      <c r="H936" s="5">
        <v>3179700</v>
      </c>
      <c r="I936" s="5">
        <v>2849000</v>
      </c>
    </row>
    <row r="937" spans="1:9" x14ac:dyDescent="0.3">
      <c r="A937" t="s">
        <v>331</v>
      </c>
      <c r="B937" t="str">
        <f t="shared" si="38"/>
        <v>51276</v>
      </c>
      <c r="C937" t="s">
        <v>11</v>
      </c>
      <c r="D937" t="s">
        <v>331</v>
      </c>
      <c r="E937" t="str">
        <f>"012"</f>
        <v>012</v>
      </c>
      <c r="F937">
        <v>2006</v>
      </c>
      <c r="G937" s="5">
        <v>6746400</v>
      </c>
      <c r="H937" s="5">
        <v>378000</v>
      </c>
      <c r="I937" s="5">
        <v>6368400</v>
      </c>
    </row>
    <row r="938" spans="1:9" x14ac:dyDescent="0.3">
      <c r="A938" t="s">
        <v>331</v>
      </c>
      <c r="B938" t="str">
        <f t="shared" si="38"/>
        <v>51276</v>
      </c>
      <c r="C938" t="s">
        <v>11</v>
      </c>
      <c r="D938" t="s">
        <v>331</v>
      </c>
      <c r="E938" t="str">
        <f>"013"</f>
        <v>013</v>
      </c>
      <c r="F938">
        <v>2006</v>
      </c>
      <c r="G938" s="5">
        <v>10322400</v>
      </c>
      <c r="H938" s="5">
        <v>312300</v>
      </c>
      <c r="I938" s="5">
        <v>10010100</v>
      </c>
    </row>
    <row r="939" spans="1:9" x14ac:dyDescent="0.3">
      <c r="A939" t="s">
        <v>331</v>
      </c>
      <c r="B939" t="str">
        <f t="shared" si="38"/>
        <v>51276</v>
      </c>
      <c r="C939" t="s">
        <v>11</v>
      </c>
      <c r="D939" t="s">
        <v>331</v>
      </c>
      <c r="E939" t="str">
        <f>"014"</f>
        <v>014</v>
      </c>
      <c r="F939">
        <v>2006</v>
      </c>
      <c r="G939" s="5">
        <v>4802600</v>
      </c>
      <c r="H939" s="5">
        <v>4103200</v>
      </c>
      <c r="I939" s="5">
        <v>699400</v>
      </c>
    </row>
    <row r="940" spans="1:9" x14ac:dyDescent="0.3">
      <c r="A940" t="s">
        <v>331</v>
      </c>
      <c r="B940" t="str">
        <f t="shared" si="38"/>
        <v>51276</v>
      </c>
      <c r="C940" t="s">
        <v>11</v>
      </c>
      <c r="D940" t="s">
        <v>331</v>
      </c>
      <c r="E940" t="str">
        <f>"016"</f>
        <v>016</v>
      </c>
      <c r="F940">
        <v>2009</v>
      </c>
      <c r="G940" s="5">
        <v>35710100</v>
      </c>
      <c r="H940" s="5">
        <v>38217400</v>
      </c>
      <c r="I940" s="5">
        <v>-2507300</v>
      </c>
    </row>
    <row r="941" spans="1:9" x14ac:dyDescent="0.3">
      <c r="A941" t="s">
        <v>331</v>
      </c>
      <c r="B941" t="str">
        <f t="shared" si="38"/>
        <v>51276</v>
      </c>
      <c r="C941" t="s">
        <v>11</v>
      </c>
      <c r="D941" t="s">
        <v>331</v>
      </c>
      <c r="E941" t="str">
        <f>"017"</f>
        <v>017</v>
      </c>
      <c r="F941">
        <v>2012</v>
      </c>
      <c r="G941" s="5">
        <v>410500</v>
      </c>
      <c r="H941" s="5">
        <v>364900</v>
      </c>
      <c r="I941" s="5">
        <v>45600</v>
      </c>
    </row>
    <row r="942" spans="1:9" x14ac:dyDescent="0.3">
      <c r="A942" t="s">
        <v>331</v>
      </c>
      <c r="B942" t="str">
        <f t="shared" si="38"/>
        <v>51276</v>
      </c>
      <c r="C942" t="s">
        <v>11</v>
      </c>
      <c r="D942" t="s">
        <v>331</v>
      </c>
      <c r="E942" t="str">
        <f>"018"</f>
        <v>018</v>
      </c>
      <c r="F942">
        <v>2014</v>
      </c>
      <c r="G942" s="5">
        <v>3633900</v>
      </c>
      <c r="H942" s="5">
        <v>3045500</v>
      </c>
      <c r="I942" s="5">
        <v>588400</v>
      </c>
    </row>
    <row r="943" spans="1:9" x14ac:dyDescent="0.3">
      <c r="A943" t="s">
        <v>331</v>
      </c>
      <c r="B943" t="str">
        <f t="shared" si="38"/>
        <v>51276</v>
      </c>
      <c r="C943" t="s">
        <v>11</v>
      </c>
      <c r="D943" t="s">
        <v>331</v>
      </c>
      <c r="E943" t="str">
        <f>"019"</f>
        <v>019</v>
      </c>
      <c r="F943">
        <v>2016</v>
      </c>
      <c r="G943" s="5">
        <v>42894100</v>
      </c>
      <c r="H943" s="5">
        <v>38194400</v>
      </c>
      <c r="I943" s="5">
        <v>4699700</v>
      </c>
    </row>
    <row r="944" spans="1:9" x14ac:dyDescent="0.3">
      <c r="A944" t="s">
        <v>331</v>
      </c>
      <c r="B944" t="str">
        <f t="shared" si="38"/>
        <v>51276</v>
      </c>
      <c r="C944" t="s">
        <v>11</v>
      </c>
      <c r="D944" t="s">
        <v>331</v>
      </c>
      <c r="E944" t="str">
        <f>"020"</f>
        <v>020</v>
      </c>
      <c r="F944">
        <v>2017</v>
      </c>
      <c r="G944" s="5">
        <v>54347700</v>
      </c>
      <c r="H944" s="5">
        <v>59970000</v>
      </c>
      <c r="I944" s="5">
        <v>-5622300</v>
      </c>
    </row>
    <row r="945" spans="1:9" x14ac:dyDescent="0.3">
      <c r="A945" t="s">
        <v>331</v>
      </c>
      <c r="B945" t="str">
        <f t="shared" si="38"/>
        <v>51276</v>
      </c>
      <c r="C945" t="s">
        <v>11</v>
      </c>
      <c r="D945" t="s">
        <v>331</v>
      </c>
      <c r="E945" t="str">
        <f>"021"</f>
        <v>021</v>
      </c>
      <c r="F945">
        <v>2019</v>
      </c>
      <c r="G945" s="5">
        <v>0</v>
      </c>
      <c r="H945" s="5">
        <v>0</v>
      </c>
      <c r="I945" s="5">
        <v>0</v>
      </c>
    </row>
    <row r="946" spans="1:9" x14ac:dyDescent="0.3">
      <c r="A946" t="s">
        <v>331</v>
      </c>
      <c r="B946" t="str">
        <f t="shared" si="38"/>
        <v>51276</v>
      </c>
      <c r="C946" t="s">
        <v>11</v>
      </c>
      <c r="D946" t="s">
        <v>331</v>
      </c>
      <c r="E946" t="str">
        <f>"022"</f>
        <v>022</v>
      </c>
      <c r="F946">
        <v>2019</v>
      </c>
      <c r="G946" s="5">
        <v>341421800</v>
      </c>
      <c r="H946" s="5">
        <v>330022900</v>
      </c>
      <c r="I946" s="5">
        <v>11398900</v>
      </c>
    </row>
    <row r="947" spans="1:9" x14ac:dyDescent="0.3">
      <c r="A947" t="s">
        <v>331</v>
      </c>
      <c r="B947" t="str">
        <f t="shared" si="38"/>
        <v>51276</v>
      </c>
      <c r="C947" t="s">
        <v>11</v>
      </c>
      <c r="D947" t="s">
        <v>331</v>
      </c>
      <c r="E947" t="str">
        <f>"023"</f>
        <v>023</v>
      </c>
      <c r="F947">
        <v>2019</v>
      </c>
      <c r="G947" s="5">
        <v>107982900</v>
      </c>
      <c r="H947" s="5">
        <v>105603300</v>
      </c>
      <c r="I947" s="5">
        <v>2379600</v>
      </c>
    </row>
    <row r="948" spans="1:9" x14ac:dyDescent="0.3">
      <c r="A948" t="s">
        <v>331</v>
      </c>
      <c r="B948" t="str">
        <f>"51181"</f>
        <v>51181</v>
      </c>
      <c r="C948" t="s">
        <v>12</v>
      </c>
      <c r="D948" t="s">
        <v>334</v>
      </c>
      <c r="E948" t="str">
        <f>"004"</f>
        <v>004</v>
      </c>
      <c r="F948">
        <v>2016</v>
      </c>
      <c r="G948" s="5">
        <v>109866200</v>
      </c>
      <c r="H948" s="5">
        <v>55323600</v>
      </c>
      <c r="I948" s="5">
        <v>54542600</v>
      </c>
    </row>
    <row r="949" spans="1:9" x14ac:dyDescent="0.3">
      <c r="A949" t="s">
        <v>331</v>
      </c>
      <c r="B949" t="str">
        <f>"51186"</f>
        <v>51186</v>
      </c>
      <c r="C949" t="s">
        <v>12</v>
      </c>
      <c r="D949" t="s">
        <v>335</v>
      </c>
      <c r="E949" t="str">
        <f>"004"</f>
        <v>004</v>
      </c>
      <c r="F949">
        <v>2006</v>
      </c>
      <c r="G949" s="5">
        <v>45628800</v>
      </c>
      <c r="H949" s="5">
        <v>31932700</v>
      </c>
      <c r="I949" s="5">
        <v>13696100</v>
      </c>
    </row>
    <row r="950" spans="1:9" x14ac:dyDescent="0.3">
      <c r="A950" t="s">
        <v>331</v>
      </c>
      <c r="B950" t="str">
        <f>"51186"</f>
        <v>51186</v>
      </c>
      <c r="C950" t="s">
        <v>12</v>
      </c>
      <c r="D950" t="s">
        <v>335</v>
      </c>
      <c r="E950" t="str">
        <f>"005"</f>
        <v>005</v>
      </c>
      <c r="F950">
        <v>2016</v>
      </c>
      <c r="G950" s="5">
        <v>12169500</v>
      </c>
      <c r="H950" s="5">
        <v>464700</v>
      </c>
      <c r="I950" s="5">
        <v>11704800</v>
      </c>
    </row>
    <row r="951" spans="1:9" x14ac:dyDescent="0.3">
      <c r="A951" t="s">
        <v>331</v>
      </c>
      <c r="B951" t="str">
        <f>"51186"</f>
        <v>51186</v>
      </c>
      <c r="C951" t="s">
        <v>12</v>
      </c>
      <c r="D951" t="s">
        <v>335</v>
      </c>
      <c r="E951" t="str">
        <f>"006"</f>
        <v>006</v>
      </c>
      <c r="F951">
        <v>2019</v>
      </c>
      <c r="G951" s="5">
        <v>16425400</v>
      </c>
      <c r="H951" s="5">
        <v>13935400</v>
      </c>
      <c r="I951" s="5">
        <v>2490000</v>
      </c>
    </row>
    <row r="952" spans="1:9" x14ac:dyDescent="0.3">
      <c r="A952" t="s">
        <v>331</v>
      </c>
      <c r="B952" t="str">
        <f>"51191"</f>
        <v>51191</v>
      </c>
      <c r="C952" t="s">
        <v>12</v>
      </c>
      <c r="D952" t="s">
        <v>336</v>
      </c>
      <c r="E952" t="str">
        <f>"002"</f>
        <v>002</v>
      </c>
      <c r="F952">
        <v>2000</v>
      </c>
      <c r="G952" s="5">
        <v>54292500</v>
      </c>
      <c r="H952" s="5">
        <v>13787500</v>
      </c>
      <c r="I952" s="5">
        <v>40505000</v>
      </c>
    </row>
    <row r="953" spans="1:9" x14ac:dyDescent="0.3">
      <c r="A953" t="s">
        <v>331</v>
      </c>
      <c r="B953" t="str">
        <f>"51191"</f>
        <v>51191</v>
      </c>
      <c r="C953" t="s">
        <v>12</v>
      </c>
      <c r="D953" t="s">
        <v>336</v>
      </c>
      <c r="E953" t="str">
        <f>"003"</f>
        <v>003</v>
      </c>
      <c r="F953">
        <v>2019</v>
      </c>
      <c r="G953" s="5">
        <v>10619400</v>
      </c>
      <c r="H953" s="5">
        <v>11316600</v>
      </c>
      <c r="I953" s="5">
        <v>-697200</v>
      </c>
    </row>
    <row r="954" spans="1:9" x14ac:dyDescent="0.3">
      <c r="A954" t="s">
        <v>331</v>
      </c>
      <c r="B954" t="str">
        <f>"51194"</f>
        <v>51194</v>
      </c>
      <c r="C954" t="s">
        <v>12</v>
      </c>
      <c r="D954" t="s">
        <v>337</v>
      </c>
      <c r="E954" t="str">
        <f>"001"</f>
        <v>001</v>
      </c>
      <c r="F954">
        <v>2019</v>
      </c>
      <c r="G954" s="5">
        <v>22751000</v>
      </c>
      <c r="H954" s="5">
        <v>6045700</v>
      </c>
      <c r="I954" s="5">
        <v>16705300</v>
      </c>
    </row>
    <row r="955" spans="1:9" x14ac:dyDescent="0.3">
      <c r="A955" t="s">
        <v>338</v>
      </c>
      <c r="B955" t="str">
        <f>"52276"</f>
        <v>52276</v>
      </c>
      <c r="C955" t="s">
        <v>11</v>
      </c>
      <c r="D955" t="s">
        <v>339</v>
      </c>
      <c r="E955" t="str">
        <f>"004"</f>
        <v>004</v>
      </c>
      <c r="F955">
        <v>1995</v>
      </c>
      <c r="G955" s="5">
        <v>19620800</v>
      </c>
      <c r="H955" s="5">
        <v>15091600</v>
      </c>
      <c r="I955" s="5">
        <v>4529200</v>
      </c>
    </row>
    <row r="956" spans="1:9" x14ac:dyDescent="0.3">
      <c r="A956" t="s">
        <v>338</v>
      </c>
      <c r="B956" t="str">
        <f>"52276"</f>
        <v>52276</v>
      </c>
      <c r="C956" t="s">
        <v>11</v>
      </c>
      <c r="D956" t="s">
        <v>339</v>
      </c>
      <c r="E956" t="str">
        <f>"006"</f>
        <v>006</v>
      </c>
      <c r="F956">
        <v>2017</v>
      </c>
      <c r="G956" s="5">
        <v>4724300</v>
      </c>
      <c r="H956" s="5">
        <v>28300</v>
      </c>
      <c r="I956" s="5">
        <v>4696000</v>
      </c>
    </row>
    <row r="957" spans="1:9" x14ac:dyDescent="0.3">
      <c r="A957" t="s">
        <v>338</v>
      </c>
      <c r="B957" t="str">
        <f>"52186"</f>
        <v>52186</v>
      </c>
      <c r="C957" t="s">
        <v>12</v>
      </c>
      <c r="D957" t="s">
        <v>340</v>
      </c>
      <c r="E957" t="str">
        <f>"003"</f>
        <v>003</v>
      </c>
      <c r="F957">
        <v>1995</v>
      </c>
      <c r="G957" s="5">
        <v>1227900</v>
      </c>
      <c r="H957" s="5">
        <v>660900</v>
      </c>
      <c r="I957" s="5">
        <v>567000</v>
      </c>
    </row>
    <row r="958" spans="1:9" x14ac:dyDescent="0.3">
      <c r="A958" t="s">
        <v>338</v>
      </c>
      <c r="B958" t="str">
        <f>"52186"</f>
        <v>52186</v>
      </c>
      <c r="C958" t="s">
        <v>12</v>
      </c>
      <c r="D958" t="s">
        <v>340</v>
      </c>
      <c r="E958" t="str">
        <f>"006"</f>
        <v>006</v>
      </c>
      <c r="F958">
        <v>2019</v>
      </c>
      <c r="G958" s="5">
        <v>643800</v>
      </c>
      <c r="H958" s="5">
        <v>586000</v>
      </c>
      <c r="I958" s="5">
        <v>57800</v>
      </c>
    </row>
    <row r="959" spans="1:9" x14ac:dyDescent="0.3">
      <c r="A959" t="s">
        <v>341</v>
      </c>
      <c r="B959" t="str">
        <f t="shared" ref="B959:B965" si="39">"53206"</f>
        <v>53206</v>
      </c>
      <c r="C959" t="s">
        <v>11</v>
      </c>
      <c r="D959" t="s">
        <v>342</v>
      </c>
      <c r="E959" t="str">
        <f>"008"</f>
        <v>008</v>
      </c>
      <c r="F959">
        <v>1995</v>
      </c>
      <c r="G959" s="5">
        <v>22865100</v>
      </c>
      <c r="H959" s="5">
        <v>1646300</v>
      </c>
      <c r="I959" s="5">
        <v>21218800</v>
      </c>
    </row>
    <row r="960" spans="1:9" x14ac:dyDescent="0.3">
      <c r="A960" t="s">
        <v>341</v>
      </c>
      <c r="B960" t="str">
        <f t="shared" si="39"/>
        <v>53206</v>
      </c>
      <c r="C960" t="s">
        <v>11</v>
      </c>
      <c r="D960" t="s">
        <v>342</v>
      </c>
      <c r="E960" t="str">
        <f>"009"</f>
        <v>009</v>
      </c>
      <c r="F960">
        <v>1998</v>
      </c>
      <c r="G960" s="5">
        <v>10287100</v>
      </c>
      <c r="H960" s="5">
        <v>3666300</v>
      </c>
      <c r="I960" s="5">
        <v>6620800</v>
      </c>
    </row>
    <row r="961" spans="1:9" x14ac:dyDescent="0.3">
      <c r="A961" t="s">
        <v>341</v>
      </c>
      <c r="B961" t="str">
        <f t="shared" si="39"/>
        <v>53206</v>
      </c>
      <c r="C961" t="s">
        <v>11</v>
      </c>
      <c r="D961" t="s">
        <v>342</v>
      </c>
      <c r="E961" t="str">
        <f>"010"</f>
        <v>010</v>
      </c>
      <c r="F961">
        <v>2001</v>
      </c>
      <c r="G961" s="5">
        <v>179955600</v>
      </c>
      <c r="H961" s="5">
        <v>1763400</v>
      </c>
      <c r="I961" s="5">
        <v>178192200</v>
      </c>
    </row>
    <row r="962" spans="1:9" x14ac:dyDescent="0.3">
      <c r="A962" t="s">
        <v>341</v>
      </c>
      <c r="B962" t="str">
        <f t="shared" si="39"/>
        <v>53206</v>
      </c>
      <c r="C962" t="s">
        <v>11</v>
      </c>
      <c r="D962" t="s">
        <v>342</v>
      </c>
      <c r="E962" t="str">
        <f>"011"</f>
        <v>011</v>
      </c>
      <c r="F962">
        <v>2002</v>
      </c>
      <c r="G962" s="5">
        <v>9643600</v>
      </c>
      <c r="H962" s="5">
        <v>1963200</v>
      </c>
      <c r="I962" s="5">
        <v>7680400</v>
      </c>
    </row>
    <row r="963" spans="1:9" x14ac:dyDescent="0.3">
      <c r="A963" t="s">
        <v>341</v>
      </c>
      <c r="B963" t="str">
        <f t="shared" si="39"/>
        <v>53206</v>
      </c>
      <c r="C963" t="s">
        <v>11</v>
      </c>
      <c r="D963" t="s">
        <v>342</v>
      </c>
      <c r="E963" t="str">
        <f>"012"</f>
        <v>012</v>
      </c>
      <c r="F963">
        <v>2003</v>
      </c>
      <c r="G963" s="5">
        <v>2197100</v>
      </c>
      <c r="H963" s="5">
        <v>795300</v>
      </c>
      <c r="I963" s="5">
        <v>1401800</v>
      </c>
    </row>
    <row r="964" spans="1:9" x14ac:dyDescent="0.3">
      <c r="A964" t="s">
        <v>341</v>
      </c>
      <c r="B964" t="str">
        <f t="shared" si="39"/>
        <v>53206</v>
      </c>
      <c r="C964" t="s">
        <v>11</v>
      </c>
      <c r="D964" t="s">
        <v>342</v>
      </c>
      <c r="E964" t="str">
        <f>"013"</f>
        <v>013</v>
      </c>
      <c r="F964">
        <v>2005</v>
      </c>
      <c r="G964" s="5">
        <v>61869000</v>
      </c>
      <c r="H964" s="5">
        <v>23854500</v>
      </c>
      <c r="I964" s="5">
        <v>38014500</v>
      </c>
    </row>
    <row r="965" spans="1:9" x14ac:dyDescent="0.3">
      <c r="A965" t="s">
        <v>341</v>
      </c>
      <c r="B965" t="str">
        <f t="shared" si="39"/>
        <v>53206</v>
      </c>
      <c r="C965" t="s">
        <v>11</v>
      </c>
      <c r="D965" t="s">
        <v>342</v>
      </c>
      <c r="E965" t="str">
        <f>"014"</f>
        <v>014</v>
      </c>
      <c r="F965">
        <v>2007</v>
      </c>
      <c r="G965" s="5">
        <v>14769600</v>
      </c>
      <c r="H965" s="5">
        <v>10510700</v>
      </c>
      <c r="I965" s="5">
        <v>4258900</v>
      </c>
    </row>
    <row r="966" spans="1:9" x14ac:dyDescent="0.3">
      <c r="A966" t="s">
        <v>341</v>
      </c>
      <c r="B966" t="str">
        <f>"53210"</f>
        <v>53210</v>
      </c>
      <c r="C966" t="s">
        <v>11</v>
      </c>
      <c r="D966" t="s">
        <v>170</v>
      </c>
      <c r="E966" t="str">
        <f>"006"</f>
        <v>006</v>
      </c>
      <c r="F966">
        <v>2006</v>
      </c>
      <c r="G966" s="5">
        <v>2269100</v>
      </c>
      <c r="H966" s="5">
        <v>102100</v>
      </c>
      <c r="I966" s="5">
        <v>2167000</v>
      </c>
    </row>
    <row r="967" spans="1:9" x14ac:dyDescent="0.3">
      <c r="A967" t="s">
        <v>341</v>
      </c>
      <c r="B967" t="str">
        <f>"53111"</f>
        <v>53111</v>
      </c>
      <c r="C967" t="s">
        <v>12</v>
      </c>
      <c r="D967" t="s">
        <v>343</v>
      </c>
      <c r="E967" t="str">
        <f>"004"</f>
        <v>004</v>
      </c>
      <c r="F967">
        <v>1998</v>
      </c>
      <c r="G967" s="5">
        <v>42618800</v>
      </c>
      <c r="H967" s="5">
        <v>17807300</v>
      </c>
      <c r="I967" s="5">
        <v>24811500</v>
      </c>
    </row>
    <row r="968" spans="1:9" x14ac:dyDescent="0.3">
      <c r="A968" t="s">
        <v>341</v>
      </c>
      <c r="B968" t="str">
        <f>"53221"</f>
        <v>53221</v>
      </c>
      <c r="C968" t="s">
        <v>11</v>
      </c>
      <c r="D968" t="s">
        <v>104</v>
      </c>
      <c r="E968" t="str">
        <f>"006"</f>
        <v>006</v>
      </c>
      <c r="F968">
        <v>2000</v>
      </c>
      <c r="G968" s="5">
        <v>28985400</v>
      </c>
      <c r="H968" s="5">
        <v>10105900</v>
      </c>
      <c r="I968" s="5">
        <v>18879500</v>
      </c>
    </row>
    <row r="969" spans="1:9" x14ac:dyDescent="0.3">
      <c r="A969" t="s">
        <v>341</v>
      </c>
      <c r="B969" t="str">
        <f>"53221"</f>
        <v>53221</v>
      </c>
      <c r="C969" t="s">
        <v>11</v>
      </c>
      <c r="D969" t="s">
        <v>104</v>
      </c>
      <c r="E969" t="str">
        <f>"007"</f>
        <v>007</v>
      </c>
      <c r="F969">
        <v>2000</v>
      </c>
      <c r="G969" s="5">
        <v>2905700</v>
      </c>
      <c r="H969" s="5">
        <v>650100</v>
      </c>
      <c r="I969" s="5">
        <v>2255600</v>
      </c>
    </row>
    <row r="970" spans="1:9" x14ac:dyDescent="0.3">
      <c r="A970" t="s">
        <v>341</v>
      </c>
      <c r="B970" t="str">
        <f>"53221"</f>
        <v>53221</v>
      </c>
      <c r="C970" t="s">
        <v>11</v>
      </c>
      <c r="D970" t="s">
        <v>104</v>
      </c>
      <c r="E970" t="str">
        <f>"008"</f>
        <v>008</v>
      </c>
      <c r="F970">
        <v>2005</v>
      </c>
      <c r="G970" s="5">
        <v>13309400</v>
      </c>
      <c r="H970" s="5">
        <v>7337900</v>
      </c>
      <c r="I970" s="5">
        <v>5971500</v>
      </c>
    </row>
    <row r="971" spans="1:9" x14ac:dyDescent="0.3">
      <c r="A971" t="s">
        <v>341</v>
      </c>
      <c r="B971" t="str">
        <f>"53222"</f>
        <v>53222</v>
      </c>
      <c r="C971" t="s">
        <v>11</v>
      </c>
      <c r="D971" t="s">
        <v>344</v>
      </c>
      <c r="E971" t="str">
        <f>"005"</f>
        <v>005</v>
      </c>
      <c r="F971">
        <v>2004</v>
      </c>
      <c r="G971" s="5">
        <v>23135100</v>
      </c>
      <c r="H971" s="5">
        <v>11299100</v>
      </c>
      <c r="I971" s="5">
        <v>11836000</v>
      </c>
    </row>
    <row r="972" spans="1:9" x14ac:dyDescent="0.3">
      <c r="A972" t="s">
        <v>341</v>
      </c>
      <c r="B972" t="str">
        <f>"53222"</f>
        <v>53222</v>
      </c>
      <c r="C972" t="s">
        <v>11</v>
      </c>
      <c r="D972" t="s">
        <v>344</v>
      </c>
      <c r="E972" t="str">
        <f>"006"</f>
        <v>006</v>
      </c>
      <c r="F972">
        <v>2006</v>
      </c>
      <c r="G972" s="5">
        <v>6868300</v>
      </c>
      <c r="H972" s="5">
        <v>1927800</v>
      </c>
      <c r="I972" s="5">
        <v>4940500</v>
      </c>
    </row>
    <row r="973" spans="1:9" x14ac:dyDescent="0.3">
      <c r="A973" t="s">
        <v>341</v>
      </c>
      <c r="B973" t="str">
        <f>"53222"</f>
        <v>53222</v>
      </c>
      <c r="C973" t="s">
        <v>11</v>
      </c>
      <c r="D973" t="s">
        <v>344</v>
      </c>
      <c r="E973" t="str">
        <f>"007"</f>
        <v>007</v>
      </c>
      <c r="F973">
        <v>2007</v>
      </c>
      <c r="G973" s="5">
        <v>8186200</v>
      </c>
      <c r="H973" s="5">
        <v>6101700</v>
      </c>
      <c r="I973" s="5">
        <v>2084500</v>
      </c>
    </row>
    <row r="974" spans="1:9" x14ac:dyDescent="0.3">
      <c r="A974" t="s">
        <v>341</v>
      </c>
      <c r="B974" t="str">
        <f>"53222"</f>
        <v>53222</v>
      </c>
      <c r="C974" t="s">
        <v>11</v>
      </c>
      <c r="D974" t="s">
        <v>344</v>
      </c>
      <c r="E974" t="str">
        <f>"008"</f>
        <v>008</v>
      </c>
      <c r="F974">
        <v>2008</v>
      </c>
      <c r="G974" s="5">
        <v>5203500</v>
      </c>
      <c r="H974" s="5">
        <v>2695300</v>
      </c>
      <c r="I974" s="5">
        <v>2508200</v>
      </c>
    </row>
    <row r="975" spans="1:9" x14ac:dyDescent="0.3">
      <c r="A975" t="s">
        <v>341</v>
      </c>
      <c r="B975" t="str">
        <f>"53222"</f>
        <v>53222</v>
      </c>
      <c r="C975" t="s">
        <v>11</v>
      </c>
      <c r="D975" t="s">
        <v>344</v>
      </c>
      <c r="E975" t="str">
        <f>"009"</f>
        <v>009</v>
      </c>
      <c r="F975">
        <v>2018</v>
      </c>
      <c r="G975" s="5">
        <v>1845000</v>
      </c>
      <c r="H975" s="5">
        <v>500</v>
      </c>
      <c r="I975" s="5">
        <v>1844500</v>
      </c>
    </row>
    <row r="976" spans="1:9" x14ac:dyDescent="0.3">
      <c r="A976" t="s">
        <v>341</v>
      </c>
      <c r="B976" t="str">
        <f>"53126"</f>
        <v>53126</v>
      </c>
      <c r="C976" t="s">
        <v>12</v>
      </c>
      <c r="D976" t="s">
        <v>345</v>
      </c>
      <c r="E976" t="str">
        <f>"001"</f>
        <v>001</v>
      </c>
      <c r="F976">
        <v>2000</v>
      </c>
      <c r="G976" s="5">
        <v>15417200</v>
      </c>
      <c r="H976" s="5">
        <v>1235300</v>
      </c>
      <c r="I976" s="5">
        <v>14181900</v>
      </c>
    </row>
    <row r="977" spans="1:9" x14ac:dyDescent="0.3">
      <c r="A977" t="s">
        <v>341</v>
      </c>
      <c r="B977" t="str">
        <f t="shared" ref="B977:B989" si="40">"53241"</f>
        <v>53241</v>
      </c>
      <c r="C977" t="s">
        <v>11</v>
      </c>
      <c r="D977" t="s">
        <v>346</v>
      </c>
      <c r="E977" t="str">
        <f>"017"</f>
        <v>017</v>
      </c>
      <c r="F977">
        <v>1997</v>
      </c>
      <c r="G977" s="5">
        <v>3043700</v>
      </c>
      <c r="H977" s="5">
        <v>1407500</v>
      </c>
      <c r="I977" s="5">
        <v>1636200</v>
      </c>
    </row>
    <row r="978" spans="1:9" x14ac:dyDescent="0.3">
      <c r="A978" t="s">
        <v>341</v>
      </c>
      <c r="B978" t="str">
        <f t="shared" si="40"/>
        <v>53241</v>
      </c>
      <c r="C978" t="s">
        <v>11</v>
      </c>
      <c r="D978" t="s">
        <v>346</v>
      </c>
      <c r="E978" t="str">
        <f>"022"</f>
        <v>022</v>
      </c>
      <c r="F978">
        <v>1999</v>
      </c>
      <c r="G978" s="5">
        <v>65014000</v>
      </c>
      <c r="H978" s="5">
        <v>5508500</v>
      </c>
      <c r="I978" s="5">
        <v>59505500</v>
      </c>
    </row>
    <row r="979" spans="1:9" x14ac:dyDescent="0.3">
      <c r="A979" t="s">
        <v>341</v>
      </c>
      <c r="B979" t="str">
        <f t="shared" si="40"/>
        <v>53241</v>
      </c>
      <c r="C979" t="s">
        <v>11</v>
      </c>
      <c r="D979" t="s">
        <v>346</v>
      </c>
      <c r="E979" t="str">
        <f>"023"</f>
        <v>023</v>
      </c>
      <c r="F979">
        <v>2002</v>
      </c>
      <c r="G979" s="5">
        <v>7650700</v>
      </c>
      <c r="H979" s="5">
        <v>4973700</v>
      </c>
      <c r="I979" s="5">
        <v>2677000</v>
      </c>
    </row>
    <row r="980" spans="1:9" x14ac:dyDescent="0.3">
      <c r="A980" t="s">
        <v>341</v>
      </c>
      <c r="B980" t="str">
        <f t="shared" si="40"/>
        <v>53241</v>
      </c>
      <c r="C980" t="s">
        <v>11</v>
      </c>
      <c r="D980" t="s">
        <v>346</v>
      </c>
      <c r="E980" t="str">
        <f>"025"</f>
        <v>025</v>
      </c>
      <c r="F980">
        <v>2003</v>
      </c>
      <c r="G980" s="5">
        <v>14396100</v>
      </c>
      <c r="H980" s="5">
        <v>12900</v>
      </c>
      <c r="I980" s="5">
        <v>14383200</v>
      </c>
    </row>
    <row r="981" spans="1:9" x14ac:dyDescent="0.3">
      <c r="A981" t="s">
        <v>341</v>
      </c>
      <c r="B981" t="str">
        <f t="shared" si="40"/>
        <v>53241</v>
      </c>
      <c r="C981" t="s">
        <v>11</v>
      </c>
      <c r="D981" t="s">
        <v>346</v>
      </c>
      <c r="E981" t="str">
        <f>"026"</f>
        <v>026</v>
      </c>
      <c r="F981">
        <v>2004</v>
      </c>
      <c r="G981" s="5">
        <v>49651600</v>
      </c>
      <c r="H981" s="5">
        <v>33643100</v>
      </c>
      <c r="I981" s="5">
        <v>16008500</v>
      </c>
    </row>
    <row r="982" spans="1:9" x14ac:dyDescent="0.3">
      <c r="A982" t="s">
        <v>341</v>
      </c>
      <c r="B982" t="str">
        <f t="shared" si="40"/>
        <v>53241</v>
      </c>
      <c r="C982" t="s">
        <v>11</v>
      </c>
      <c r="D982" t="s">
        <v>346</v>
      </c>
      <c r="E982" t="str">
        <f>"027"</f>
        <v>027</v>
      </c>
      <c r="F982">
        <v>2003</v>
      </c>
      <c r="G982" s="5">
        <v>4371900</v>
      </c>
      <c r="H982" s="5">
        <v>4064800</v>
      </c>
      <c r="I982" s="5">
        <v>307100</v>
      </c>
    </row>
    <row r="983" spans="1:9" x14ac:dyDescent="0.3">
      <c r="A983" t="s">
        <v>341</v>
      </c>
      <c r="B983" t="str">
        <f t="shared" si="40"/>
        <v>53241</v>
      </c>
      <c r="C983" t="s">
        <v>11</v>
      </c>
      <c r="D983" t="s">
        <v>346</v>
      </c>
      <c r="E983" t="str">
        <f>"028"</f>
        <v>028</v>
      </c>
      <c r="F983">
        <v>2006</v>
      </c>
      <c r="G983" s="5">
        <v>2804000</v>
      </c>
      <c r="H983" s="5">
        <v>2471400</v>
      </c>
      <c r="I983" s="5">
        <v>332600</v>
      </c>
    </row>
    <row r="984" spans="1:9" x14ac:dyDescent="0.3">
      <c r="A984" t="s">
        <v>341</v>
      </c>
      <c r="B984" t="str">
        <f t="shared" si="40"/>
        <v>53241</v>
      </c>
      <c r="C984" t="s">
        <v>11</v>
      </c>
      <c r="D984" t="s">
        <v>346</v>
      </c>
      <c r="E984" t="str">
        <f>"029"</f>
        <v>029</v>
      </c>
      <c r="F984">
        <v>2007</v>
      </c>
      <c r="G984" s="5">
        <v>10337900</v>
      </c>
      <c r="H984" s="5">
        <v>6610100</v>
      </c>
      <c r="I984" s="5">
        <v>3727800</v>
      </c>
    </row>
    <row r="985" spans="1:9" x14ac:dyDescent="0.3">
      <c r="A985" t="s">
        <v>341</v>
      </c>
      <c r="B985" t="str">
        <f t="shared" si="40"/>
        <v>53241</v>
      </c>
      <c r="C985" t="s">
        <v>11</v>
      </c>
      <c r="D985" t="s">
        <v>346</v>
      </c>
      <c r="E985" t="str">
        <f>"032"</f>
        <v>032</v>
      </c>
      <c r="F985">
        <v>2008</v>
      </c>
      <c r="G985" s="5">
        <v>163499500</v>
      </c>
      <c r="H985" s="5">
        <v>81272100</v>
      </c>
      <c r="I985" s="5">
        <v>82227400</v>
      </c>
    </row>
    <row r="986" spans="1:9" x14ac:dyDescent="0.3">
      <c r="A986" t="s">
        <v>341</v>
      </c>
      <c r="B986" t="str">
        <f t="shared" si="40"/>
        <v>53241</v>
      </c>
      <c r="C986" t="s">
        <v>11</v>
      </c>
      <c r="D986" t="s">
        <v>346</v>
      </c>
      <c r="E986" t="str">
        <f>"033"</f>
        <v>033</v>
      </c>
      <c r="F986">
        <v>2008</v>
      </c>
      <c r="G986" s="5">
        <v>22577200</v>
      </c>
      <c r="H986" s="5">
        <v>7048500</v>
      </c>
      <c r="I986" s="5">
        <v>15528700</v>
      </c>
    </row>
    <row r="987" spans="1:9" x14ac:dyDescent="0.3">
      <c r="A987" t="s">
        <v>341</v>
      </c>
      <c r="B987" t="str">
        <f t="shared" si="40"/>
        <v>53241</v>
      </c>
      <c r="C987" t="s">
        <v>11</v>
      </c>
      <c r="D987" t="s">
        <v>346</v>
      </c>
      <c r="E987" t="str">
        <f>"035"</f>
        <v>035</v>
      </c>
      <c r="F987">
        <v>2011</v>
      </c>
      <c r="G987" s="5">
        <v>113091000</v>
      </c>
      <c r="H987" s="5">
        <v>28377800</v>
      </c>
      <c r="I987" s="5">
        <v>84713200</v>
      </c>
    </row>
    <row r="988" spans="1:9" x14ac:dyDescent="0.3">
      <c r="A988" t="s">
        <v>341</v>
      </c>
      <c r="B988" t="str">
        <f t="shared" si="40"/>
        <v>53241</v>
      </c>
      <c r="C988" t="s">
        <v>11</v>
      </c>
      <c r="D988" t="s">
        <v>346</v>
      </c>
      <c r="E988" t="str">
        <f>"036"</f>
        <v>036</v>
      </c>
      <c r="F988">
        <v>2016</v>
      </c>
      <c r="G988" s="5">
        <v>106603700</v>
      </c>
      <c r="H988" s="5">
        <v>89009600</v>
      </c>
      <c r="I988" s="5">
        <v>17594100</v>
      </c>
    </row>
    <row r="989" spans="1:9" x14ac:dyDescent="0.3">
      <c r="A989" t="s">
        <v>341</v>
      </c>
      <c r="B989" t="str">
        <f t="shared" si="40"/>
        <v>53241</v>
      </c>
      <c r="C989" t="s">
        <v>11</v>
      </c>
      <c r="D989" t="s">
        <v>346</v>
      </c>
      <c r="E989" t="str">
        <f>"037"</f>
        <v>037</v>
      </c>
      <c r="F989">
        <v>2017</v>
      </c>
      <c r="G989" s="5">
        <v>25867600</v>
      </c>
      <c r="H989" s="5">
        <v>7260400</v>
      </c>
      <c r="I989" s="5">
        <v>18607200</v>
      </c>
    </row>
    <row r="990" spans="1:9" x14ac:dyDescent="0.3">
      <c r="A990" t="s">
        <v>341</v>
      </c>
      <c r="B990" t="str">
        <f>"53257"</f>
        <v>53257</v>
      </c>
      <c r="C990" t="s">
        <v>11</v>
      </c>
      <c r="D990" t="s">
        <v>347</v>
      </c>
      <c r="E990" t="str">
        <f>"006"</f>
        <v>006</v>
      </c>
      <c r="F990">
        <v>2003</v>
      </c>
      <c r="G990" s="5">
        <v>42975900</v>
      </c>
      <c r="H990" s="5">
        <v>3330300</v>
      </c>
      <c r="I990" s="5">
        <v>39645600</v>
      </c>
    </row>
    <row r="991" spans="1:9" x14ac:dyDescent="0.3">
      <c r="A991" t="s">
        <v>341</v>
      </c>
      <c r="B991" t="str">
        <f>"53257"</f>
        <v>53257</v>
      </c>
      <c r="C991" t="s">
        <v>11</v>
      </c>
      <c r="D991" t="s">
        <v>347</v>
      </c>
      <c r="E991" t="str">
        <f>"007"</f>
        <v>007</v>
      </c>
      <c r="F991">
        <v>2004</v>
      </c>
      <c r="G991" s="5">
        <v>15119200</v>
      </c>
      <c r="H991" s="5">
        <v>8567500</v>
      </c>
      <c r="I991" s="5">
        <v>6551700</v>
      </c>
    </row>
    <row r="992" spans="1:9" x14ac:dyDescent="0.3">
      <c r="A992" t="s">
        <v>341</v>
      </c>
      <c r="B992" t="str">
        <f>"53257"</f>
        <v>53257</v>
      </c>
      <c r="C992" t="s">
        <v>11</v>
      </c>
      <c r="D992" t="s">
        <v>347</v>
      </c>
      <c r="E992" t="str">
        <f>"009"</f>
        <v>009</v>
      </c>
      <c r="F992">
        <v>2016</v>
      </c>
      <c r="G992" s="5">
        <v>9827800</v>
      </c>
      <c r="H992" s="5">
        <v>174700</v>
      </c>
      <c r="I992" s="5">
        <v>9653100</v>
      </c>
    </row>
    <row r="993" spans="1:9" x14ac:dyDescent="0.3">
      <c r="A993" t="s">
        <v>341</v>
      </c>
      <c r="B993" t="str">
        <f>"53257"</f>
        <v>53257</v>
      </c>
      <c r="C993" t="s">
        <v>11</v>
      </c>
      <c r="D993" t="s">
        <v>347</v>
      </c>
      <c r="E993" t="str">
        <f>"010"</f>
        <v>010</v>
      </c>
      <c r="F993">
        <v>2018</v>
      </c>
      <c r="G993" s="5">
        <v>23227600</v>
      </c>
      <c r="H993" s="5">
        <v>20754200</v>
      </c>
      <c r="I993" s="5">
        <v>2473400</v>
      </c>
    </row>
    <row r="994" spans="1:9" x14ac:dyDescent="0.3">
      <c r="A994" t="s">
        <v>341</v>
      </c>
      <c r="B994" t="str">
        <f>"53165"</f>
        <v>53165</v>
      </c>
      <c r="C994" t="s">
        <v>12</v>
      </c>
      <c r="D994" t="s">
        <v>348</v>
      </c>
      <c r="E994" t="str">
        <f>"003"</f>
        <v>003</v>
      </c>
      <c r="F994">
        <v>2000</v>
      </c>
      <c r="G994" s="5">
        <v>8650400</v>
      </c>
      <c r="H994" s="5">
        <v>512700</v>
      </c>
      <c r="I994" s="5">
        <v>8137700</v>
      </c>
    </row>
    <row r="995" spans="1:9" x14ac:dyDescent="0.3">
      <c r="A995" t="s">
        <v>349</v>
      </c>
      <c r="B995" t="str">
        <f>"54106"</f>
        <v>54106</v>
      </c>
      <c r="C995" t="s">
        <v>12</v>
      </c>
      <c r="D995" t="s">
        <v>350</v>
      </c>
      <c r="E995" t="str">
        <f>"001"</f>
        <v>001</v>
      </c>
      <c r="F995">
        <v>1998</v>
      </c>
      <c r="G995" s="5">
        <v>76000</v>
      </c>
      <c r="H995" s="5">
        <v>11300</v>
      </c>
      <c r="I995" s="5">
        <v>64700</v>
      </c>
    </row>
    <row r="996" spans="1:9" x14ac:dyDescent="0.3">
      <c r="A996" t="s">
        <v>349</v>
      </c>
      <c r="B996" t="str">
        <f>"54106"</f>
        <v>54106</v>
      </c>
      <c r="C996" t="s">
        <v>12</v>
      </c>
      <c r="D996" t="s">
        <v>350</v>
      </c>
      <c r="E996" t="str">
        <f>"002"</f>
        <v>002</v>
      </c>
      <c r="F996">
        <v>2002</v>
      </c>
      <c r="G996" s="5">
        <v>1921300</v>
      </c>
      <c r="H996" s="5">
        <v>1272400</v>
      </c>
      <c r="I996" s="5">
        <v>648900</v>
      </c>
    </row>
    <row r="997" spans="1:9" x14ac:dyDescent="0.3">
      <c r="A997" t="s">
        <v>349</v>
      </c>
      <c r="B997" t="str">
        <f>"54136"</f>
        <v>54136</v>
      </c>
      <c r="C997" t="s">
        <v>12</v>
      </c>
      <c r="D997" t="s">
        <v>351</v>
      </c>
      <c r="E997" t="str">
        <f>"002"</f>
        <v>002</v>
      </c>
      <c r="F997">
        <v>2005</v>
      </c>
      <c r="G997" s="5">
        <v>0</v>
      </c>
      <c r="H997" s="5">
        <v>59400</v>
      </c>
      <c r="I997" s="5">
        <v>-59400</v>
      </c>
    </row>
    <row r="998" spans="1:9" x14ac:dyDescent="0.3">
      <c r="A998" t="s">
        <v>349</v>
      </c>
      <c r="B998" t="str">
        <f>"54136"</f>
        <v>54136</v>
      </c>
      <c r="C998" t="s">
        <v>12</v>
      </c>
      <c r="D998" t="s">
        <v>351</v>
      </c>
      <c r="E998" t="str">
        <f>"003"</f>
        <v>003</v>
      </c>
      <c r="F998">
        <v>2010</v>
      </c>
      <c r="G998" s="5">
        <v>606200</v>
      </c>
      <c r="H998" s="5">
        <v>96600</v>
      </c>
      <c r="I998" s="5">
        <v>509600</v>
      </c>
    </row>
    <row r="999" spans="1:9" x14ac:dyDescent="0.3">
      <c r="A999" t="s">
        <v>349</v>
      </c>
      <c r="B999" t="str">
        <f>"54246"</f>
        <v>54246</v>
      </c>
      <c r="C999" t="s">
        <v>11</v>
      </c>
      <c r="D999" t="s">
        <v>352</v>
      </c>
      <c r="E999" t="str">
        <f>"008"</f>
        <v>008</v>
      </c>
      <c r="F999">
        <v>2003</v>
      </c>
      <c r="G999" s="5">
        <v>5199200</v>
      </c>
      <c r="H999" s="5">
        <v>860000</v>
      </c>
      <c r="I999" s="5">
        <v>4339200</v>
      </c>
    </row>
    <row r="1000" spans="1:9" x14ac:dyDescent="0.3">
      <c r="A1000" t="s">
        <v>349</v>
      </c>
      <c r="B1000" t="str">
        <f>"54246"</f>
        <v>54246</v>
      </c>
      <c r="C1000" t="s">
        <v>11</v>
      </c>
      <c r="D1000" t="s">
        <v>352</v>
      </c>
      <c r="E1000" t="str">
        <f>"009"</f>
        <v>009</v>
      </c>
      <c r="F1000">
        <v>2006</v>
      </c>
      <c r="G1000" s="5">
        <v>12307300</v>
      </c>
      <c r="H1000" s="5">
        <v>2883600</v>
      </c>
      <c r="I1000" s="5">
        <v>9423700</v>
      </c>
    </row>
    <row r="1001" spans="1:9" x14ac:dyDescent="0.3">
      <c r="A1001" t="s">
        <v>349</v>
      </c>
      <c r="B1001" t="str">
        <f>"54246"</f>
        <v>54246</v>
      </c>
      <c r="C1001" t="s">
        <v>11</v>
      </c>
      <c r="D1001" t="s">
        <v>352</v>
      </c>
      <c r="E1001" t="str">
        <f>"010"</f>
        <v>010</v>
      </c>
      <c r="F1001">
        <v>2007</v>
      </c>
      <c r="G1001" s="5">
        <v>1858000</v>
      </c>
      <c r="H1001" s="5">
        <v>403500</v>
      </c>
      <c r="I1001" s="5">
        <v>1454500</v>
      </c>
    </row>
    <row r="1002" spans="1:9" x14ac:dyDescent="0.3">
      <c r="A1002" t="s">
        <v>349</v>
      </c>
      <c r="B1002" t="str">
        <f>"54246"</f>
        <v>54246</v>
      </c>
      <c r="C1002" t="s">
        <v>11</v>
      </c>
      <c r="D1002" t="s">
        <v>352</v>
      </c>
      <c r="E1002" t="str">
        <f>"011"</f>
        <v>011</v>
      </c>
      <c r="F1002">
        <v>2011</v>
      </c>
      <c r="G1002" s="5">
        <v>6960500</v>
      </c>
      <c r="H1002" s="5">
        <v>30200</v>
      </c>
      <c r="I1002" s="5">
        <v>6930300</v>
      </c>
    </row>
    <row r="1003" spans="1:9" x14ac:dyDescent="0.3">
      <c r="A1003" t="s">
        <v>349</v>
      </c>
      <c r="B1003" t="str">
        <f>"54191"</f>
        <v>54191</v>
      </c>
      <c r="C1003" t="s">
        <v>12</v>
      </c>
      <c r="D1003" t="s">
        <v>353</v>
      </c>
      <c r="E1003" t="str">
        <f>"001"</f>
        <v>001</v>
      </c>
      <c r="F1003">
        <v>2013</v>
      </c>
      <c r="G1003" s="5">
        <v>19481400</v>
      </c>
      <c r="H1003" s="5">
        <v>728700</v>
      </c>
      <c r="I1003" s="5">
        <v>18752700</v>
      </c>
    </row>
    <row r="1004" spans="1:9" x14ac:dyDescent="0.3">
      <c r="A1004" t="s">
        <v>354</v>
      </c>
      <c r="B1004" t="str">
        <f>"56206"</f>
        <v>56206</v>
      </c>
      <c r="C1004" t="s">
        <v>11</v>
      </c>
      <c r="D1004" t="s">
        <v>355</v>
      </c>
      <c r="E1004" t="str">
        <f>"006"</f>
        <v>006</v>
      </c>
      <c r="F1004">
        <v>1999</v>
      </c>
      <c r="G1004" s="5">
        <v>43840200</v>
      </c>
      <c r="H1004" s="5">
        <v>8158000</v>
      </c>
      <c r="I1004" s="5">
        <v>35682200</v>
      </c>
    </row>
    <row r="1005" spans="1:9" x14ac:dyDescent="0.3">
      <c r="A1005" t="s">
        <v>354</v>
      </c>
      <c r="B1005" t="str">
        <f>"56206"</f>
        <v>56206</v>
      </c>
      <c r="C1005" t="s">
        <v>11</v>
      </c>
      <c r="D1005" t="s">
        <v>355</v>
      </c>
      <c r="E1005" t="str">
        <f>"007"</f>
        <v>007</v>
      </c>
      <c r="F1005">
        <v>2006</v>
      </c>
      <c r="G1005" s="5">
        <v>10677700</v>
      </c>
      <c r="H1005" s="5">
        <v>248300</v>
      </c>
      <c r="I1005" s="5">
        <v>10429400</v>
      </c>
    </row>
    <row r="1006" spans="1:9" x14ac:dyDescent="0.3">
      <c r="A1006" t="s">
        <v>354</v>
      </c>
      <c r="B1006" t="str">
        <f>"56206"</f>
        <v>56206</v>
      </c>
      <c r="C1006" t="s">
        <v>11</v>
      </c>
      <c r="D1006" t="s">
        <v>355</v>
      </c>
      <c r="E1006" t="str">
        <f>"008"</f>
        <v>008</v>
      </c>
      <c r="F1006">
        <v>2006</v>
      </c>
      <c r="G1006" s="5">
        <v>19331200</v>
      </c>
      <c r="H1006" s="5">
        <v>17516600</v>
      </c>
      <c r="I1006" s="5">
        <v>1814600</v>
      </c>
    </row>
    <row r="1007" spans="1:9" x14ac:dyDescent="0.3">
      <c r="A1007" t="s">
        <v>354</v>
      </c>
      <c r="B1007" t="str">
        <f>"56206"</f>
        <v>56206</v>
      </c>
      <c r="C1007" t="s">
        <v>11</v>
      </c>
      <c r="D1007" t="s">
        <v>355</v>
      </c>
      <c r="E1007" t="str">
        <f>"009"</f>
        <v>009</v>
      </c>
      <c r="F1007">
        <v>2008</v>
      </c>
      <c r="G1007" s="5">
        <v>0</v>
      </c>
      <c r="H1007" s="5">
        <v>344100</v>
      </c>
      <c r="I1007" s="5">
        <v>-344100</v>
      </c>
    </row>
    <row r="1008" spans="1:9" x14ac:dyDescent="0.3">
      <c r="A1008" t="s">
        <v>354</v>
      </c>
      <c r="B1008" t="str">
        <f>"56146"</f>
        <v>56146</v>
      </c>
      <c r="C1008" t="s">
        <v>12</v>
      </c>
      <c r="D1008" t="s">
        <v>356</v>
      </c>
      <c r="E1008" t="str">
        <f>"002"</f>
        <v>002</v>
      </c>
      <c r="F1008">
        <v>2000</v>
      </c>
      <c r="G1008" s="5">
        <v>98807100</v>
      </c>
      <c r="H1008" s="5">
        <v>36368600</v>
      </c>
      <c r="I1008" s="5">
        <v>62438500</v>
      </c>
    </row>
    <row r="1009" spans="1:9" x14ac:dyDescent="0.3">
      <c r="A1009" t="s">
        <v>354</v>
      </c>
      <c r="B1009" t="str">
        <f>"56146"</f>
        <v>56146</v>
      </c>
      <c r="C1009" t="s">
        <v>12</v>
      </c>
      <c r="D1009" t="s">
        <v>356</v>
      </c>
      <c r="E1009" t="str">
        <f>"003"</f>
        <v>003</v>
      </c>
      <c r="F1009">
        <v>2005</v>
      </c>
      <c r="G1009" s="5">
        <v>366435000</v>
      </c>
      <c r="H1009" s="5">
        <v>43963700</v>
      </c>
      <c r="I1009" s="5">
        <v>322471300</v>
      </c>
    </row>
    <row r="1010" spans="1:9" x14ac:dyDescent="0.3">
      <c r="A1010" t="s">
        <v>354</v>
      </c>
      <c r="B1010" t="str">
        <f>"56146"</f>
        <v>56146</v>
      </c>
      <c r="C1010" t="s">
        <v>12</v>
      </c>
      <c r="D1010" t="s">
        <v>356</v>
      </c>
      <c r="E1010" t="str">
        <f>"004"</f>
        <v>004</v>
      </c>
      <c r="F1010">
        <v>2007</v>
      </c>
      <c r="G1010" s="5">
        <v>40938200</v>
      </c>
      <c r="H1010" s="5">
        <v>31741000</v>
      </c>
      <c r="I1010" s="5">
        <v>9197200</v>
      </c>
    </row>
    <row r="1011" spans="1:9" x14ac:dyDescent="0.3">
      <c r="A1011" t="s">
        <v>354</v>
      </c>
      <c r="B1011" t="str">
        <f>"56149"</f>
        <v>56149</v>
      </c>
      <c r="C1011" t="s">
        <v>12</v>
      </c>
      <c r="D1011" t="s">
        <v>357</v>
      </c>
      <c r="E1011" t="str">
        <f>"002"</f>
        <v>002</v>
      </c>
      <c r="F1011">
        <v>2018</v>
      </c>
      <c r="G1011" s="5">
        <v>2064300</v>
      </c>
      <c r="H1011" s="5">
        <v>1739100</v>
      </c>
      <c r="I1011" s="5">
        <v>325200</v>
      </c>
    </row>
    <row r="1012" spans="1:9" x14ac:dyDescent="0.3">
      <c r="A1012" t="s">
        <v>354</v>
      </c>
      <c r="B1012" t="str">
        <f>"56161"</f>
        <v>56161</v>
      </c>
      <c r="C1012" t="s">
        <v>12</v>
      </c>
      <c r="D1012" t="s">
        <v>358</v>
      </c>
      <c r="E1012" t="str">
        <f>"001"</f>
        <v>001</v>
      </c>
      <c r="F1012">
        <v>1997</v>
      </c>
      <c r="G1012" s="5">
        <v>5622200</v>
      </c>
      <c r="H1012" s="5">
        <v>3027800</v>
      </c>
      <c r="I1012" s="5">
        <v>2594400</v>
      </c>
    </row>
    <row r="1013" spans="1:9" x14ac:dyDescent="0.3">
      <c r="A1013" t="s">
        <v>354</v>
      </c>
      <c r="B1013" t="str">
        <f>"56171"</f>
        <v>56171</v>
      </c>
      <c r="C1013" t="s">
        <v>12</v>
      </c>
      <c r="D1013" t="s">
        <v>359</v>
      </c>
      <c r="E1013" t="str">
        <f>"002"</f>
        <v>002</v>
      </c>
      <c r="F1013">
        <v>2006</v>
      </c>
      <c r="G1013" s="5">
        <v>3590100</v>
      </c>
      <c r="H1013" s="5">
        <v>169500</v>
      </c>
      <c r="I1013" s="5">
        <v>3420600</v>
      </c>
    </row>
    <row r="1014" spans="1:9" x14ac:dyDescent="0.3">
      <c r="A1014" t="s">
        <v>354</v>
      </c>
      <c r="B1014" t="str">
        <f>"56172"</f>
        <v>56172</v>
      </c>
      <c r="C1014" t="s">
        <v>12</v>
      </c>
      <c r="D1014" t="s">
        <v>360</v>
      </c>
      <c r="E1014" t="str">
        <f>"004"</f>
        <v>004</v>
      </c>
      <c r="F1014">
        <v>2008</v>
      </c>
      <c r="G1014" s="5">
        <v>16782400</v>
      </c>
      <c r="H1014" s="5">
        <v>483300</v>
      </c>
      <c r="I1014" s="5">
        <v>16299100</v>
      </c>
    </row>
    <row r="1015" spans="1:9" x14ac:dyDescent="0.3">
      <c r="A1015" t="s">
        <v>354</v>
      </c>
      <c r="B1015" t="str">
        <f>"56172"</f>
        <v>56172</v>
      </c>
      <c r="C1015" t="s">
        <v>12</v>
      </c>
      <c r="D1015" t="s">
        <v>360</v>
      </c>
      <c r="E1015" t="str">
        <f>"005"</f>
        <v>005</v>
      </c>
      <c r="F1015">
        <v>2018</v>
      </c>
      <c r="G1015" s="5">
        <v>2813200</v>
      </c>
      <c r="H1015" s="5">
        <v>142200</v>
      </c>
      <c r="I1015" s="5">
        <v>2671000</v>
      </c>
    </row>
    <row r="1016" spans="1:9" x14ac:dyDescent="0.3">
      <c r="A1016" t="s">
        <v>354</v>
      </c>
      <c r="B1016" t="str">
        <f>"56172"</f>
        <v>56172</v>
      </c>
      <c r="C1016" t="s">
        <v>12</v>
      </c>
      <c r="D1016" t="s">
        <v>360</v>
      </c>
      <c r="E1016" t="str">
        <f>"006"</f>
        <v>006</v>
      </c>
      <c r="F1016">
        <v>2018</v>
      </c>
      <c r="G1016" s="5">
        <v>14845100</v>
      </c>
      <c r="H1016" s="5">
        <v>10871000</v>
      </c>
      <c r="I1016" s="5">
        <v>3974100</v>
      </c>
    </row>
    <row r="1017" spans="1:9" x14ac:dyDescent="0.3">
      <c r="A1017" t="s">
        <v>354</v>
      </c>
      <c r="B1017" t="str">
        <f t="shared" ref="B1017:B1023" si="41">"56276"</f>
        <v>56276</v>
      </c>
      <c r="C1017" t="s">
        <v>11</v>
      </c>
      <c r="D1017" t="s">
        <v>361</v>
      </c>
      <c r="E1017" t="str">
        <f>"003"</f>
        <v>003</v>
      </c>
      <c r="F1017">
        <v>1998</v>
      </c>
      <c r="G1017" s="5">
        <v>5223100</v>
      </c>
      <c r="H1017" s="5">
        <v>1249400</v>
      </c>
      <c r="I1017" s="5">
        <v>3973700</v>
      </c>
    </row>
    <row r="1018" spans="1:9" x14ac:dyDescent="0.3">
      <c r="A1018" t="s">
        <v>354</v>
      </c>
      <c r="B1018" t="str">
        <f t="shared" si="41"/>
        <v>56276</v>
      </c>
      <c r="C1018" t="s">
        <v>11</v>
      </c>
      <c r="D1018" t="s">
        <v>361</v>
      </c>
      <c r="E1018" t="str">
        <f>"004"</f>
        <v>004</v>
      </c>
      <c r="F1018">
        <v>1998</v>
      </c>
      <c r="G1018" s="5">
        <v>18974800</v>
      </c>
      <c r="H1018" s="5">
        <v>4085900</v>
      </c>
      <c r="I1018" s="5">
        <v>14888900</v>
      </c>
    </row>
    <row r="1019" spans="1:9" x14ac:dyDescent="0.3">
      <c r="A1019" t="s">
        <v>354</v>
      </c>
      <c r="B1019" t="str">
        <f t="shared" si="41"/>
        <v>56276</v>
      </c>
      <c r="C1019" t="s">
        <v>11</v>
      </c>
      <c r="D1019" t="s">
        <v>361</v>
      </c>
      <c r="E1019" t="str">
        <f>"005"</f>
        <v>005</v>
      </c>
      <c r="F1019">
        <v>2000</v>
      </c>
      <c r="G1019" s="5">
        <v>4826000</v>
      </c>
      <c r="H1019" s="5">
        <v>1309000</v>
      </c>
      <c r="I1019" s="5">
        <v>3517000</v>
      </c>
    </row>
    <row r="1020" spans="1:9" x14ac:dyDescent="0.3">
      <c r="A1020" t="s">
        <v>354</v>
      </c>
      <c r="B1020" t="str">
        <f t="shared" si="41"/>
        <v>56276</v>
      </c>
      <c r="C1020" t="s">
        <v>11</v>
      </c>
      <c r="D1020" t="s">
        <v>361</v>
      </c>
      <c r="E1020" t="str">
        <f>"006"</f>
        <v>006</v>
      </c>
      <c r="F1020">
        <v>2000</v>
      </c>
      <c r="G1020" s="5">
        <v>16791800</v>
      </c>
      <c r="H1020" s="5">
        <v>10195300</v>
      </c>
      <c r="I1020" s="5">
        <v>6596500</v>
      </c>
    </row>
    <row r="1021" spans="1:9" x14ac:dyDescent="0.3">
      <c r="A1021" t="s">
        <v>354</v>
      </c>
      <c r="B1021" t="str">
        <f t="shared" si="41"/>
        <v>56276</v>
      </c>
      <c r="C1021" t="s">
        <v>11</v>
      </c>
      <c r="D1021" t="s">
        <v>361</v>
      </c>
      <c r="E1021" t="str">
        <f>"007"</f>
        <v>007</v>
      </c>
      <c r="F1021">
        <v>2001</v>
      </c>
      <c r="G1021" s="5">
        <v>979100</v>
      </c>
      <c r="H1021" s="5">
        <v>147600</v>
      </c>
      <c r="I1021" s="5">
        <v>831500</v>
      </c>
    </row>
    <row r="1022" spans="1:9" x14ac:dyDescent="0.3">
      <c r="A1022" t="s">
        <v>354</v>
      </c>
      <c r="B1022" t="str">
        <f t="shared" si="41"/>
        <v>56276</v>
      </c>
      <c r="C1022" t="s">
        <v>11</v>
      </c>
      <c r="D1022" t="s">
        <v>361</v>
      </c>
      <c r="E1022" t="str">
        <f>"008"</f>
        <v>008</v>
      </c>
      <c r="F1022">
        <v>2008</v>
      </c>
      <c r="G1022" s="5">
        <v>5157200</v>
      </c>
      <c r="H1022" s="5">
        <v>1619700</v>
      </c>
      <c r="I1022" s="5">
        <v>3537500</v>
      </c>
    </row>
    <row r="1023" spans="1:9" x14ac:dyDescent="0.3">
      <c r="A1023" t="s">
        <v>354</v>
      </c>
      <c r="B1023" t="str">
        <f t="shared" si="41"/>
        <v>56276</v>
      </c>
      <c r="C1023" t="s">
        <v>11</v>
      </c>
      <c r="D1023" t="s">
        <v>361</v>
      </c>
      <c r="E1023" t="str">
        <f>"009"</f>
        <v>009</v>
      </c>
      <c r="F1023">
        <v>2016</v>
      </c>
      <c r="G1023" s="5">
        <v>55563700</v>
      </c>
      <c r="H1023" s="5">
        <v>36196600</v>
      </c>
      <c r="I1023" s="5">
        <v>19367100</v>
      </c>
    </row>
    <row r="1024" spans="1:9" x14ac:dyDescent="0.3">
      <c r="A1024" t="s">
        <v>354</v>
      </c>
      <c r="B1024" t="str">
        <f>"56181"</f>
        <v>56181</v>
      </c>
      <c r="C1024" t="s">
        <v>12</v>
      </c>
      <c r="D1024" t="s">
        <v>362</v>
      </c>
      <c r="E1024" t="str">
        <f>"006"</f>
        <v>006</v>
      </c>
      <c r="F1024">
        <v>2002</v>
      </c>
      <c r="G1024" s="5">
        <v>8563100</v>
      </c>
      <c r="H1024" s="5">
        <v>1206300</v>
      </c>
      <c r="I1024" s="5">
        <v>7356800</v>
      </c>
    </row>
    <row r="1025" spans="1:9" x14ac:dyDescent="0.3">
      <c r="A1025" t="s">
        <v>354</v>
      </c>
      <c r="B1025" t="str">
        <f>"56181"</f>
        <v>56181</v>
      </c>
      <c r="C1025" t="s">
        <v>12</v>
      </c>
      <c r="D1025" t="s">
        <v>362</v>
      </c>
      <c r="E1025" t="str">
        <f>"007"</f>
        <v>007</v>
      </c>
      <c r="F1025">
        <v>2005</v>
      </c>
      <c r="G1025" s="5">
        <v>3866900</v>
      </c>
      <c r="H1025" s="5">
        <v>706200</v>
      </c>
      <c r="I1025" s="5">
        <v>3160700</v>
      </c>
    </row>
    <row r="1026" spans="1:9" x14ac:dyDescent="0.3">
      <c r="A1026" t="s">
        <v>354</v>
      </c>
      <c r="B1026" t="str">
        <f>"56181"</f>
        <v>56181</v>
      </c>
      <c r="C1026" t="s">
        <v>12</v>
      </c>
      <c r="D1026" t="s">
        <v>362</v>
      </c>
      <c r="E1026" t="str">
        <f>"008"</f>
        <v>008</v>
      </c>
      <c r="F1026">
        <v>2005</v>
      </c>
      <c r="G1026" s="5">
        <v>26503900</v>
      </c>
      <c r="H1026" s="5">
        <v>14893500</v>
      </c>
      <c r="I1026" s="5">
        <v>11610400</v>
      </c>
    </row>
    <row r="1027" spans="1:9" x14ac:dyDescent="0.3">
      <c r="A1027" t="s">
        <v>354</v>
      </c>
      <c r="B1027" t="str">
        <f>"56181"</f>
        <v>56181</v>
      </c>
      <c r="C1027" t="s">
        <v>12</v>
      </c>
      <c r="D1027" t="s">
        <v>362</v>
      </c>
      <c r="E1027" t="str">
        <f>"009"</f>
        <v>009</v>
      </c>
      <c r="F1027">
        <v>2015</v>
      </c>
      <c r="G1027" s="5">
        <v>4712300</v>
      </c>
      <c r="H1027" s="5">
        <v>3331900</v>
      </c>
      <c r="I1027" s="5">
        <v>1380400</v>
      </c>
    </row>
    <row r="1028" spans="1:9" x14ac:dyDescent="0.3">
      <c r="A1028" t="s">
        <v>354</v>
      </c>
      <c r="B1028" t="str">
        <f>"56182"</f>
        <v>56182</v>
      </c>
      <c r="C1028" t="s">
        <v>12</v>
      </c>
      <c r="D1028" t="s">
        <v>363</v>
      </c>
      <c r="E1028" t="str">
        <f>"006"</f>
        <v>006</v>
      </c>
      <c r="F1028">
        <v>2017</v>
      </c>
      <c r="G1028" s="5">
        <v>26042200</v>
      </c>
      <c r="H1028" s="5">
        <v>18338500</v>
      </c>
      <c r="I1028" s="5">
        <v>7703700</v>
      </c>
    </row>
    <row r="1029" spans="1:9" x14ac:dyDescent="0.3">
      <c r="A1029" t="s">
        <v>354</v>
      </c>
      <c r="B1029" t="str">
        <f>"56191"</f>
        <v>56191</v>
      </c>
      <c r="C1029" t="s">
        <v>12</v>
      </c>
      <c r="D1029" t="s">
        <v>364</v>
      </c>
      <c r="E1029" t="str">
        <f>"003"</f>
        <v>003</v>
      </c>
      <c r="F1029">
        <v>2018</v>
      </c>
      <c r="G1029" s="5">
        <v>1016000</v>
      </c>
      <c r="H1029" s="5">
        <v>10611600</v>
      </c>
      <c r="I1029" s="5">
        <v>-9595600</v>
      </c>
    </row>
    <row r="1030" spans="1:9" x14ac:dyDescent="0.3">
      <c r="A1030" t="s">
        <v>354</v>
      </c>
      <c r="B1030" t="str">
        <f>"56291"</f>
        <v>56291</v>
      </c>
      <c r="C1030" t="s">
        <v>11</v>
      </c>
      <c r="D1030" t="s">
        <v>17</v>
      </c>
      <c r="E1030" t="str">
        <f>"002"</f>
        <v>002</v>
      </c>
      <c r="F1030">
        <v>2001</v>
      </c>
      <c r="G1030" s="5">
        <v>38888600</v>
      </c>
      <c r="H1030" s="5">
        <v>15582600</v>
      </c>
      <c r="I1030" s="5">
        <v>23306000</v>
      </c>
    </row>
    <row r="1031" spans="1:9" x14ac:dyDescent="0.3">
      <c r="A1031" t="s">
        <v>354</v>
      </c>
      <c r="B1031" t="str">
        <f>"56291"</f>
        <v>56291</v>
      </c>
      <c r="C1031" t="s">
        <v>11</v>
      </c>
      <c r="D1031" t="s">
        <v>17</v>
      </c>
      <c r="E1031" t="str">
        <f>"003"</f>
        <v>003</v>
      </c>
      <c r="F1031">
        <v>2005</v>
      </c>
      <c r="G1031" s="5">
        <v>3658900</v>
      </c>
      <c r="H1031" s="5">
        <v>1965200</v>
      </c>
      <c r="I1031" s="5">
        <v>1693700</v>
      </c>
    </row>
    <row r="1032" spans="1:9" x14ac:dyDescent="0.3">
      <c r="A1032" t="s">
        <v>354</v>
      </c>
      <c r="B1032" t="str">
        <f>"56291"</f>
        <v>56291</v>
      </c>
      <c r="C1032" t="s">
        <v>11</v>
      </c>
      <c r="D1032" t="s">
        <v>17</v>
      </c>
      <c r="E1032" t="str">
        <f>"004"</f>
        <v>004</v>
      </c>
      <c r="F1032">
        <v>2006</v>
      </c>
      <c r="G1032" s="5">
        <v>4447100</v>
      </c>
      <c r="H1032" s="5">
        <v>1464100</v>
      </c>
      <c r="I1032" s="5">
        <v>2983000</v>
      </c>
    </row>
    <row r="1033" spans="1:9" x14ac:dyDescent="0.3">
      <c r="A1033" t="s">
        <v>365</v>
      </c>
      <c r="B1033" t="str">
        <f>"57236"</f>
        <v>57236</v>
      </c>
      <c r="C1033" t="s">
        <v>11</v>
      </c>
      <c r="D1033" t="s">
        <v>366</v>
      </c>
      <c r="E1033" t="str">
        <f>"005"</f>
        <v>005</v>
      </c>
      <c r="F1033">
        <v>2018</v>
      </c>
      <c r="G1033" s="5">
        <v>877300</v>
      </c>
      <c r="H1033" s="5">
        <v>693400</v>
      </c>
      <c r="I1033" s="5">
        <v>183900</v>
      </c>
    </row>
    <row r="1034" spans="1:9" x14ac:dyDescent="0.3">
      <c r="A1034" t="s">
        <v>367</v>
      </c>
      <c r="B1034" t="str">
        <f>"58106"</f>
        <v>58106</v>
      </c>
      <c r="C1034" t="s">
        <v>12</v>
      </c>
      <c r="D1034" t="s">
        <v>368</v>
      </c>
      <c r="E1034" t="str">
        <f>"001"</f>
        <v>001</v>
      </c>
      <c r="F1034">
        <v>1997</v>
      </c>
      <c r="G1034" s="5">
        <v>22802100</v>
      </c>
      <c r="H1034" s="5">
        <v>13300900</v>
      </c>
      <c r="I1034" s="5">
        <v>9501200</v>
      </c>
    </row>
    <row r="1035" spans="1:9" x14ac:dyDescent="0.3">
      <c r="A1035" t="s">
        <v>367</v>
      </c>
      <c r="B1035" t="str">
        <f>"58107"</f>
        <v>58107</v>
      </c>
      <c r="C1035" t="s">
        <v>12</v>
      </c>
      <c r="D1035" t="s">
        <v>369</v>
      </c>
      <c r="E1035" t="str">
        <f>"001"</f>
        <v>001</v>
      </c>
      <c r="F1035">
        <v>1994</v>
      </c>
      <c r="G1035" s="5">
        <v>16777500</v>
      </c>
      <c r="H1035" s="5">
        <v>1981600</v>
      </c>
      <c r="I1035" s="5">
        <v>14795900</v>
      </c>
    </row>
    <row r="1036" spans="1:9" x14ac:dyDescent="0.3">
      <c r="A1036" t="s">
        <v>367</v>
      </c>
      <c r="B1036" t="str">
        <f>"58108"</f>
        <v>58108</v>
      </c>
      <c r="C1036" t="s">
        <v>12</v>
      </c>
      <c r="D1036" t="s">
        <v>370</v>
      </c>
      <c r="E1036" t="str">
        <f>"002"</f>
        <v>002</v>
      </c>
      <c r="F1036">
        <v>1997</v>
      </c>
      <c r="G1036" s="5">
        <v>219300</v>
      </c>
      <c r="H1036" s="5">
        <v>37400</v>
      </c>
      <c r="I1036" s="5">
        <v>181900</v>
      </c>
    </row>
    <row r="1037" spans="1:9" x14ac:dyDescent="0.3">
      <c r="A1037" t="s">
        <v>367</v>
      </c>
      <c r="B1037" t="str">
        <f>"58131"</f>
        <v>58131</v>
      </c>
      <c r="C1037" t="s">
        <v>12</v>
      </c>
      <c r="D1037" t="s">
        <v>371</v>
      </c>
      <c r="E1037" t="str">
        <f>"001"</f>
        <v>001</v>
      </c>
      <c r="F1037">
        <v>2011</v>
      </c>
      <c r="G1037" s="5">
        <v>1534600</v>
      </c>
      <c r="H1037" s="5">
        <v>1251500</v>
      </c>
      <c r="I1037" s="5">
        <v>283100</v>
      </c>
    </row>
    <row r="1038" spans="1:9" x14ac:dyDescent="0.3">
      <c r="A1038" t="s">
        <v>367</v>
      </c>
      <c r="B1038" t="str">
        <f>"58131"</f>
        <v>58131</v>
      </c>
      <c r="C1038" t="s">
        <v>12</v>
      </c>
      <c r="D1038" t="s">
        <v>371</v>
      </c>
      <c r="E1038" t="str">
        <f>"002"</f>
        <v>002</v>
      </c>
      <c r="F1038">
        <v>2015</v>
      </c>
      <c r="G1038" s="5">
        <v>3380300</v>
      </c>
      <c r="H1038" s="5">
        <v>2482000</v>
      </c>
      <c r="I1038" s="5">
        <v>898300</v>
      </c>
    </row>
    <row r="1039" spans="1:9" x14ac:dyDescent="0.3">
      <c r="A1039" t="s">
        <v>367</v>
      </c>
      <c r="B1039" t="str">
        <f>"58281"</f>
        <v>58281</v>
      </c>
      <c r="C1039" t="s">
        <v>11</v>
      </c>
      <c r="D1039" t="s">
        <v>367</v>
      </c>
      <c r="E1039" t="str">
        <f>"004"</f>
        <v>004</v>
      </c>
      <c r="F1039">
        <v>2000</v>
      </c>
      <c r="G1039" s="5">
        <v>21975200</v>
      </c>
      <c r="H1039" s="5">
        <v>13105100</v>
      </c>
      <c r="I1039" s="5">
        <v>8870100</v>
      </c>
    </row>
    <row r="1040" spans="1:9" x14ac:dyDescent="0.3">
      <c r="A1040" t="s">
        <v>367</v>
      </c>
      <c r="B1040" t="str">
        <f>"58281"</f>
        <v>58281</v>
      </c>
      <c r="C1040" t="s">
        <v>11</v>
      </c>
      <c r="D1040" t="s">
        <v>367</v>
      </c>
      <c r="E1040" t="str">
        <f>"005"</f>
        <v>005</v>
      </c>
      <c r="F1040">
        <v>2001</v>
      </c>
      <c r="G1040" s="5">
        <v>6028100</v>
      </c>
      <c r="H1040" s="5">
        <v>314300</v>
      </c>
      <c r="I1040" s="5">
        <v>5713800</v>
      </c>
    </row>
    <row r="1041" spans="1:9" x14ac:dyDescent="0.3">
      <c r="A1041" t="s">
        <v>367</v>
      </c>
      <c r="B1041" t="str">
        <f>"58281"</f>
        <v>58281</v>
      </c>
      <c r="C1041" t="s">
        <v>11</v>
      </c>
      <c r="D1041" t="s">
        <v>367</v>
      </c>
      <c r="E1041" t="str">
        <f>"006"</f>
        <v>006</v>
      </c>
      <c r="F1041">
        <v>2014</v>
      </c>
      <c r="G1041" s="5">
        <v>41898300</v>
      </c>
      <c r="H1041" s="5">
        <v>34897300</v>
      </c>
      <c r="I1041" s="5">
        <v>7001000</v>
      </c>
    </row>
    <row r="1042" spans="1:9" x14ac:dyDescent="0.3">
      <c r="A1042" t="s">
        <v>367</v>
      </c>
      <c r="B1042" t="str">
        <f>"58281"</f>
        <v>58281</v>
      </c>
      <c r="C1042" t="s">
        <v>11</v>
      </c>
      <c r="D1042" t="s">
        <v>367</v>
      </c>
      <c r="E1042" t="str">
        <f>"007"</f>
        <v>007</v>
      </c>
      <c r="F1042">
        <v>2016</v>
      </c>
      <c r="G1042" s="5">
        <v>28305900</v>
      </c>
      <c r="H1042" s="5">
        <v>6988200</v>
      </c>
      <c r="I1042" s="5">
        <v>21317700</v>
      </c>
    </row>
    <row r="1043" spans="1:9" x14ac:dyDescent="0.3">
      <c r="A1043" t="s">
        <v>367</v>
      </c>
      <c r="B1043" t="str">
        <f>"58281"</f>
        <v>58281</v>
      </c>
      <c r="C1043" t="s">
        <v>11</v>
      </c>
      <c r="D1043" t="s">
        <v>367</v>
      </c>
      <c r="E1043" t="str">
        <f>"008"</f>
        <v>008</v>
      </c>
      <c r="F1043">
        <v>2018</v>
      </c>
      <c r="G1043" s="5">
        <v>176200</v>
      </c>
      <c r="H1043" s="5">
        <v>215900</v>
      </c>
      <c r="I1043" s="5">
        <v>-39700</v>
      </c>
    </row>
    <row r="1044" spans="1:9" x14ac:dyDescent="0.3">
      <c r="A1044" t="s">
        <v>367</v>
      </c>
      <c r="B1044" t="str">
        <f>"58186"</f>
        <v>58186</v>
      </c>
      <c r="C1044" t="s">
        <v>12</v>
      </c>
      <c r="D1044" t="s">
        <v>372</v>
      </c>
      <c r="E1044" t="str">
        <f>"001"</f>
        <v>001</v>
      </c>
      <c r="F1044">
        <v>1996</v>
      </c>
      <c r="G1044" s="5">
        <v>2064800</v>
      </c>
      <c r="H1044" s="5">
        <v>124900</v>
      </c>
      <c r="I1044" s="5">
        <v>1939900</v>
      </c>
    </row>
    <row r="1045" spans="1:9" x14ac:dyDescent="0.3">
      <c r="A1045" t="s">
        <v>367</v>
      </c>
      <c r="B1045" t="str">
        <f>"58186"</f>
        <v>58186</v>
      </c>
      <c r="C1045" t="s">
        <v>12</v>
      </c>
      <c r="D1045" t="s">
        <v>372</v>
      </c>
      <c r="E1045" t="str">
        <f>"002"</f>
        <v>002</v>
      </c>
      <c r="F1045">
        <v>2014</v>
      </c>
      <c r="G1045" s="5">
        <v>1391800</v>
      </c>
      <c r="H1045" s="5">
        <v>637900</v>
      </c>
      <c r="I1045" s="5">
        <v>753900</v>
      </c>
    </row>
    <row r="1046" spans="1:9" x14ac:dyDescent="0.3">
      <c r="A1046" t="s">
        <v>367</v>
      </c>
      <c r="B1046" t="str">
        <f>"58191"</f>
        <v>58191</v>
      </c>
      <c r="C1046" t="s">
        <v>12</v>
      </c>
      <c r="D1046" t="s">
        <v>373</v>
      </c>
      <c r="E1046" t="str">
        <f>"001"</f>
        <v>001</v>
      </c>
      <c r="F1046">
        <v>2000</v>
      </c>
      <c r="G1046" s="5">
        <v>6997200</v>
      </c>
      <c r="H1046" s="5">
        <v>201400</v>
      </c>
      <c r="I1046" s="5">
        <v>6795800</v>
      </c>
    </row>
    <row r="1047" spans="1:9" x14ac:dyDescent="0.3">
      <c r="A1047" t="s">
        <v>367</v>
      </c>
      <c r="B1047" t="str">
        <f>"58191"</f>
        <v>58191</v>
      </c>
      <c r="C1047" t="s">
        <v>12</v>
      </c>
      <c r="D1047" t="s">
        <v>373</v>
      </c>
      <c r="E1047" t="str">
        <f>"002"</f>
        <v>002</v>
      </c>
      <c r="F1047">
        <v>2011</v>
      </c>
      <c r="G1047" s="5">
        <v>2552300</v>
      </c>
      <c r="H1047" s="5">
        <v>1407900</v>
      </c>
      <c r="I1047" s="5">
        <v>1144400</v>
      </c>
    </row>
    <row r="1048" spans="1:9" x14ac:dyDescent="0.3">
      <c r="A1048" t="s">
        <v>367</v>
      </c>
      <c r="B1048" t="str">
        <f>"58191"</f>
        <v>58191</v>
      </c>
      <c r="C1048" t="s">
        <v>12</v>
      </c>
      <c r="D1048" t="s">
        <v>373</v>
      </c>
      <c r="E1048" t="str">
        <f>"003"</f>
        <v>003</v>
      </c>
      <c r="F1048">
        <v>2015</v>
      </c>
      <c r="G1048" s="5">
        <v>6855900</v>
      </c>
      <c r="H1048" s="5">
        <v>3300</v>
      </c>
      <c r="I1048" s="5">
        <v>6852600</v>
      </c>
    </row>
    <row r="1049" spans="1:9" x14ac:dyDescent="0.3">
      <c r="A1049" t="s">
        <v>374</v>
      </c>
      <c r="B1049" t="str">
        <f>"59111"</f>
        <v>59111</v>
      </c>
      <c r="C1049" t="s">
        <v>12</v>
      </c>
      <c r="D1049" t="s">
        <v>375</v>
      </c>
      <c r="E1049" t="str">
        <f>"001"</f>
        <v>001</v>
      </c>
      <c r="F1049">
        <v>2011</v>
      </c>
      <c r="G1049" s="5">
        <v>1237500</v>
      </c>
      <c r="H1049" s="5">
        <v>577000</v>
      </c>
      <c r="I1049" s="5">
        <v>660500</v>
      </c>
    </row>
    <row r="1050" spans="1:9" x14ac:dyDescent="0.3">
      <c r="A1050" t="s">
        <v>374</v>
      </c>
      <c r="B1050" t="str">
        <f>"59112"</f>
        <v>59112</v>
      </c>
      <c r="C1050" t="s">
        <v>12</v>
      </c>
      <c r="D1050" t="s">
        <v>376</v>
      </c>
      <c r="E1050" t="str">
        <f>"001"</f>
        <v>001</v>
      </c>
      <c r="F1050">
        <v>2009</v>
      </c>
      <c r="G1050" s="5">
        <v>852300</v>
      </c>
      <c r="H1050" s="5">
        <v>244800</v>
      </c>
      <c r="I1050" s="5">
        <v>607500</v>
      </c>
    </row>
    <row r="1051" spans="1:9" x14ac:dyDescent="0.3">
      <c r="A1051" t="s">
        <v>374</v>
      </c>
      <c r="B1051" t="str">
        <f>"59121"</f>
        <v>59121</v>
      </c>
      <c r="C1051" t="s">
        <v>12</v>
      </c>
      <c r="D1051" t="s">
        <v>377</v>
      </c>
      <c r="E1051" t="str">
        <f>"002"</f>
        <v>002</v>
      </c>
      <c r="F1051">
        <v>2013</v>
      </c>
      <c r="G1051" s="5">
        <v>29530300</v>
      </c>
      <c r="H1051" s="5">
        <v>11635700</v>
      </c>
      <c r="I1051" s="5">
        <v>17894600</v>
      </c>
    </row>
    <row r="1052" spans="1:9" x14ac:dyDescent="0.3">
      <c r="A1052" t="s">
        <v>374</v>
      </c>
      <c r="B1052" t="str">
        <f>"59121"</f>
        <v>59121</v>
      </c>
      <c r="C1052" t="s">
        <v>12</v>
      </c>
      <c r="D1052" t="s">
        <v>377</v>
      </c>
      <c r="E1052" t="str">
        <f>"003"</f>
        <v>003</v>
      </c>
      <c r="F1052">
        <v>2013</v>
      </c>
      <c r="G1052" s="5">
        <v>8031500</v>
      </c>
      <c r="H1052" s="5">
        <v>1850100</v>
      </c>
      <c r="I1052" s="5">
        <v>6181400</v>
      </c>
    </row>
    <row r="1053" spans="1:9" x14ac:dyDescent="0.3">
      <c r="A1053" t="s">
        <v>374</v>
      </c>
      <c r="B1053" t="str">
        <f>"59121"</f>
        <v>59121</v>
      </c>
      <c r="C1053" t="s">
        <v>12</v>
      </c>
      <c r="D1053" t="s">
        <v>377</v>
      </c>
      <c r="E1053" t="str">
        <f>"004"</f>
        <v>004</v>
      </c>
      <c r="F1053">
        <v>2015</v>
      </c>
      <c r="G1053" s="5">
        <v>11906100</v>
      </c>
      <c r="H1053" s="5">
        <v>711400</v>
      </c>
      <c r="I1053" s="5">
        <v>11194700</v>
      </c>
    </row>
    <row r="1054" spans="1:9" x14ac:dyDescent="0.3">
      <c r="A1054" t="s">
        <v>374</v>
      </c>
      <c r="B1054" t="str">
        <f>"59131"</f>
        <v>59131</v>
      </c>
      <c r="C1054" t="s">
        <v>12</v>
      </c>
      <c r="D1054" t="s">
        <v>378</v>
      </c>
      <c r="E1054" t="str">
        <f>"001"</f>
        <v>001</v>
      </c>
      <c r="F1054">
        <v>2005</v>
      </c>
      <c r="G1054" s="5">
        <v>3775800</v>
      </c>
      <c r="H1054" s="5">
        <v>1862900</v>
      </c>
      <c r="I1054" s="5">
        <v>1912900</v>
      </c>
    </row>
    <row r="1055" spans="1:9" x14ac:dyDescent="0.3">
      <c r="A1055" t="s">
        <v>374</v>
      </c>
      <c r="B1055" t="str">
        <f>"59135"</f>
        <v>59135</v>
      </c>
      <c r="C1055" t="s">
        <v>12</v>
      </c>
      <c r="D1055" t="s">
        <v>379</v>
      </c>
      <c r="E1055" t="str">
        <f>"001"</f>
        <v>001</v>
      </c>
      <c r="F1055">
        <v>2005</v>
      </c>
      <c r="G1055" s="5">
        <v>2655600</v>
      </c>
      <c r="H1055" s="5">
        <v>1793600</v>
      </c>
      <c r="I1055" s="5">
        <v>862000</v>
      </c>
    </row>
    <row r="1056" spans="1:9" x14ac:dyDescent="0.3">
      <c r="A1056" t="s">
        <v>374</v>
      </c>
      <c r="B1056" t="str">
        <f>"59135"</f>
        <v>59135</v>
      </c>
      <c r="C1056" t="s">
        <v>12</v>
      </c>
      <c r="D1056" t="s">
        <v>379</v>
      </c>
      <c r="E1056" t="str">
        <f>"002"</f>
        <v>002</v>
      </c>
      <c r="F1056">
        <v>2011</v>
      </c>
      <c r="G1056" s="5">
        <v>3738300</v>
      </c>
      <c r="H1056" s="5">
        <v>72900</v>
      </c>
      <c r="I1056" s="5">
        <v>3665400</v>
      </c>
    </row>
    <row r="1057" spans="1:9" x14ac:dyDescent="0.3">
      <c r="A1057" t="s">
        <v>374</v>
      </c>
      <c r="B1057" t="str">
        <f>"59165"</f>
        <v>59165</v>
      </c>
      <c r="C1057" t="s">
        <v>12</v>
      </c>
      <c r="D1057" t="s">
        <v>380</v>
      </c>
      <c r="E1057" t="str">
        <f>"001"</f>
        <v>001</v>
      </c>
      <c r="F1057">
        <v>1999</v>
      </c>
      <c r="G1057" s="5">
        <v>22592200</v>
      </c>
      <c r="H1057" s="5">
        <v>403600</v>
      </c>
      <c r="I1057" s="5">
        <v>22188600</v>
      </c>
    </row>
    <row r="1058" spans="1:9" x14ac:dyDescent="0.3">
      <c r="A1058" t="s">
        <v>374</v>
      </c>
      <c r="B1058" t="str">
        <f>"59165"</f>
        <v>59165</v>
      </c>
      <c r="C1058" t="s">
        <v>12</v>
      </c>
      <c r="D1058" t="s">
        <v>380</v>
      </c>
      <c r="E1058" t="str">
        <f>"002"</f>
        <v>002</v>
      </c>
      <c r="F1058">
        <v>2001</v>
      </c>
      <c r="G1058" s="5">
        <v>16832200</v>
      </c>
      <c r="H1058" s="5">
        <v>5477800</v>
      </c>
      <c r="I1058" s="5">
        <v>11354400</v>
      </c>
    </row>
    <row r="1059" spans="1:9" x14ac:dyDescent="0.3">
      <c r="A1059" t="s">
        <v>374</v>
      </c>
      <c r="B1059" t="str">
        <f>"59165"</f>
        <v>59165</v>
      </c>
      <c r="C1059" t="s">
        <v>12</v>
      </c>
      <c r="D1059" t="s">
        <v>380</v>
      </c>
      <c r="E1059" t="str">
        <f>"003"</f>
        <v>003</v>
      </c>
      <c r="F1059">
        <v>2017</v>
      </c>
      <c r="G1059" s="5">
        <v>18213600</v>
      </c>
      <c r="H1059" s="5">
        <v>708100</v>
      </c>
      <c r="I1059" s="5">
        <v>17505500</v>
      </c>
    </row>
    <row r="1060" spans="1:9" x14ac:dyDescent="0.3">
      <c r="A1060" t="s">
        <v>374</v>
      </c>
      <c r="B1060" t="str">
        <f>"59271"</f>
        <v>59271</v>
      </c>
      <c r="C1060" t="s">
        <v>11</v>
      </c>
      <c r="D1060" t="s">
        <v>381</v>
      </c>
      <c r="E1060" t="str">
        <f>"004"</f>
        <v>004</v>
      </c>
      <c r="F1060">
        <v>2001</v>
      </c>
      <c r="G1060" s="5">
        <v>156094900</v>
      </c>
      <c r="H1060" s="5">
        <v>17503300</v>
      </c>
      <c r="I1060" s="5">
        <v>138591600</v>
      </c>
    </row>
    <row r="1061" spans="1:9" x14ac:dyDescent="0.3">
      <c r="A1061" t="s">
        <v>374</v>
      </c>
      <c r="B1061" t="str">
        <f>"59271"</f>
        <v>59271</v>
      </c>
      <c r="C1061" t="s">
        <v>11</v>
      </c>
      <c r="D1061" t="s">
        <v>381</v>
      </c>
      <c r="E1061" t="str">
        <f>"005"</f>
        <v>005</v>
      </c>
      <c r="F1061">
        <v>2008</v>
      </c>
      <c r="G1061" s="5">
        <v>32238800</v>
      </c>
      <c r="H1061" s="5">
        <v>16600500</v>
      </c>
      <c r="I1061" s="5">
        <v>15638300</v>
      </c>
    </row>
    <row r="1062" spans="1:9" x14ac:dyDescent="0.3">
      <c r="A1062" t="s">
        <v>374</v>
      </c>
      <c r="B1062" t="str">
        <f>"59271"</f>
        <v>59271</v>
      </c>
      <c r="C1062" t="s">
        <v>11</v>
      </c>
      <c r="D1062" t="s">
        <v>381</v>
      </c>
      <c r="E1062" t="str">
        <f>"006"</f>
        <v>006</v>
      </c>
      <c r="F1062">
        <v>2011</v>
      </c>
      <c r="G1062" s="5">
        <v>7974100</v>
      </c>
      <c r="H1062" s="5">
        <v>42600</v>
      </c>
      <c r="I1062" s="5">
        <v>7931500</v>
      </c>
    </row>
    <row r="1063" spans="1:9" x14ac:dyDescent="0.3">
      <c r="A1063" t="s">
        <v>374</v>
      </c>
      <c r="B1063" t="str">
        <f>"59176"</f>
        <v>59176</v>
      </c>
      <c r="C1063" t="s">
        <v>12</v>
      </c>
      <c r="D1063" t="s">
        <v>382</v>
      </c>
      <c r="E1063" t="str">
        <f>"003"</f>
        <v>003</v>
      </c>
      <c r="F1063">
        <v>2014</v>
      </c>
      <c r="G1063" s="5">
        <v>2953800</v>
      </c>
      <c r="H1063" s="5">
        <v>1397100</v>
      </c>
      <c r="I1063" s="5">
        <v>1556700</v>
      </c>
    </row>
    <row r="1064" spans="1:9" x14ac:dyDescent="0.3">
      <c r="A1064" t="s">
        <v>374</v>
      </c>
      <c r="B1064" t="str">
        <f t="shared" ref="B1064:B1074" si="42">"59281"</f>
        <v>59281</v>
      </c>
      <c r="C1064" t="s">
        <v>11</v>
      </c>
      <c r="D1064" t="s">
        <v>374</v>
      </c>
      <c r="E1064" t="str">
        <f>"001E"</f>
        <v>001E</v>
      </c>
      <c r="F1064">
        <v>2003</v>
      </c>
      <c r="G1064" s="5">
        <v>7480100</v>
      </c>
      <c r="H1064" s="5">
        <v>1864600</v>
      </c>
      <c r="I1064" s="5">
        <v>5615500</v>
      </c>
    </row>
    <row r="1065" spans="1:9" x14ac:dyDescent="0.3">
      <c r="A1065" t="s">
        <v>374</v>
      </c>
      <c r="B1065" t="str">
        <f t="shared" si="42"/>
        <v>59281</v>
      </c>
      <c r="C1065" t="s">
        <v>11</v>
      </c>
      <c r="D1065" t="s">
        <v>374</v>
      </c>
      <c r="E1065" t="str">
        <f>"006"</f>
        <v>006</v>
      </c>
      <c r="F1065">
        <v>1992</v>
      </c>
      <c r="G1065" s="5">
        <v>88781900</v>
      </c>
      <c r="H1065" s="5">
        <v>19579000</v>
      </c>
      <c r="I1065" s="5">
        <v>69202900</v>
      </c>
    </row>
    <row r="1066" spans="1:9" x14ac:dyDescent="0.3">
      <c r="A1066" t="s">
        <v>374</v>
      </c>
      <c r="B1066" t="str">
        <f t="shared" si="42"/>
        <v>59281</v>
      </c>
      <c r="C1066" t="s">
        <v>11</v>
      </c>
      <c r="D1066" t="s">
        <v>374</v>
      </c>
      <c r="E1066" t="str">
        <f>"010"</f>
        <v>010</v>
      </c>
      <c r="F1066">
        <v>1997</v>
      </c>
      <c r="G1066" s="5">
        <v>16748900</v>
      </c>
      <c r="H1066" s="5">
        <v>3250600</v>
      </c>
      <c r="I1066" s="5">
        <v>13498300</v>
      </c>
    </row>
    <row r="1067" spans="1:9" x14ac:dyDescent="0.3">
      <c r="A1067" t="s">
        <v>374</v>
      </c>
      <c r="B1067" t="str">
        <f t="shared" si="42"/>
        <v>59281</v>
      </c>
      <c r="C1067" t="s">
        <v>11</v>
      </c>
      <c r="D1067" t="s">
        <v>374</v>
      </c>
      <c r="E1067" t="str">
        <f>"012"</f>
        <v>012</v>
      </c>
      <c r="F1067">
        <v>2000</v>
      </c>
      <c r="G1067" s="5">
        <v>12550300</v>
      </c>
      <c r="H1067" s="5">
        <v>3825700</v>
      </c>
      <c r="I1067" s="5">
        <v>8724600</v>
      </c>
    </row>
    <row r="1068" spans="1:9" x14ac:dyDescent="0.3">
      <c r="A1068" t="s">
        <v>374</v>
      </c>
      <c r="B1068" t="str">
        <f t="shared" si="42"/>
        <v>59281</v>
      </c>
      <c r="C1068" t="s">
        <v>11</v>
      </c>
      <c r="D1068" t="s">
        <v>374</v>
      </c>
      <c r="E1068" t="str">
        <f>"013"</f>
        <v>013</v>
      </c>
      <c r="F1068">
        <v>2006</v>
      </c>
      <c r="G1068" s="5">
        <v>19645900</v>
      </c>
      <c r="H1068" s="5">
        <v>294400</v>
      </c>
      <c r="I1068" s="5">
        <v>19351500</v>
      </c>
    </row>
    <row r="1069" spans="1:9" x14ac:dyDescent="0.3">
      <c r="A1069" t="s">
        <v>374</v>
      </c>
      <c r="B1069" t="str">
        <f t="shared" si="42"/>
        <v>59281</v>
      </c>
      <c r="C1069" t="s">
        <v>11</v>
      </c>
      <c r="D1069" t="s">
        <v>374</v>
      </c>
      <c r="E1069" t="str">
        <f>"014"</f>
        <v>014</v>
      </c>
      <c r="F1069">
        <v>2011</v>
      </c>
      <c r="G1069" s="5">
        <v>67649100</v>
      </c>
      <c r="H1069" s="5">
        <v>21193800</v>
      </c>
      <c r="I1069" s="5">
        <v>46455300</v>
      </c>
    </row>
    <row r="1070" spans="1:9" x14ac:dyDescent="0.3">
      <c r="A1070" t="s">
        <v>374</v>
      </c>
      <c r="B1070" t="str">
        <f t="shared" si="42"/>
        <v>59281</v>
      </c>
      <c r="C1070" t="s">
        <v>11</v>
      </c>
      <c r="D1070" t="s">
        <v>374</v>
      </c>
      <c r="E1070" t="str">
        <f>"015"</f>
        <v>015</v>
      </c>
      <c r="F1070">
        <v>2011</v>
      </c>
      <c r="G1070" s="5">
        <v>21703100</v>
      </c>
      <c r="H1070" s="5">
        <v>12434900</v>
      </c>
      <c r="I1070" s="5">
        <v>9268200</v>
      </c>
    </row>
    <row r="1071" spans="1:9" x14ac:dyDescent="0.3">
      <c r="A1071" t="s">
        <v>374</v>
      </c>
      <c r="B1071" t="str">
        <f t="shared" si="42"/>
        <v>59281</v>
      </c>
      <c r="C1071" t="s">
        <v>11</v>
      </c>
      <c r="D1071" t="s">
        <v>374</v>
      </c>
      <c r="E1071" t="str">
        <f>"016"</f>
        <v>016</v>
      </c>
      <c r="F1071">
        <v>2015</v>
      </c>
      <c r="G1071" s="5">
        <v>50588700</v>
      </c>
      <c r="H1071" s="5">
        <v>22459200</v>
      </c>
      <c r="I1071" s="5">
        <v>28129500</v>
      </c>
    </row>
    <row r="1072" spans="1:9" x14ac:dyDescent="0.3">
      <c r="A1072" t="s">
        <v>374</v>
      </c>
      <c r="B1072" t="str">
        <f t="shared" si="42"/>
        <v>59281</v>
      </c>
      <c r="C1072" t="s">
        <v>11</v>
      </c>
      <c r="D1072" t="s">
        <v>374</v>
      </c>
      <c r="E1072" t="str">
        <f>"017"</f>
        <v>017</v>
      </c>
      <c r="F1072">
        <v>2018</v>
      </c>
      <c r="G1072" s="5">
        <v>41199200</v>
      </c>
      <c r="H1072" s="5">
        <v>34021700</v>
      </c>
      <c r="I1072" s="5">
        <v>7177500</v>
      </c>
    </row>
    <row r="1073" spans="1:9" x14ac:dyDescent="0.3">
      <c r="A1073" t="s">
        <v>374</v>
      </c>
      <c r="B1073" t="str">
        <f t="shared" si="42"/>
        <v>59281</v>
      </c>
      <c r="C1073" t="s">
        <v>11</v>
      </c>
      <c r="D1073" t="s">
        <v>374</v>
      </c>
      <c r="E1073" t="str">
        <f>"018"</f>
        <v>018</v>
      </c>
      <c r="F1073">
        <v>2018</v>
      </c>
      <c r="G1073" s="5">
        <v>24972200</v>
      </c>
      <c r="H1073" s="5">
        <v>12444400</v>
      </c>
      <c r="I1073" s="5">
        <v>12527800</v>
      </c>
    </row>
    <row r="1074" spans="1:9" x14ac:dyDescent="0.3">
      <c r="A1074" t="s">
        <v>374</v>
      </c>
      <c r="B1074" t="str">
        <f t="shared" si="42"/>
        <v>59281</v>
      </c>
      <c r="C1074" t="s">
        <v>11</v>
      </c>
      <c r="D1074" t="s">
        <v>374</v>
      </c>
      <c r="E1074" t="str">
        <f>"019"</f>
        <v>019</v>
      </c>
      <c r="F1074">
        <v>2018</v>
      </c>
      <c r="G1074" s="5">
        <v>7480800</v>
      </c>
      <c r="H1074" s="5">
        <v>3399200</v>
      </c>
      <c r="I1074" s="5">
        <v>4081600</v>
      </c>
    </row>
    <row r="1075" spans="1:9" x14ac:dyDescent="0.3">
      <c r="A1075" t="s">
        <v>374</v>
      </c>
      <c r="B1075" t="str">
        <f>"59282"</f>
        <v>59282</v>
      </c>
      <c r="C1075" t="s">
        <v>11</v>
      </c>
      <c r="D1075" t="s">
        <v>383</v>
      </c>
      <c r="E1075" t="str">
        <f>"003"</f>
        <v>003</v>
      </c>
      <c r="F1075">
        <v>1994</v>
      </c>
      <c r="G1075" s="5">
        <v>28751300</v>
      </c>
      <c r="H1075" s="5">
        <v>6188300</v>
      </c>
      <c r="I1075" s="5">
        <v>22563000</v>
      </c>
    </row>
    <row r="1076" spans="1:9" x14ac:dyDescent="0.3">
      <c r="A1076" t="s">
        <v>374</v>
      </c>
      <c r="B1076" t="str">
        <f>"59282"</f>
        <v>59282</v>
      </c>
      <c r="C1076" t="s">
        <v>11</v>
      </c>
      <c r="D1076" t="s">
        <v>383</v>
      </c>
      <c r="E1076" t="str">
        <f>"004"</f>
        <v>004</v>
      </c>
      <c r="F1076">
        <v>2016</v>
      </c>
      <c r="G1076" s="5">
        <v>14633700</v>
      </c>
      <c r="H1076" s="5">
        <v>2510100</v>
      </c>
      <c r="I1076" s="5">
        <v>12123600</v>
      </c>
    </row>
    <row r="1077" spans="1:9" x14ac:dyDescent="0.3">
      <c r="A1077" t="s">
        <v>374</v>
      </c>
      <c r="B1077" t="str">
        <f>"59282"</f>
        <v>59282</v>
      </c>
      <c r="C1077" t="s">
        <v>11</v>
      </c>
      <c r="D1077" t="s">
        <v>383</v>
      </c>
      <c r="E1077" t="str">
        <f>"005"</f>
        <v>005</v>
      </c>
      <c r="F1077">
        <v>2018</v>
      </c>
      <c r="G1077" s="5">
        <v>8007000</v>
      </c>
      <c r="H1077" s="5">
        <v>1233100</v>
      </c>
      <c r="I1077" s="5">
        <v>6773900</v>
      </c>
    </row>
    <row r="1078" spans="1:9" x14ac:dyDescent="0.3">
      <c r="A1078" t="s">
        <v>374</v>
      </c>
      <c r="B1078" t="str">
        <f>"59282"</f>
        <v>59282</v>
      </c>
      <c r="C1078" t="s">
        <v>11</v>
      </c>
      <c r="D1078" t="s">
        <v>383</v>
      </c>
      <c r="E1078" t="str">
        <f>"006"</f>
        <v>006</v>
      </c>
      <c r="F1078">
        <v>2019</v>
      </c>
      <c r="G1078" s="5">
        <v>291300</v>
      </c>
      <c r="H1078" s="5">
        <v>0</v>
      </c>
      <c r="I1078" s="5">
        <v>291300</v>
      </c>
    </row>
    <row r="1079" spans="1:9" x14ac:dyDescent="0.3">
      <c r="A1079" t="s">
        <v>374</v>
      </c>
      <c r="B1079" t="str">
        <f>"59282"</f>
        <v>59282</v>
      </c>
      <c r="C1079" t="s">
        <v>11</v>
      </c>
      <c r="D1079" t="s">
        <v>383</v>
      </c>
      <c r="E1079" t="str">
        <f>"007"</f>
        <v>007</v>
      </c>
      <c r="F1079">
        <v>2019</v>
      </c>
      <c r="G1079" s="5">
        <v>850900</v>
      </c>
      <c r="H1079" s="5">
        <v>319500</v>
      </c>
      <c r="I1079" s="5">
        <v>531400</v>
      </c>
    </row>
    <row r="1080" spans="1:9" x14ac:dyDescent="0.3">
      <c r="A1080" t="s">
        <v>384</v>
      </c>
      <c r="B1080" t="str">
        <f>"55106"</f>
        <v>55106</v>
      </c>
      <c r="C1080" t="s">
        <v>12</v>
      </c>
      <c r="D1080" t="s">
        <v>385</v>
      </c>
      <c r="E1080" t="str">
        <f>"005"</f>
        <v>005</v>
      </c>
      <c r="F1080">
        <v>1995</v>
      </c>
      <c r="G1080" s="5">
        <v>3387200</v>
      </c>
      <c r="H1080" s="5">
        <v>22500</v>
      </c>
      <c r="I1080" s="5">
        <v>3364700</v>
      </c>
    </row>
    <row r="1081" spans="1:9" x14ac:dyDescent="0.3">
      <c r="A1081" t="s">
        <v>384</v>
      </c>
      <c r="B1081" t="str">
        <f>"55106"</f>
        <v>55106</v>
      </c>
      <c r="C1081" t="s">
        <v>12</v>
      </c>
      <c r="D1081" t="s">
        <v>385</v>
      </c>
      <c r="E1081" t="str">
        <f>"006"</f>
        <v>006</v>
      </c>
      <c r="F1081">
        <v>2005</v>
      </c>
      <c r="G1081" s="5">
        <v>14348800</v>
      </c>
      <c r="H1081" s="5">
        <v>12224500</v>
      </c>
      <c r="I1081" s="5">
        <v>2124300</v>
      </c>
    </row>
    <row r="1082" spans="1:9" x14ac:dyDescent="0.3">
      <c r="A1082" t="s">
        <v>384</v>
      </c>
      <c r="B1082" t="str">
        <f>"55106"</f>
        <v>55106</v>
      </c>
      <c r="C1082" t="s">
        <v>12</v>
      </c>
      <c r="D1082" t="s">
        <v>385</v>
      </c>
      <c r="E1082" t="str">
        <f>"007"</f>
        <v>007</v>
      </c>
      <c r="F1082">
        <v>2007</v>
      </c>
      <c r="G1082" s="5">
        <v>12926400</v>
      </c>
      <c r="H1082" s="5">
        <v>5002200</v>
      </c>
      <c r="I1082" s="5">
        <v>7924200</v>
      </c>
    </row>
    <row r="1083" spans="1:9" x14ac:dyDescent="0.3">
      <c r="A1083" t="s">
        <v>384</v>
      </c>
      <c r="B1083" t="str">
        <f>"55136"</f>
        <v>55136</v>
      </c>
      <c r="C1083" t="s">
        <v>12</v>
      </c>
      <c r="D1083" t="s">
        <v>386</v>
      </c>
      <c r="E1083" t="str">
        <f>"005"</f>
        <v>005</v>
      </c>
      <c r="F1083">
        <v>1995</v>
      </c>
      <c r="G1083" s="5">
        <v>15896800</v>
      </c>
      <c r="H1083" s="5">
        <v>142600</v>
      </c>
      <c r="I1083" s="5">
        <v>15754200</v>
      </c>
    </row>
    <row r="1084" spans="1:9" x14ac:dyDescent="0.3">
      <c r="A1084" t="s">
        <v>384</v>
      </c>
      <c r="B1084" t="str">
        <f>"55236"</f>
        <v>55236</v>
      </c>
      <c r="C1084" t="s">
        <v>11</v>
      </c>
      <c r="D1084" t="s">
        <v>387</v>
      </c>
      <c r="E1084" t="str">
        <f>"005"</f>
        <v>005</v>
      </c>
      <c r="F1084">
        <v>2017</v>
      </c>
      <c r="G1084" s="5">
        <v>61420400</v>
      </c>
      <c r="H1084" s="5">
        <v>6322400</v>
      </c>
      <c r="I1084" s="5">
        <v>55098000</v>
      </c>
    </row>
    <row r="1085" spans="1:9" x14ac:dyDescent="0.3">
      <c r="A1085" t="s">
        <v>384</v>
      </c>
      <c r="B1085" t="str">
        <f>"55236"</f>
        <v>55236</v>
      </c>
      <c r="C1085" t="s">
        <v>11</v>
      </c>
      <c r="D1085" t="s">
        <v>387</v>
      </c>
      <c r="E1085" t="str">
        <f>"006"</f>
        <v>006</v>
      </c>
      <c r="F1085">
        <v>2018</v>
      </c>
      <c r="G1085" s="5">
        <v>128820300</v>
      </c>
      <c r="H1085" s="5">
        <v>97875200</v>
      </c>
      <c r="I1085" s="5">
        <v>30945100</v>
      </c>
    </row>
    <row r="1086" spans="1:9" x14ac:dyDescent="0.3">
      <c r="A1086" t="s">
        <v>384</v>
      </c>
      <c r="B1086" t="str">
        <f t="shared" ref="B1086:B1091" si="43">"55261"</f>
        <v>55261</v>
      </c>
      <c r="C1086" t="s">
        <v>11</v>
      </c>
      <c r="D1086" t="s">
        <v>388</v>
      </c>
      <c r="E1086" t="str">
        <f>"005"</f>
        <v>005</v>
      </c>
      <c r="F1086">
        <v>1987</v>
      </c>
      <c r="G1086" s="5">
        <v>22527000</v>
      </c>
      <c r="H1086" s="5">
        <v>77900</v>
      </c>
      <c r="I1086" s="5">
        <v>22449100</v>
      </c>
    </row>
    <row r="1087" spans="1:9" x14ac:dyDescent="0.3">
      <c r="A1087" t="s">
        <v>384</v>
      </c>
      <c r="B1087" t="str">
        <f t="shared" si="43"/>
        <v>55261</v>
      </c>
      <c r="C1087" t="s">
        <v>11</v>
      </c>
      <c r="D1087" t="s">
        <v>388</v>
      </c>
      <c r="E1087" t="str">
        <f>"006"</f>
        <v>006</v>
      </c>
      <c r="F1087">
        <v>1995</v>
      </c>
      <c r="G1087" s="5">
        <v>30554400</v>
      </c>
      <c r="H1087" s="5">
        <v>228500</v>
      </c>
      <c r="I1087" s="5">
        <v>30325900</v>
      </c>
    </row>
    <row r="1088" spans="1:9" x14ac:dyDescent="0.3">
      <c r="A1088" t="s">
        <v>384</v>
      </c>
      <c r="B1088" t="str">
        <f t="shared" si="43"/>
        <v>55261</v>
      </c>
      <c r="C1088" t="s">
        <v>11</v>
      </c>
      <c r="D1088" t="s">
        <v>388</v>
      </c>
      <c r="E1088" t="str">
        <f>"007"</f>
        <v>007</v>
      </c>
      <c r="F1088">
        <v>2003</v>
      </c>
      <c r="G1088" s="5">
        <v>7501900</v>
      </c>
      <c r="H1088" s="5">
        <v>2557800</v>
      </c>
      <c r="I1088" s="5">
        <v>4944100</v>
      </c>
    </row>
    <row r="1089" spans="1:9" x14ac:dyDescent="0.3">
      <c r="A1089" t="s">
        <v>384</v>
      </c>
      <c r="B1089" t="str">
        <f t="shared" si="43"/>
        <v>55261</v>
      </c>
      <c r="C1089" t="s">
        <v>11</v>
      </c>
      <c r="D1089" t="s">
        <v>388</v>
      </c>
      <c r="E1089" t="str">
        <f>"008"</f>
        <v>008</v>
      </c>
      <c r="F1089">
        <v>2005</v>
      </c>
      <c r="G1089" s="5">
        <v>37744300</v>
      </c>
      <c r="H1089" s="5">
        <v>15731300</v>
      </c>
      <c r="I1089" s="5">
        <v>22013000</v>
      </c>
    </row>
    <row r="1090" spans="1:9" x14ac:dyDescent="0.3">
      <c r="A1090" t="s">
        <v>384</v>
      </c>
      <c r="B1090" t="str">
        <f t="shared" si="43"/>
        <v>55261</v>
      </c>
      <c r="C1090" t="s">
        <v>11</v>
      </c>
      <c r="D1090" t="s">
        <v>388</v>
      </c>
      <c r="E1090" t="str">
        <f>"009"</f>
        <v>009</v>
      </c>
      <c r="F1090">
        <v>2008</v>
      </c>
      <c r="G1090" s="5">
        <v>9798000</v>
      </c>
      <c r="H1090" s="5">
        <v>6476100</v>
      </c>
      <c r="I1090" s="5">
        <v>3321900</v>
      </c>
    </row>
    <row r="1091" spans="1:9" x14ac:dyDescent="0.3">
      <c r="A1091" t="s">
        <v>384</v>
      </c>
      <c r="B1091" t="str">
        <f t="shared" si="43"/>
        <v>55261</v>
      </c>
      <c r="C1091" t="s">
        <v>11</v>
      </c>
      <c r="D1091" t="s">
        <v>388</v>
      </c>
      <c r="E1091" t="str">
        <f>"010"</f>
        <v>010</v>
      </c>
      <c r="F1091">
        <v>2014</v>
      </c>
      <c r="G1091" s="5">
        <v>11783200</v>
      </c>
      <c r="H1091" s="5">
        <v>3853800</v>
      </c>
      <c r="I1091" s="5">
        <v>7929400</v>
      </c>
    </row>
    <row r="1092" spans="1:9" x14ac:dyDescent="0.3">
      <c r="A1092" t="s">
        <v>384</v>
      </c>
      <c r="B1092" t="str">
        <f>"55276"</f>
        <v>55276</v>
      </c>
      <c r="C1092" t="s">
        <v>11</v>
      </c>
      <c r="D1092" t="s">
        <v>310</v>
      </c>
      <c r="E1092" t="str">
        <f>"005"</f>
        <v>005</v>
      </c>
      <c r="F1092">
        <v>1994</v>
      </c>
      <c r="G1092" s="5">
        <v>27534800</v>
      </c>
      <c r="H1092" s="5">
        <v>467400</v>
      </c>
      <c r="I1092" s="5">
        <v>27067400</v>
      </c>
    </row>
    <row r="1093" spans="1:9" x14ac:dyDescent="0.3">
      <c r="A1093" t="s">
        <v>384</v>
      </c>
      <c r="B1093" t="str">
        <f>"55276"</f>
        <v>55276</v>
      </c>
      <c r="C1093" t="s">
        <v>11</v>
      </c>
      <c r="D1093" t="s">
        <v>310</v>
      </c>
      <c r="E1093" t="str">
        <f>"010"</f>
        <v>010</v>
      </c>
      <c r="F1093">
        <v>2014</v>
      </c>
      <c r="G1093" s="5">
        <v>24533000</v>
      </c>
      <c r="H1093" s="5">
        <v>133300</v>
      </c>
      <c r="I1093" s="5">
        <v>24399700</v>
      </c>
    </row>
    <row r="1094" spans="1:9" x14ac:dyDescent="0.3">
      <c r="A1094" t="s">
        <v>384</v>
      </c>
      <c r="B1094" t="str">
        <f>"55276"</f>
        <v>55276</v>
      </c>
      <c r="C1094" t="s">
        <v>11</v>
      </c>
      <c r="D1094" t="s">
        <v>310</v>
      </c>
      <c r="E1094" t="str">
        <f>"011"</f>
        <v>011</v>
      </c>
      <c r="F1094">
        <v>2016</v>
      </c>
      <c r="G1094" s="5">
        <v>8890300</v>
      </c>
      <c r="H1094" s="5">
        <v>7860500</v>
      </c>
      <c r="I1094" s="5">
        <v>1029800</v>
      </c>
    </row>
    <row r="1095" spans="1:9" x14ac:dyDescent="0.3">
      <c r="A1095" t="s">
        <v>384</v>
      </c>
      <c r="B1095" t="str">
        <f>"55276"</f>
        <v>55276</v>
      </c>
      <c r="C1095" t="s">
        <v>11</v>
      </c>
      <c r="D1095" t="s">
        <v>310</v>
      </c>
      <c r="E1095" t="str">
        <f>"012"</f>
        <v>012</v>
      </c>
      <c r="F1095">
        <v>2016</v>
      </c>
      <c r="G1095" s="5">
        <v>2370900</v>
      </c>
      <c r="H1095" s="5">
        <v>0</v>
      </c>
      <c r="I1095" s="5">
        <v>2370900</v>
      </c>
    </row>
    <row r="1096" spans="1:9" x14ac:dyDescent="0.3">
      <c r="A1096" t="s">
        <v>384</v>
      </c>
      <c r="B1096" t="str">
        <f>"55276"</f>
        <v>55276</v>
      </c>
      <c r="C1096" t="s">
        <v>11</v>
      </c>
      <c r="D1096" t="s">
        <v>310</v>
      </c>
      <c r="E1096" t="str">
        <f>"013"</f>
        <v>013</v>
      </c>
      <c r="F1096">
        <v>2018</v>
      </c>
      <c r="G1096" s="5">
        <v>18504800</v>
      </c>
      <c r="H1096" s="5">
        <v>6703500</v>
      </c>
      <c r="I1096" s="5">
        <v>11801300</v>
      </c>
    </row>
    <row r="1097" spans="1:9" x14ac:dyDescent="0.3">
      <c r="A1097" t="s">
        <v>384</v>
      </c>
      <c r="B1097" t="str">
        <f>"55181"</f>
        <v>55181</v>
      </c>
      <c r="C1097" t="s">
        <v>12</v>
      </c>
      <c r="D1097" t="s">
        <v>389</v>
      </c>
      <c r="E1097" t="str">
        <f>"002"</f>
        <v>002</v>
      </c>
      <c r="F1097">
        <v>1996</v>
      </c>
      <c r="G1097" s="5">
        <v>34754400</v>
      </c>
      <c r="H1097" s="5">
        <v>1890600</v>
      </c>
      <c r="I1097" s="5">
        <v>32863800</v>
      </c>
    </row>
    <row r="1098" spans="1:9" x14ac:dyDescent="0.3">
      <c r="A1098" t="s">
        <v>384</v>
      </c>
      <c r="B1098" t="str">
        <f>"55181"</f>
        <v>55181</v>
      </c>
      <c r="C1098" t="s">
        <v>12</v>
      </c>
      <c r="D1098" t="s">
        <v>389</v>
      </c>
      <c r="E1098" t="str">
        <f>"003"</f>
        <v>003</v>
      </c>
      <c r="F1098">
        <v>2005</v>
      </c>
      <c r="G1098" s="5">
        <v>921600</v>
      </c>
      <c r="H1098" s="5">
        <v>1135500</v>
      </c>
      <c r="I1098" s="5">
        <v>-213900</v>
      </c>
    </row>
    <row r="1099" spans="1:9" x14ac:dyDescent="0.3">
      <c r="A1099" t="s">
        <v>384</v>
      </c>
      <c r="B1099" t="str">
        <f>"55181"</f>
        <v>55181</v>
      </c>
      <c r="C1099" t="s">
        <v>12</v>
      </c>
      <c r="D1099" t="s">
        <v>389</v>
      </c>
      <c r="E1099" t="str">
        <f>"004"</f>
        <v>004</v>
      </c>
      <c r="F1099">
        <v>2008</v>
      </c>
      <c r="G1099" s="5">
        <v>409600</v>
      </c>
      <c r="H1099" s="5">
        <v>1085700</v>
      </c>
      <c r="I1099" s="5">
        <v>-676100</v>
      </c>
    </row>
    <row r="1100" spans="1:9" x14ac:dyDescent="0.3">
      <c r="A1100" t="s">
        <v>384</v>
      </c>
      <c r="B1100" t="str">
        <f>"55192"</f>
        <v>55192</v>
      </c>
      <c r="C1100" t="s">
        <v>12</v>
      </c>
      <c r="D1100" t="s">
        <v>390</v>
      </c>
      <c r="E1100" t="str">
        <f>"003"</f>
        <v>003</v>
      </c>
      <c r="F1100">
        <v>1995</v>
      </c>
      <c r="G1100" s="5">
        <v>29692800</v>
      </c>
      <c r="H1100" s="5">
        <v>1001000</v>
      </c>
      <c r="I1100" s="5">
        <v>28691800</v>
      </c>
    </row>
    <row r="1101" spans="1:9" x14ac:dyDescent="0.3">
      <c r="A1101" t="s">
        <v>384</v>
      </c>
      <c r="B1101" t="str">
        <f>"55192"</f>
        <v>55192</v>
      </c>
      <c r="C1101" t="s">
        <v>12</v>
      </c>
      <c r="D1101" t="s">
        <v>390</v>
      </c>
      <c r="E1101" t="str">
        <f>"004"</f>
        <v>004</v>
      </c>
      <c r="F1101">
        <v>2005</v>
      </c>
      <c r="G1101" s="5">
        <v>810500</v>
      </c>
      <c r="H1101" s="5">
        <v>193600</v>
      </c>
      <c r="I1101" s="5">
        <v>616900</v>
      </c>
    </row>
    <row r="1102" spans="1:9" x14ac:dyDescent="0.3">
      <c r="A1102" t="s">
        <v>190</v>
      </c>
      <c r="B1102" t="str">
        <f t="shared" ref="B1102:B1109" si="44">"60251"</f>
        <v>60251</v>
      </c>
      <c r="C1102" t="s">
        <v>11</v>
      </c>
      <c r="D1102" t="s">
        <v>391</v>
      </c>
      <c r="E1102" t="str">
        <f>"005"</f>
        <v>005</v>
      </c>
      <c r="F1102">
        <v>1989</v>
      </c>
      <c r="G1102" s="5">
        <v>7788600</v>
      </c>
      <c r="H1102" s="5">
        <v>5187900</v>
      </c>
      <c r="I1102" s="5">
        <v>2600700</v>
      </c>
    </row>
    <row r="1103" spans="1:9" x14ac:dyDescent="0.3">
      <c r="A1103" t="s">
        <v>190</v>
      </c>
      <c r="B1103" t="str">
        <f t="shared" si="44"/>
        <v>60251</v>
      </c>
      <c r="C1103" t="s">
        <v>11</v>
      </c>
      <c r="D1103" t="s">
        <v>391</v>
      </c>
      <c r="E1103" t="str">
        <f>"006"</f>
        <v>006</v>
      </c>
      <c r="F1103">
        <v>1996</v>
      </c>
      <c r="G1103" s="5">
        <v>4446600</v>
      </c>
      <c r="H1103" s="5">
        <v>1417600</v>
      </c>
      <c r="I1103" s="5">
        <v>3029000</v>
      </c>
    </row>
    <row r="1104" spans="1:9" x14ac:dyDescent="0.3">
      <c r="A1104" t="s">
        <v>190</v>
      </c>
      <c r="B1104" t="str">
        <f t="shared" si="44"/>
        <v>60251</v>
      </c>
      <c r="C1104" t="s">
        <v>11</v>
      </c>
      <c r="D1104" t="s">
        <v>391</v>
      </c>
      <c r="E1104" t="str">
        <f>"007"</f>
        <v>007</v>
      </c>
      <c r="F1104">
        <v>1997</v>
      </c>
      <c r="G1104" s="5">
        <v>2727000</v>
      </c>
      <c r="H1104" s="5">
        <v>1488900</v>
      </c>
      <c r="I1104" s="5">
        <v>1238100</v>
      </c>
    </row>
    <row r="1105" spans="1:9" x14ac:dyDescent="0.3">
      <c r="A1105" t="s">
        <v>190</v>
      </c>
      <c r="B1105" t="str">
        <f t="shared" si="44"/>
        <v>60251</v>
      </c>
      <c r="C1105" t="s">
        <v>11</v>
      </c>
      <c r="D1105" t="s">
        <v>391</v>
      </c>
      <c r="E1105" t="str">
        <f>"008"</f>
        <v>008</v>
      </c>
      <c r="F1105">
        <v>1997</v>
      </c>
      <c r="G1105" s="5">
        <v>2309400</v>
      </c>
      <c r="H1105" s="5">
        <v>695900</v>
      </c>
      <c r="I1105" s="5">
        <v>1613500</v>
      </c>
    </row>
    <row r="1106" spans="1:9" x14ac:dyDescent="0.3">
      <c r="A1106" t="s">
        <v>190</v>
      </c>
      <c r="B1106" t="str">
        <f t="shared" si="44"/>
        <v>60251</v>
      </c>
      <c r="C1106" t="s">
        <v>11</v>
      </c>
      <c r="D1106" t="s">
        <v>391</v>
      </c>
      <c r="E1106" t="str">
        <f>"010"</f>
        <v>010</v>
      </c>
      <c r="F1106">
        <v>1999</v>
      </c>
      <c r="G1106" s="5">
        <v>2844200</v>
      </c>
      <c r="H1106" s="5">
        <v>240200</v>
      </c>
      <c r="I1106" s="5">
        <v>2604000</v>
      </c>
    </row>
    <row r="1107" spans="1:9" x14ac:dyDescent="0.3">
      <c r="A1107" t="s">
        <v>190</v>
      </c>
      <c r="B1107" t="str">
        <f t="shared" si="44"/>
        <v>60251</v>
      </c>
      <c r="C1107" t="s">
        <v>11</v>
      </c>
      <c r="D1107" t="s">
        <v>391</v>
      </c>
      <c r="E1107" t="str">
        <f>"011"</f>
        <v>011</v>
      </c>
      <c r="F1107">
        <v>1999</v>
      </c>
      <c r="G1107" s="5">
        <v>4217600</v>
      </c>
      <c r="H1107" s="5">
        <v>1184000</v>
      </c>
      <c r="I1107" s="5">
        <v>3033600</v>
      </c>
    </row>
    <row r="1108" spans="1:9" x14ac:dyDescent="0.3">
      <c r="A1108" t="s">
        <v>190</v>
      </c>
      <c r="B1108" t="str">
        <f t="shared" si="44"/>
        <v>60251</v>
      </c>
      <c r="C1108" t="s">
        <v>11</v>
      </c>
      <c r="D1108" t="s">
        <v>391</v>
      </c>
      <c r="E1108" t="str">
        <f>"012"</f>
        <v>012</v>
      </c>
      <c r="F1108">
        <v>2000</v>
      </c>
      <c r="G1108" s="5">
        <v>31309400</v>
      </c>
      <c r="H1108" s="5">
        <v>2687700</v>
      </c>
      <c r="I1108" s="5">
        <v>28621700</v>
      </c>
    </row>
    <row r="1109" spans="1:9" x14ac:dyDescent="0.3">
      <c r="A1109" t="s">
        <v>190</v>
      </c>
      <c r="B1109" t="str">
        <f t="shared" si="44"/>
        <v>60251</v>
      </c>
      <c r="C1109" t="s">
        <v>11</v>
      </c>
      <c r="D1109" t="s">
        <v>391</v>
      </c>
      <c r="E1109" t="str">
        <f>"013"</f>
        <v>013</v>
      </c>
      <c r="F1109">
        <v>2005</v>
      </c>
      <c r="G1109" s="5">
        <v>16696700</v>
      </c>
      <c r="H1109" s="5">
        <v>3382000</v>
      </c>
      <c r="I1109" s="5">
        <v>13314700</v>
      </c>
    </row>
    <row r="1110" spans="1:9" x14ac:dyDescent="0.3">
      <c r="A1110" t="s">
        <v>190</v>
      </c>
      <c r="B1110" t="str">
        <f>"60176"</f>
        <v>60176</v>
      </c>
      <c r="C1110" t="s">
        <v>12</v>
      </c>
      <c r="D1110" t="s">
        <v>392</v>
      </c>
      <c r="E1110" t="str">
        <f>"001"</f>
        <v>001</v>
      </c>
      <c r="F1110">
        <v>1995</v>
      </c>
      <c r="G1110" s="5">
        <v>2667900</v>
      </c>
      <c r="H1110" s="5">
        <v>796200</v>
      </c>
      <c r="I1110" s="5">
        <v>1871700</v>
      </c>
    </row>
    <row r="1111" spans="1:9" x14ac:dyDescent="0.3">
      <c r="A1111" t="s">
        <v>190</v>
      </c>
      <c r="B1111" t="str">
        <f>"60181"</f>
        <v>60181</v>
      </c>
      <c r="C1111" t="s">
        <v>12</v>
      </c>
      <c r="D1111" t="s">
        <v>393</v>
      </c>
      <c r="E1111" t="str">
        <f>"001"</f>
        <v>001</v>
      </c>
      <c r="F1111">
        <v>2013</v>
      </c>
      <c r="G1111" s="5">
        <v>1361300</v>
      </c>
      <c r="H1111" s="5">
        <v>1003000</v>
      </c>
      <c r="I1111" s="5">
        <v>358300</v>
      </c>
    </row>
    <row r="1112" spans="1:9" x14ac:dyDescent="0.3">
      <c r="A1112" t="s">
        <v>394</v>
      </c>
      <c r="B1112" t="str">
        <f>"61201"</f>
        <v>61201</v>
      </c>
      <c r="C1112" t="s">
        <v>11</v>
      </c>
      <c r="D1112" t="s">
        <v>395</v>
      </c>
      <c r="E1112" t="str">
        <f>"003"</f>
        <v>003</v>
      </c>
      <c r="F1112">
        <v>1994</v>
      </c>
      <c r="G1112" s="5">
        <v>19142200</v>
      </c>
      <c r="H1112" s="5">
        <v>180100</v>
      </c>
      <c r="I1112" s="5">
        <v>18962100</v>
      </c>
    </row>
    <row r="1113" spans="1:9" x14ac:dyDescent="0.3">
      <c r="A1113" t="s">
        <v>394</v>
      </c>
      <c r="B1113" t="str">
        <f>"61201"</f>
        <v>61201</v>
      </c>
      <c r="C1113" t="s">
        <v>11</v>
      </c>
      <c r="D1113" t="s">
        <v>395</v>
      </c>
      <c r="E1113" t="str">
        <f>"004"</f>
        <v>004</v>
      </c>
      <c r="F1113">
        <v>1994</v>
      </c>
      <c r="G1113" s="5">
        <v>25391000</v>
      </c>
      <c r="H1113" s="5">
        <v>587100</v>
      </c>
      <c r="I1113" s="5">
        <v>24803900</v>
      </c>
    </row>
    <row r="1114" spans="1:9" x14ac:dyDescent="0.3">
      <c r="A1114" t="s">
        <v>394</v>
      </c>
      <c r="B1114" t="str">
        <f>"61206"</f>
        <v>61206</v>
      </c>
      <c r="C1114" t="s">
        <v>11</v>
      </c>
      <c r="D1114" t="s">
        <v>396</v>
      </c>
      <c r="E1114" t="str">
        <f>"004"</f>
        <v>004</v>
      </c>
      <c r="F1114">
        <v>2007</v>
      </c>
      <c r="G1114" s="5">
        <v>4333100</v>
      </c>
      <c r="H1114" s="5">
        <v>17900</v>
      </c>
      <c r="I1114" s="5">
        <v>4315200</v>
      </c>
    </row>
    <row r="1115" spans="1:9" x14ac:dyDescent="0.3">
      <c r="A1115" t="s">
        <v>394</v>
      </c>
      <c r="B1115" t="str">
        <f>"61206"</f>
        <v>61206</v>
      </c>
      <c r="C1115" t="s">
        <v>11</v>
      </c>
      <c r="D1115" t="s">
        <v>396</v>
      </c>
      <c r="E1115" t="str">
        <f>"005"</f>
        <v>005</v>
      </c>
      <c r="F1115">
        <v>2008</v>
      </c>
      <c r="G1115" s="5">
        <v>2675100</v>
      </c>
      <c r="H1115" s="5">
        <v>54100</v>
      </c>
      <c r="I1115" s="5">
        <v>2621000</v>
      </c>
    </row>
    <row r="1116" spans="1:9" x14ac:dyDescent="0.3">
      <c r="A1116" t="s">
        <v>394</v>
      </c>
      <c r="B1116" t="str">
        <f>"61206"</f>
        <v>61206</v>
      </c>
      <c r="C1116" t="s">
        <v>11</v>
      </c>
      <c r="D1116" t="s">
        <v>396</v>
      </c>
      <c r="E1116" t="str">
        <f>"006"</f>
        <v>006</v>
      </c>
      <c r="F1116">
        <v>2015</v>
      </c>
      <c r="G1116" s="5">
        <v>3598500</v>
      </c>
      <c r="H1116" s="5">
        <v>3300800</v>
      </c>
      <c r="I1116" s="5">
        <v>297700</v>
      </c>
    </row>
    <row r="1117" spans="1:9" x14ac:dyDescent="0.3">
      <c r="A1117" t="s">
        <v>394</v>
      </c>
      <c r="B1117" t="str">
        <f>"61206"</f>
        <v>61206</v>
      </c>
      <c r="C1117" t="s">
        <v>11</v>
      </c>
      <c r="D1117" t="s">
        <v>396</v>
      </c>
      <c r="E1117" t="str">
        <f>"007"</f>
        <v>007</v>
      </c>
      <c r="F1117">
        <v>2015</v>
      </c>
      <c r="G1117" s="5">
        <v>2672600</v>
      </c>
      <c r="H1117" s="5">
        <v>1725000</v>
      </c>
      <c r="I1117" s="5">
        <v>947600</v>
      </c>
    </row>
    <row r="1118" spans="1:9" x14ac:dyDescent="0.3">
      <c r="A1118" t="s">
        <v>394</v>
      </c>
      <c r="B1118" t="str">
        <f>"61231"</f>
        <v>61231</v>
      </c>
      <c r="C1118" t="s">
        <v>11</v>
      </c>
      <c r="D1118" t="s">
        <v>397</v>
      </c>
      <c r="E1118" t="str">
        <f>"002"</f>
        <v>002</v>
      </c>
      <c r="F1118">
        <v>2001</v>
      </c>
      <c r="G1118" s="5">
        <v>10656600</v>
      </c>
      <c r="H1118" s="5">
        <v>1038600</v>
      </c>
      <c r="I1118" s="5">
        <v>9618000</v>
      </c>
    </row>
    <row r="1119" spans="1:9" x14ac:dyDescent="0.3">
      <c r="A1119" t="s">
        <v>394</v>
      </c>
      <c r="B1119" t="str">
        <f>"61241"</f>
        <v>61241</v>
      </c>
      <c r="C1119" t="s">
        <v>11</v>
      </c>
      <c r="D1119" t="s">
        <v>398</v>
      </c>
      <c r="E1119" t="str">
        <f>"002"</f>
        <v>002</v>
      </c>
      <c r="F1119">
        <v>2006</v>
      </c>
      <c r="G1119" s="5">
        <v>8744300</v>
      </c>
      <c r="H1119" s="5">
        <v>2007200</v>
      </c>
      <c r="I1119" s="5">
        <v>6737100</v>
      </c>
    </row>
    <row r="1120" spans="1:9" x14ac:dyDescent="0.3">
      <c r="A1120" t="s">
        <v>394</v>
      </c>
      <c r="B1120" t="str">
        <f>"61265"</f>
        <v>61265</v>
      </c>
      <c r="C1120" t="s">
        <v>11</v>
      </c>
      <c r="D1120" t="s">
        <v>399</v>
      </c>
      <c r="E1120" t="str">
        <f>"002"</f>
        <v>002</v>
      </c>
      <c r="F1120">
        <v>1994</v>
      </c>
      <c r="G1120" s="5">
        <v>26508900</v>
      </c>
      <c r="H1120" s="5">
        <v>358000</v>
      </c>
      <c r="I1120" s="5">
        <v>26150900</v>
      </c>
    </row>
    <row r="1121" spans="1:9" x14ac:dyDescent="0.3">
      <c r="A1121" t="s">
        <v>394</v>
      </c>
      <c r="B1121" t="str">
        <f>"61265"</f>
        <v>61265</v>
      </c>
      <c r="C1121" t="s">
        <v>11</v>
      </c>
      <c r="D1121" t="s">
        <v>399</v>
      </c>
      <c r="E1121" t="str">
        <f>"003"</f>
        <v>003</v>
      </c>
      <c r="F1121">
        <v>2009</v>
      </c>
      <c r="G1121" s="5">
        <v>3059300</v>
      </c>
      <c r="H1121" s="5">
        <v>2470500</v>
      </c>
      <c r="I1121" s="5">
        <v>588800</v>
      </c>
    </row>
    <row r="1122" spans="1:9" x14ac:dyDescent="0.3">
      <c r="A1122" t="s">
        <v>394</v>
      </c>
      <c r="B1122" t="str">
        <f>"61181"</f>
        <v>61181</v>
      </c>
      <c r="C1122" t="s">
        <v>12</v>
      </c>
      <c r="D1122" t="s">
        <v>400</v>
      </c>
      <c r="E1122" t="str">
        <f>"001"</f>
        <v>001</v>
      </c>
      <c r="F1122">
        <v>2009</v>
      </c>
      <c r="G1122" s="5">
        <v>8800</v>
      </c>
      <c r="H1122" s="5">
        <v>5600</v>
      </c>
      <c r="I1122" s="5">
        <v>3200</v>
      </c>
    </row>
    <row r="1123" spans="1:9" x14ac:dyDescent="0.3">
      <c r="A1123" t="s">
        <v>394</v>
      </c>
      <c r="B1123" t="str">
        <f>"61186"</f>
        <v>61186</v>
      </c>
      <c r="C1123" t="s">
        <v>12</v>
      </c>
      <c r="D1123" t="s">
        <v>394</v>
      </c>
      <c r="E1123" t="str">
        <f>"001"</f>
        <v>001</v>
      </c>
      <c r="F1123">
        <v>1997</v>
      </c>
      <c r="G1123" s="5">
        <v>5150300</v>
      </c>
      <c r="H1123" s="5">
        <v>2003400</v>
      </c>
      <c r="I1123" s="5">
        <v>3146900</v>
      </c>
    </row>
    <row r="1124" spans="1:9" x14ac:dyDescent="0.3">
      <c r="A1124" t="s">
        <v>394</v>
      </c>
      <c r="B1124" t="str">
        <f>"61291"</f>
        <v>61291</v>
      </c>
      <c r="C1124" t="s">
        <v>11</v>
      </c>
      <c r="D1124" t="s">
        <v>401</v>
      </c>
      <c r="E1124" t="str">
        <f>"002"</f>
        <v>002</v>
      </c>
      <c r="F1124">
        <v>2006</v>
      </c>
      <c r="G1124" s="5">
        <v>6266600</v>
      </c>
      <c r="H1124" s="5">
        <v>989100</v>
      </c>
      <c r="I1124" s="5">
        <v>5277500</v>
      </c>
    </row>
    <row r="1125" spans="1:9" x14ac:dyDescent="0.3">
      <c r="A1125" t="s">
        <v>394</v>
      </c>
      <c r="B1125" t="str">
        <f>"61291"</f>
        <v>61291</v>
      </c>
      <c r="C1125" t="s">
        <v>11</v>
      </c>
      <c r="D1125" t="s">
        <v>401</v>
      </c>
      <c r="E1125" t="str">
        <f>"003"</f>
        <v>003</v>
      </c>
      <c r="F1125">
        <v>2006</v>
      </c>
      <c r="G1125" s="5">
        <v>21296000</v>
      </c>
      <c r="H1125" s="5">
        <v>7706000</v>
      </c>
      <c r="I1125" s="5">
        <v>13590000</v>
      </c>
    </row>
    <row r="1126" spans="1:9" x14ac:dyDescent="0.3">
      <c r="A1126" t="s">
        <v>402</v>
      </c>
      <c r="B1126" t="str">
        <f>"62116"</f>
        <v>62116</v>
      </c>
      <c r="C1126" t="s">
        <v>12</v>
      </c>
      <c r="D1126" t="s">
        <v>90</v>
      </c>
      <c r="E1126" t="str">
        <f>"001"</f>
        <v>001</v>
      </c>
      <c r="F1126">
        <v>2001</v>
      </c>
      <c r="G1126" s="5">
        <v>713800</v>
      </c>
      <c r="H1126" s="5">
        <v>340200</v>
      </c>
      <c r="I1126" s="5">
        <v>373600</v>
      </c>
    </row>
    <row r="1127" spans="1:9" x14ac:dyDescent="0.3">
      <c r="A1127" t="s">
        <v>402</v>
      </c>
      <c r="B1127" t="str">
        <f>"62236"</f>
        <v>62236</v>
      </c>
      <c r="C1127" t="s">
        <v>11</v>
      </c>
      <c r="D1127" t="s">
        <v>403</v>
      </c>
      <c r="E1127" t="str">
        <f>"002"</f>
        <v>002</v>
      </c>
      <c r="F1127">
        <v>1993</v>
      </c>
      <c r="G1127" s="5">
        <v>14942900</v>
      </c>
      <c r="H1127" s="5">
        <v>483600</v>
      </c>
      <c r="I1127" s="5">
        <v>14459300</v>
      </c>
    </row>
    <row r="1128" spans="1:9" x14ac:dyDescent="0.3">
      <c r="A1128" t="s">
        <v>402</v>
      </c>
      <c r="B1128" t="str">
        <f>"62236"</f>
        <v>62236</v>
      </c>
      <c r="C1128" t="s">
        <v>11</v>
      </c>
      <c r="D1128" t="s">
        <v>403</v>
      </c>
      <c r="E1128" t="str">
        <f>"004"</f>
        <v>004</v>
      </c>
      <c r="F1128">
        <v>1998</v>
      </c>
      <c r="G1128" s="5">
        <v>12992900</v>
      </c>
      <c r="H1128" s="5">
        <v>2715800</v>
      </c>
      <c r="I1128" s="5">
        <v>10277100</v>
      </c>
    </row>
    <row r="1129" spans="1:9" x14ac:dyDescent="0.3">
      <c r="A1129" t="s">
        <v>402</v>
      </c>
      <c r="B1129" t="str">
        <f>"62146"</f>
        <v>62146</v>
      </c>
      <c r="C1129" t="s">
        <v>12</v>
      </c>
      <c r="D1129" t="s">
        <v>404</v>
      </c>
      <c r="E1129" t="str">
        <f>"001"</f>
        <v>001</v>
      </c>
      <c r="F1129">
        <v>2003</v>
      </c>
      <c r="G1129" s="5">
        <v>11005900</v>
      </c>
      <c r="H1129" s="5">
        <v>118300</v>
      </c>
      <c r="I1129" s="5">
        <v>10887600</v>
      </c>
    </row>
    <row r="1130" spans="1:9" x14ac:dyDescent="0.3">
      <c r="A1130" t="s">
        <v>402</v>
      </c>
      <c r="B1130" t="str">
        <f>"62165"</f>
        <v>62165</v>
      </c>
      <c r="C1130" t="s">
        <v>12</v>
      </c>
      <c r="D1130" t="s">
        <v>405</v>
      </c>
      <c r="E1130" t="str">
        <f>"001"</f>
        <v>001</v>
      </c>
      <c r="F1130">
        <v>1998</v>
      </c>
      <c r="G1130" s="5">
        <v>3377900</v>
      </c>
      <c r="H1130" s="5">
        <v>486500</v>
      </c>
      <c r="I1130" s="5">
        <v>2891400</v>
      </c>
    </row>
    <row r="1131" spans="1:9" x14ac:dyDescent="0.3">
      <c r="A1131" t="s">
        <v>402</v>
      </c>
      <c r="B1131" t="str">
        <f>"62186"</f>
        <v>62186</v>
      </c>
      <c r="C1131" t="s">
        <v>12</v>
      </c>
      <c r="D1131" t="s">
        <v>340</v>
      </c>
      <c r="E1131" t="str">
        <f>"004"</f>
        <v>004</v>
      </c>
      <c r="F1131">
        <v>2007</v>
      </c>
      <c r="G1131" s="5">
        <v>4145900</v>
      </c>
      <c r="H1131" s="5">
        <v>319500</v>
      </c>
      <c r="I1131" s="5">
        <v>3826400</v>
      </c>
    </row>
    <row r="1132" spans="1:9" x14ac:dyDescent="0.3">
      <c r="A1132" t="s">
        <v>402</v>
      </c>
      <c r="B1132" t="str">
        <f>"62186"</f>
        <v>62186</v>
      </c>
      <c r="C1132" t="s">
        <v>12</v>
      </c>
      <c r="D1132" t="s">
        <v>340</v>
      </c>
      <c r="E1132" t="str">
        <f>"005"</f>
        <v>005</v>
      </c>
      <c r="F1132">
        <v>2019</v>
      </c>
      <c r="G1132" s="5">
        <v>1247800</v>
      </c>
      <c r="H1132" s="5">
        <v>1059900</v>
      </c>
      <c r="I1132" s="5">
        <v>187900</v>
      </c>
    </row>
    <row r="1133" spans="1:9" x14ac:dyDescent="0.3">
      <c r="A1133" t="s">
        <v>402</v>
      </c>
      <c r="B1133" t="str">
        <f t="shared" ref="B1133:B1138" si="45">"62286"</f>
        <v>62286</v>
      </c>
      <c r="C1133" t="s">
        <v>11</v>
      </c>
      <c r="D1133" t="s">
        <v>406</v>
      </c>
      <c r="E1133" t="str">
        <f>"002"</f>
        <v>002</v>
      </c>
      <c r="F1133">
        <v>1994</v>
      </c>
      <c r="G1133" s="5">
        <v>1851900</v>
      </c>
      <c r="H1133" s="5">
        <v>355500</v>
      </c>
      <c r="I1133" s="5">
        <v>1496400</v>
      </c>
    </row>
    <row r="1134" spans="1:9" x14ac:dyDescent="0.3">
      <c r="A1134" t="s">
        <v>402</v>
      </c>
      <c r="B1134" t="str">
        <f t="shared" si="45"/>
        <v>62286</v>
      </c>
      <c r="C1134" t="s">
        <v>11</v>
      </c>
      <c r="D1134" t="s">
        <v>406</v>
      </c>
      <c r="E1134" t="str">
        <f>"003"</f>
        <v>003</v>
      </c>
      <c r="F1134">
        <v>1995</v>
      </c>
      <c r="G1134" s="5">
        <v>14533500</v>
      </c>
      <c r="H1134" s="5">
        <v>3810600</v>
      </c>
      <c r="I1134" s="5">
        <v>10722900</v>
      </c>
    </row>
    <row r="1135" spans="1:9" x14ac:dyDescent="0.3">
      <c r="A1135" t="s">
        <v>402</v>
      </c>
      <c r="B1135" t="str">
        <f t="shared" si="45"/>
        <v>62286</v>
      </c>
      <c r="C1135" t="s">
        <v>11</v>
      </c>
      <c r="D1135" t="s">
        <v>406</v>
      </c>
      <c r="E1135" t="str">
        <f>"004"</f>
        <v>004</v>
      </c>
      <c r="F1135">
        <v>1999</v>
      </c>
      <c r="G1135" s="5">
        <v>3130300</v>
      </c>
      <c r="H1135" s="5">
        <v>293000</v>
      </c>
      <c r="I1135" s="5">
        <v>2837300</v>
      </c>
    </row>
    <row r="1136" spans="1:9" x14ac:dyDescent="0.3">
      <c r="A1136" t="s">
        <v>402</v>
      </c>
      <c r="B1136" t="str">
        <f t="shared" si="45"/>
        <v>62286</v>
      </c>
      <c r="C1136" t="s">
        <v>11</v>
      </c>
      <c r="D1136" t="s">
        <v>406</v>
      </c>
      <c r="E1136" t="str">
        <f>"005"</f>
        <v>005</v>
      </c>
      <c r="F1136">
        <v>2006</v>
      </c>
      <c r="G1136" s="5">
        <v>4089400</v>
      </c>
      <c r="H1136" s="5">
        <v>279600</v>
      </c>
      <c r="I1136" s="5">
        <v>3809800</v>
      </c>
    </row>
    <row r="1137" spans="1:12" x14ac:dyDescent="0.3">
      <c r="A1137" t="s">
        <v>402</v>
      </c>
      <c r="B1137" t="str">
        <f t="shared" si="45"/>
        <v>62286</v>
      </c>
      <c r="C1137" t="s">
        <v>11</v>
      </c>
      <c r="D1137" t="s">
        <v>406</v>
      </c>
      <c r="E1137" t="str">
        <f>"006"</f>
        <v>006</v>
      </c>
      <c r="F1137">
        <v>2015</v>
      </c>
      <c r="G1137" s="5">
        <v>20135300</v>
      </c>
      <c r="H1137" s="5">
        <v>13024300</v>
      </c>
      <c r="I1137" s="5">
        <v>7111000</v>
      </c>
    </row>
    <row r="1138" spans="1:12" x14ac:dyDescent="0.3">
      <c r="A1138" t="s">
        <v>402</v>
      </c>
      <c r="B1138" t="str">
        <f t="shared" si="45"/>
        <v>62286</v>
      </c>
      <c r="C1138" t="s">
        <v>11</v>
      </c>
      <c r="D1138" t="s">
        <v>406</v>
      </c>
      <c r="E1138" t="str">
        <f>"007"</f>
        <v>007</v>
      </c>
      <c r="F1138">
        <v>2019</v>
      </c>
      <c r="G1138" s="5">
        <v>7202900</v>
      </c>
      <c r="H1138" s="5">
        <v>5761300</v>
      </c>
      <c r="I1138" s="5">
        <v>1441600</v>
      </c>
    </row>
    <row r="1139" spans="1:12" x14ac:dyDescent="0.3">
      <c r="A1139" t="s">
        <v>402</v>
      </c>
      <c r="B1139" t="str">
        <f>"62291"</f>
        <v>62291</v>
      </c>
      <c r="C1139" t="s">
        <v>11</v>
      </c>
      <c r="D1139" t="s">
        <v>407</v>
      </c>
      <c r="E1139" t="str">
        <f>"002"</f>
        <v>002</v>
      </c>
      <c r="F1139">
        <v>2007</v>
      </c>
      <c r="G1139" s="5">
        <v>13282200</v>
      </c>
      <c r="H1139" s="5">
        <v>6226700</v>
      </c>
      <c r="I1139" s="5">
        <v>7055500</v>
      </c>
    </row>
    <row r="1140" spans="1:12" x14ac:dyDescent="0.3">
      <c r="A1140" t="s">
        <v>402</v>
      </c>
      <c r="B1140" t="str">
        <f>"62291"</f>
        <v>62291</v>
      </c>
      <c r="C1140" t="s">
        <v>11</v>
      </c>
      <c r="D1140" t="s">
        <v>407</v>
      </c>
      <c r="E1140" t="str">
        <f>"003"</f>
        <v>003</v>
      </c>
      <c r="F1140">
        <v>2008</v>
      </c>
      <c r="G1140" s="5">
        <v>15832300</v>
      </c>
      <c r="H1140" s="5">
        <v>6591700</v>
      </c>
      <c r="I1140" s="5">
        <v>9240600</v>
      </c>
    </row>
    <row r="1141" spans="1:12" x14ac:dyDescent="0.3">
      <c r="A1141" t="s">
        <v>408</v>
      </c>
      <c r="B1141" t="str">
        <f>"63221"</f>
        <v>63221</v>
      </c>
      <c r="C1141" t="s">
        <v>11</v>
      </c>
      <c r="D1141" t="s">
        <v>409</v>
      </c>
      <c r="E1141" t="str">
        <f>"002"</f>
        <v>002</v>
      </c>
      <c r="F1141">
        <v>2007</v>
      </c>
      <c r="G1141" s="5">
        <v>12150400</v>
      </c>
      <c r="H1141" s="5">
        <v>4062400</v>
      </c>
      <c r="I1141" s="5">
        <v>8088000</v>
      </c>
    </row>
    <row r="1142" spans="1:12" x14ac:dyDescent="0.3">
      <c r="A1142" t="s">
        <v>408</v>
      </c>
      <c r="B1142" t="str">
        <f>"63221"</f>
        <v>63221</v>
      </c>
      <c r="C1142" t="s">
        <v>11</v>
      </c>
      <c r="D1142" t="s">
        <v>409</v>
      </c>
      <c r="E1142" t="str">
        <f>"003"</f>
        <v>003</v>
      </c>
      <c r="F1142">
        <v>2007</v>
      </c>
      <c r="G1142" s="5">
        <v>19572400</v>
      </c>
      <c r="H1142" s="5">
        <v>8138700</v>
      </c>
      <c r="I1142" s="5">
        <v>11433700</v>
      </c>
    </row>
    <row r="1143" spans="1:12" x14ac:dyDescent="0.3">
      <c r="A1143" t="s">
        <v>410</v>
      </c>
      <c r="B1143" t="str">
        <f>"64206"</f>
        <v>64206</v>
      </c>
      <c r="C1143" t="s">
        <v>11</v>
      </c>
      <c r="D1143" t="s">
        <v>411</v>
      </c>
      <c r="E1143" t="str">
        <f>"005"</f>
        <v>005</v>
      </c>
      <c r="F1143">
        <v>2015</v>
      </c>
      <c r="G1143" s="5">
        <v>10563900</v>
      </c>
      <c r="H1143" s="5">
        <v>123900</v>
      </c>
      <c r="I1143" s="5">
        <v>10440000</v>
      </c>
    </row>
    <row r="1144" spans="1:12" x14ac:dyDescent="0.3">
      <c r="A1144" t="s">
        <v>410</v>
      </c>
      <c r="B1144" t="str">
        <f>"64116"</f>
        <v>64116</v>
      </c>
      <c r="C1144" t="s">
        <v>12</v>
      </c>
      <c r="D1144" t="s">
        <v>412</v>
      </c>
      <c r="E1144" t="str">
        <f>"003"</f>
        <v>003</v>
      </c>
      <c r="F1144">
        <v>2015</v>
      </c>
      <c r="G1144" s="5">
        <v>9088100</v>
      </c>
      <c r="H1144" s="5">
        <v>2174600</v>
      </c>
      <c r="I1144" s="5">
        <v>6913500</v>
      </c>
    </row>
    <row r="1145" spans="1:12" x14ac:dyDescent="0.3">
      <c r="A1145" t="s">
        <v>410</v>
      </c>
      <c r="B1145" t="str">
        <f>"64216"</f>
        <v>64216</v>
      </c>
      <c r="C1145" t="s">
        <v>11</v>
      </c>
      <c r="D1145" t="s">
        <v>413</v>
      </c>
      <c r="E1145" t="str">
        <f>"004"</f>
        <v>004</v>
      </c>
      <c r="F1145">
        <v>2003</v>
      </c>
      <c r="G1145" s="5">
        <v>68695700</v>
      </c>
      <c r="H1145" s="5">
        <v>22997800</v>
      </c>
      <c r="I1145" s="5">
        <v>45697900</v>
      </c>
    </row>
    <row r="1146" spans="1:12" x14ac:dyDescent="0.3">
      <c r="A1146" t="s">
        <v>410</v>
      </c>
      <c r="B1146" t="str">
        <f>"64216"</f>
        <v>64216</v>
      </c>
      <c r="C1146" t="s">
        <v>11</v>
      </c>
      <c r="D1146" t="s">
        <v>413</v>
      </c>
      <c r="E1146" t="str">
        <f>"005"</f>
        <v>005</v>
      </c>
      <c r="F1146">
        <v>2012</v>
      </c>
      <c r="G1146" s="5">
        <v>26994500</v>
      </c>
      <c r="H1146" s="5">
        <v>21830800</v>
      </c>
      <c r="I1146" s="5">
        <v>5163700</v>
      </c>
    </row>
    <row r="1147" spans="1:12" x14ac:dyDescent="0.3">
      <c r="A1147" t="s">
        <v>410</v>
      </c>
      <c r="B1147" t="str">
        <f>"64121"</f>
        <v>64121</v>
      </c>
      <c r="C1147" t="s">
        <v>12</v>
      </c>
      <c r="D1147" t="s">
        <v>414</v>
      </c>
      <c r="E1147" t="str">
        <f>"003"</f>
        <v>003</v>
      </c>
      <c r="F1147">
        <v>1999</v>
      </c>
      <c r="G1147" s="5">
        <v>38416300</v>
      </c>
      <c r="H1147" s="5">
        <v>196800</v>
      </c>
      <c r="I1147" s="5">
        <v>38219500</v>
      </c>
    </row>
    <row r="1148" spans="1:12" x14ac:dyDescent="0.3">
      <c r="A1148" t="s">
        <v>410</v>
      </c>
      <c r="B1148" t="str">
        <f>"64121"</f>
        <v>64121</v>
      </c>
      <c r="C1148" t="s">
        <v>12</v>
      </c>
      <c r="D1148" t="s">
        <v>414</v>
      </c>
      <c r="E1148" t="str">
        <f>"004"</f>
        <v>004</v>
      </c>
      <c r="F1148">
        <v>2018</v>
      </c>
      <c r="G1148" s="5">
        <v>2802100</v>
      </c>
      <c r="H1148" s="5">
        <v>1792100</v>
      </c>
      <c r="I1148" s="5">
        <v>1010000</v>
      </c>
    </row>
    <row r="1149" spans="1:12" x14ac:dyDescent="0.3">
      <c r="A1149" t="s">
        <v>410</v>
      </c>
      <c r="B1149" t="str">
        <f>"64221"</f>
        <v>64221</v>
      </c>
      <c r="C1149" t="s">
        <v>11</v>
      </c>
      <c r="D1149" t="s">
        <v>415</v>
      </c>
      <c r="E1149" t="str">
        <f>"004"</f>
        <v>004</v>
      </c>
      <c r="F1149">
        <v>2017</v>
      </c>
      <c r="G1149" s="5">
        <v>14799300</v>
      </c>
      <c r="H1149" s="5">
        <v>3533700</v>
      </c>
      <c r="I1149" s="5">
        <v>11265600</v>
      </c>
      <c r="L1149" s="6"/>
    </row>
    <row r="1150" spans="1:12" x14ac:dyDescent="0.3">
      <c r="A1150" t="s">
        <v>410</v>
      </c>
      <c r="B1150" t="str">
        <f>"64126"</f>
        <v>64126</v>
      </c>
      <c r="C1150" t="s">
        <v>12</v>
      </c>
      <c r="D1150" t="s">
        <v>416</v>
      </c>
      <c r="E1150" t="str">
        <f>"001"</f>
        <v>001</v>
      </c>
      <c r="F1150">
        <v>2001</v>
      </c>
      <c r="G1150" s="5">
        <v>122561500</v>
      </c>
      <c r="H1150" s="5">
        <v>30220400</v>
      </c>
      <c r="I1150" s="5">
        <v>92341100</v>
      </c>
    </row>
    <row r="1151" spans="1:12" x14ac:dyDescent="0.3">
      <c r="A1151" t="s">
        <v>410</v>
      </c>
      <c r="B1151" t="str">
        <f>"64153"</f>
        <v>64153</v>
      </c>
      <c r="C1151" t="s">
        <v>12</v>
      </c>
      <c r="D1151" t="s">
        <v>417</v>
      </c>
      <c r="E1151" t="str">
        <f>"005"</f>
        <v>005</v>
      </c>
      <c r="F1151">
        <v>2018</v>
      </c>
      <c r="G1151" s="7">
        <v>34064900</v>
      </c>
      <c r="H1151" s="7">
        <v>315200</v>
      </c>
      <c r="I1151" s="7">
        <v>33749700</v>
      </c>
    </row>
    <row r="1152" spans="1:12" x14ac:dyDescent="0.3">
      <c r="A1152" t="s">
        <v>410</v>
      </c>
      <c r="B1152" t="str">
        <f>"64181"</f>
        <v>64181</v>
      </c>
      <c r="C1152" t="s">
        <v>12</v>
      </c>
      <c r="D1152" t="s">
        <v>418</v>
      </c>
      <c r="E1152" t="str">
        <f>"004"</f>
        <v>004</v>
      </c>
      <c r="F1152">
        <v>2007</v>
      </c>
      <c r="G1152" s="5">
        <v>949800</v>
      </c>
      <c r="H1152" s="5">
        <v>1067100</v>
      </c>
      <c r="I1152" s="5">
        <v>-117300</v>
      </c>
    </row>
    <row r="1153" spans="1:9" x14ac:dyDescent="0.3">
      <c r="A1153" t="s">
        <v>410</v>
      </c>
      <c r="B1153" t="str">
        <f>"64191"</f>
        <v>64191</v>
      </c>
      <c r="C1153" t="s">
        <v>12</v>
      </c>
      <c r="D1153" t="s">
        <v>410</v>
      </c>
      <c r="E1153" t="str">
        <f>"001"</f>
        <v>001</v>
      </c>
      <c r="F1153">
        <v>2011</v>
      </c>
      <c r="G1153" s="5">
        <v>8309200</v>
      </c>
      <c r="H1153" s="5">
        <v>6963900</v>
      </c>
      <c r="I1153" s="5">
        <v>1345300</v>
      </c>
    </row>
    <row r="1154" spans="1:9" x14ac:dyDescent="0.3">
      <c r="A1154" t="s">
        <v>410</v>
      </c>
      <c r="B1154" t="str">
        <f>"64291"</f>
        <v>64291</v>
      </c>
      <c r="C1154" t="s">
        <v>11</v>
      </c>
      <c r="D1154" t="s">
        <v>198</v>
      </c>
      <c r="E1154" t="str">
        <f>"004"</f>
        <v>004</v>
      </c>
      <c r="F1154">
        <v>1990</v>
      </c>
      <c r="G1154" s="5">
        <v>83337700</v>
      </c>
      <c r="H1154" s="5">
        <v>21477100</v>
      </c>
      <c r="I1154" s="5">
        <v>61860600</v>
      </c>
    </row>
    <row r="1155" spans="1:9" x14ac:dyDescent="0.3">
      <c r="A1155" t="s">
        <v>410</v>
      </c>
      <c r="B1155" t="str">
        <f>"64291"</f>
        <v>64291</v>
      </c>
      <c r="C1155" t="s">
        <v>11</v>
      </c>
      <c r="D1155" t="s">
        <v>198</v>
      </c>
      <c r="E1155" t="str">
        <f>"005"</f>
        <v>005</v>
      </c>
      <c r="F1155">
        <v>2007</v>
      </c>
      <c r="G1155" s="5">
        <v>3950300</v>
      </c>
      <c r="H1155" s="5">
        <v>3313200</v>
      </c>
      <c r="I1155" s="5">
        <v>637100</v>
      </c>
    </row>
    <row r="1156" spans="1:9" x14ac:dyDescent="0.3">
      <c r="A1156" t="s">
        <v>410</v>
      </c>
      <c r="B1156" t="str">
        <f>"64291"</f>
        <v>64291</v>
      </c>
      <c r="C1156" t="s">
        <v>11</v>
      </c>
      <c r="D1156" t="s">
        <v>198</v>
      </c>
      <c r="E1156" t="str">
        <f>"006"</f>
        <v>006</v>
      </c>
      <c r="F1156">
        <v>2007</v>
      </c>
      <c r="G1156" s="5">
        <v>5948400</v>
      </c>
      <c r="H1156" s="5">
        <v>2623100</v>
      </c>
      <c r="I1156" s="5">
        <v>3325300</v>
      </c>
    </row>
    <row r="1157" spans="1:9" x14ac:dyDescent="0.3">
      <c r="A1157" t="s">
        <v>410</v>
      </c>
      <c r="B1157" t="str">
        <f>"64291"</f>
        <v>64291</v>
      </c>
      <c r="C1157" t="s">
        <v>11</v>
      </c>
      <c r="D1157" t="s">
        <v>198</v>
      </c>
      <c r="E1157" t="str">
        <f>"007"</f>
        <v>007</v>
      </c>
      <c r="F1157">
        <v>2007</v>
      </c>
      <c r="G1157" s="5">
        <v>329700</v>
      </c>
      <c r="H1157" s="5">
        <v>646700</v>
      </c>
      <c r="I1157" s="5">
        <v>-317000</v>
      </c>
    </row>
    <row r="1158" spans="1:9" x14ac:dyDescent="0.3">
      <c r="A1158" t="s">
        <v>410</v>
      </c>
      <c r="B1158" t="str">
        <f>"64291"</f>
        <v>64291</v>
      </c>
      <c r="C1158" t="s">
        <v>11</v>
      </c>
      <c r="D1158" t="s">
        <v>198</v>
      </c>
      <c r="E1158" t="str">
        <f>"009"</f>
        <v>009</v>
      </c>
      <c r="F1158">
        <v>2007</v>
      </c>
      <c r="G1158" s="5">
        <v>66800</v>
      </c>
      <c r="H1158" s="5">
        <v>38700</v>
      </c>
      <c r="I1158" s="5">
        <v>28100</v>
      </c>
    </row>
    <row r="1159" spans="1:9" x14ac:dyDescent="0.3">
      <c r="A1159" t="s">
        <v>30</v>
      </c>
      <c r="B1159" t="str">
        <f>"65106"</f>
        <v>65106</v>
      </c>
      <c r="C1159" t="s">
        <v>12</v>
      </c>
      <c r="D1159" t="s">
        <v>419</v>
      </c>
      <c r="E1159" t="str">
        <f>"001"</f>
        <v>001</v>
      </c>
      <c r="F1159">
        <v>2004</v>
      </c>
      <c r="G1159" s="5">
        <v>3312600</v>
      </c>
      <c r="H1159" s="5">
        <v>1905000</v>
      </c>
      <c r="I1159" s="5">
        <v>1407600</v>
      </c>
    </row>
    <row r="1160" spans="1:9" x14ac:dyDescent="0.3">
      <c r="A1160" t="s">
        <v>30</v>
      </c>
      <c r="B1160" t="str">
        <f>"65106"</f>
        <v>65106</v>
      </c>
      <c r="C1160" t="s">
        <v>12</v>
      </c>
      <c r="D1160" t="s">
        <v>419</v>
      </c>
      <c r="E1160" t="str">
        <f>"002"</f>
        <v>002</v>
      </c>
      <c r="F1160">
        <v>2005</v>
      </c>
      <c r="G1160" s="5">
        <v>2752700</v>
      </c>
      <c r="H1160" s="5">
        <v>2174300</v>
      </c>
      <c r="I1160" s="5">
        <v>578400</v>
      </c>
    </row>
    <row r="1161" spans="1:9" x14ac:dyDescent="0.3">
      <c r="A1161" t="s">
        <v>30</v>
      </c>
      <c r="B1161" t="str">
        <f>"65151"</f>
        <v>65151</v>
      </c>
      <c r="C1161" t="s">
        <v>12</v>
      </c>
      <c r="D1161" t="s">
        <v>420</v>
      </c>
      <c r="E1161" t="str">
        <f>"003"</f>
        <v>003</v>
      </c>
      <c r="F1161">
        <v>2010</v>
      </c>
      <c r="G1161" s="5">
        <v>983600</v>
      </c>
      <c r="H1161" s="5">
        <v>84900</v>
      </c>
      <c r="I1161" s="5">
        <v>898700</v>
      </c>
    </row>
    <row r="1162" spans="1:9" x14ac:dyDescent="0.3">
      <c r="A1162" t="s">
        <v>30</v>
      </c>
      <c r="B1162" t="str">
        <f>"65151"</f>
        <v>65151</v>
      </c>
      <c r="C1162" t="s">
        <v>12</v>
      </c>
      <c r="D1162" t="s">
        <v>420</v>
      </c>
      <c r="E1162" t="str">
        <f>"004"</f>
        <v>004</v>
      </c>
      <c r="F1162">
        <v>2019</v>
      </c>
      <c r="G1162" s="5">
        <v>282200</v>
      </c>
      <c r="H1162" s="5">
        <v>267400</v>
      </c>
      <c r="I1162" s="5">
        <v>14800</v>
      </c>
    </row>
    <row r="1163" spans="1:9" x14ac:dyDescent="0.3">
      <c r="A1163" t="s">
        <v>30</v>
      </c>
      <c r="B1163" t="str">
        <f>"65282"</f>
        <v>65282</v>
      </c>
      <c r="C1163" t="s">
        <v>11</v>
      </c>
      <c r="D1163" t="s">
        <v>421</v>
      </c>
      <c r="E1163" t="str">
        <f>"002"</f>
        <v>002</v>
      </c>
      <c r="F1163">
        <v>1996</v>
      </c>
      <c r="G1163" s="5">
        <v>37297600</v>
      </c>
      <c r="H1163" s="5">
        <v>5595700</v>
      </c>
      <c r="I1163" s="5">
        <v>31701900</v>
      </c>
    </row>
    <row r="1164" spans="1:9" x14ac:dyDescent="0.3">
      <c r="A1164" t="s">
        <v>30</v>
      </c>
      <c r="B1164" t="str">
        <f>"65281"</f>
        <v>65281</v>
      </c>
      <c r="C1164" t="s">
        <v>11</v>
      </c>
      <c r="D1164" t="s">
        <v>422</v>
      </c>
      <c r="E1164" t="str">
        <f>"003"</f>
        <v>003</v>
      </c>
      <c r="F1164">
        <v>1996</v>
      </c>
      <c r="G1164" s="5">
        <v>15441800</v>
      </c>
      <c r="H1164" s="5">
        <v>618700</v>
      </c>
      <c r="I1164" s="5">
        <v>14823100</v>
      </c>
    </row>
    <row r="1165" spans="1:9" x14ac:dyDescent="0.3">
      <c r="A1165" t="s">
        <v>30</v>
      </c>
      <c r="B1165" t="str">
        <f>"65281"</f>
        <v>65281</v>
      </c>
      <c r="C1165" t="s">
        <v>11</v>
      </c>
      <c r="D1165" t="s">
        <v>422</v>
      </c>
      <c r="E1165" t="str">
        <f>"004"</f>
        <v>004</v>
      </c>
      <c r="F1165">
        <v>2003</v>
      </c>
      <c r="G1165" s="5">
        <v>10218000</v>
      </c>
      <c r="H1165" s="5">
        <v>178000</v>
      </c>
      <c r="I1165" s="5">
        <v>10040000</v>
      </c>
    </row>
    <row r="1166" spans="1:9" x14ac:dyDescent="0.3">
      <c r="A1166" t="s">
        <v>423</v>
      </c>
      <c r="B1166" t="str">
        <f>"66131"</f>
        <v>66131</v>
      </c>
      <c r="C1166" t="s">
        <v>12</v>
      </c>
      <c r="D1166" t="s">
        <v>424</v>
      </c>
      <c r="E1166" t="str">
        <f>"006"</f>
        <v>006</v>
      </c>
      <c r="F1166">
        <v>2014</v>
      </c>
      <c r="G1166" s="5">
        <v>34745600</v>
      </c>
      <c r="H1166" s="5">
        <v>2796400</v>
      </c>
      <c r="I1166" s="5">
        <v>31949200</v>
      </c>
    </row>
    <row r="1167" spans="1:9" x14ac:dyDescent="0.3">
      <c r="A1167" t="s">
        <v>423</v>
      </c>
      <c r="B1167" t="str">
        <f>"66131"</f>
        <v>66131</v>
      </c>
      <c r="C1167" t="s">
        <v>12</v>
      </c>
      <c r="D1167" t="s">
        <v>424</v>
      </c>
      <c r="E1167" t="str">
        <f>"007"</f>
        <v>007</v>
      </c>
      <c r="F1167">
        <v>2018</v>
      </c>
      <c r="G1167" s="5">
        <v>14120700</v>
      </c>
      <c r="H1167" s="5">
        <v>9329900</v>
      </c>
      <c r="I1167" s="5">
        <v>4790800</v>
      </c>
    </row>
    <row r="1168" spans="1:9" x14ac:dyDescent="0.3">
      <c r="A1168" t="s">
        <v>423</v>
      </c>
      <c r="B1168" t="str">
        <f>"66131"</f>
        <v>66131</v>
      </c>
      <c r="C1168" t="s">
        <v>12</v>
      </c>
      <c r="D1168" t="s">
        <v>424</v>
      </c>
      <c r="E1168" t="str">
        <f>"008"</f>
        <v>008</v>
      </c>
      <c r="F1168">
        <v>2018</v>
      </c>
      <c r="G1168" s="5">
        <v>75107600</v>
      </c>
      <c r="H1168" s="5">
        <v>640700</v>
      </c>
      <c r="I1168" s="5">
        <v>74466900</v>
      </c>
    </row>
    <row r="1169" spans="1:9" x14ac:dyDescent="0.3">
      <c r="A1169" t="s">
        <v>423</v>
      </c>
      <c r="B1169" t="str">
        <f>"66236"</f>
        <v>66236</v>
      </c>
      <c r="C1169" t="s">
        <v>11</v>
      </c>
      <c r="D1169" t="s">
        <v>125</v>
      </c>
      <c r="E1169" t="str">
        <f>"006"</f>
        <v>006</v>
      </c>
      <c r="F1169">
        <v>2008</v>
      </c>
      <c r="G1169" s="5">
        <v>1692000</v>
      </c>
      <c r="H1169" s="5">
        <v>1100000</v>
      </c>
      <c r="I1169" s="5">
        <v>592000</v>
      </c>
    </row>
    <row r="1170" spans="1:9" x14ac:dyDescent="0.3">
      <c r="A1170" t="s">
        <v>423</v>
      </c>
      <c r="B1170" t="str">
        <f>"66236"</f>
        <v>66236</v>
      </c>
      <c r="C1170" t="s">
        <v>11</v>
      </c>
      <c r="D1170" t="s">
        <v>125</v>
      </c>
      <c r="E1170" t="str">
        <f>"007"</f>
        <v>007</v>
      </c>
      <c r="F1170">
        <v>2011</v>
      </c>
      <c r="G1170" s="5">
        <v>2640200</v>
      </c>
      <c r="H1170" s="5">
        <v>3600</v>
      </c>
      <c r="I1170" s="5">
        <v>2636600</v>
      </c>
    </row>
    <row r="1171" spans="1:9" x14ac:dyDescent="0.3">
      <c r="A1171" t="s">
        <v>423</v>
      </c>
      <c r="B1171" t="str">
        <f>"66236"</f>
        <v>66236</v>
      </c>
      <c r="C1171" t="s">
        <v>11</v>
      </c>
      <c r="D1171" t="s">
        <v>125</v>
      </c>
      <c r="E1171" t="str">
        <f>"008"</f>
        <v>008</v>
      </c>
      <c r="F1171">
        <v>2013</v>
      </c>
      <c r="G1171" s="5">
        <v>9885300</v>
      </c>
      <c r="H1171" s="5">
        <v>6047400</v>
      </c>
      <c r="I1171" s="5">
        <v>3837900</v>
      </c>
    </row>
    <row r="1172" spans="1:9" x14ac:dyDescent="0.3">
      <c r="A1172" t="s">
        <v>423</v>
      </c>
      <c r="B1172" t="str">
        <f>"66236"</f>
        <v>66236</v>
      </c>
      <c r="C1172" t="s">
        <v>11</v>
      </c>
      <c r="D1172" t="s">
        <v>125</v>
      </c>
      <c r="E1172" t="str">
        <f>"010"</f>
        <v>010</v>
      </c>
      <c r="F1172">
        <v>2017</v>
      </c>
      <c r="G1172" s="5">
        <v>13378000</v>
      </c>
      <c r="H1172" s="5">
        <v>4791600</v>
      </c>
      <c r="I1172" s="5">
        <v>8586400</v>
      </c>
    </row>
    <row r="1173" spans="1:9" x14ac:dyDescent="0.3">
      <c r="A1173" t="s">
        <v>423</v>
      </c>
      <c r="B1173" t="str">
        <f>"66236"</f>
        <v>66236</v>
      </c>
      <c r="C1173" t="s">
        <v>11</v>
      </c>
      <c r="D1173" t="s">
        <v>125</v>
      </c>
      <c r="E1173" t="str">
        <f>"011"</f>
        <v>011</v>
      </c>
      <c r="F1173">
        <v>2017</v>
      </c>
      <c r="G1173" s="5">
        <v>15596000</v>
      </c>
      <c r="H1173" s="5">
        <v>11588700</v>
      </c>
      <c r="I1173" s="5">
        <v>4007300</v>
      </c>
    </row>
    <row r="1174" spans="1:9" x14ac:dyDescent="0.3">
      <c r="A1174" t="s">
        <v>423</v>
      </c>
      <c r="B1174" t="str">
        <f>"66141"</f>
        <v>66141</v>
      </c>
      <c r="C1174" t="s">
        <v>12</v>
      </c>
      <c r="D1174" t="s">
        <v>186</v>
      </c>
      <c r="E1174" t="str">
        <f>"004"</f>
        <v>004</v>
      </c>
      <c r="F1174">
        <v>1995</v>
      </c>
      <c r="G1174" s="5">
        <v>49931600</v>
      </c>
      <c r="H1174" s="5">
        <v>645700</v>
      </c>
      <c r="I1174" s="5">
        <v>49285900</v>
      </c>
    </row>
    <row r="1175" spans="1:9" x14ac:dyDescent="0.3">
      <c r="A1175" t="s">
        <v>423</v>
      </c>
      <c r="B1175" t="str">
        <f>"66141"</f>
        <v>66141</v>
      </c>
      <c r="C1175" t="s">
        <v>12</v>
      </c>
      <c r="D1175" t="s">
        <v>186</v>
      </c>
      <c r="E1175" t="str">
        <f>"005"</f>
        <v>005</v>
      </c>
      <c r="F1175">
        <v>2014</v>
      </c>
      <c r="G1175" s="5">
        <v>7117800</v>
      </c>
      <c r="H1175" s="5">
        <v>933100</v>
      </c>
      <c r="I1175" s="5">
        <v>6184700</v>
      </c>
    </row>
    <row r="1176" spans="1:9" x14ac:dyDescent="0.3">
      <c r="A1176" t="s">
        <v>423</v>
      </c>
      <c r="B1176" t="str">
        <f>"66141"</f>
        <v>66141</v>
      </c>
      <c r="C1176" t="s">
        <v>12</v>
      </c>
      <c r="D1176" t="s">
        <v>186</v>
      </c>
      <c r="E1176" t="str">
        <f>"006"</f>
        <v>006</v>
      </c>
      <c r="F1176">
        <v>2018</v>
      </c>
      <c r="G1176" s="5">
        <v>3520300</v>
      </c>
      <c r="H1176" s="5">
        <v>474900</v>
      </c>
      <c r="I1176" s="5">
        <v>3045400</v>
      </c>
    </row>
    <row r="1177" spans="1:9" x14ac:dyDescent="0.3">
      <c r="A1177" t="s">
        <v>423</v>
      </c>
      <c r="B1177" t="str">
        <f>"66141"</f>
        <v>66141</v>
      </c>
      <c r="C1177" t="s">
        <v>12</v>
      </c>
      <c r="D1177" t="s">
        <v>186</v>
      </c>
      <c r="E1177" t="str">
        <f>"007"</f>
        <v>007</v>
      </c>
      <c r="F1177">
        <v>2019</v>
      </c>
      <c r="G1177" s="5">
        <v>7414300</v>
      </c>
      <c r="H1177" s="5">
        <v>6460400</v>
      </c>
      <c r="I1177" s="5">
        <v>953900</v>
      </c>
    </row>
    <row r="1178" spans="1:9" x14ac:dyDescent="0.3">
      <c r="A1178" t="s">
        <v>423</v>
      </c>
      <c r="B1178" t="str">
        <f>"66142"</f>
        <v>66142</v>
      </c>
      <c r="C1178" t="s">
        <v>12</v>
      </c>
      <c r="D1178" t="s">
        <v>425</v>
      </c>
      <c r="E1178" t="str">
        <f>"002"</f>
        <v>002</v>
      </c>
      <c r="F1178">
        <v>2005</v>
      </c>
      <c r="G1178" s="5">
        <v>29371400</v>
      </c>
      <c r="H1178" s="5">
        <v>2868700</v>
      </c>
      <c r="I1178" s="5">
        <v>26502700</v>
      </c>
    </row>
    <row r="1179" spans="1:9" x14ac:dyDescent="0.3">
      <c r="A1179" t="s">
        <v>423</v>
      </c>
      <c r="B1179" t="str">
        <f>"66181"</f>
        <v>66181</v>
      </c>
      <c r="C1179" t="s">
        <v>12</v>
      </c>
      <c r="D1179" t="s">
        <v>426</v>
      </c>
      <c r="E1179" t="str">
        <f>"004"</f>
        <v>004</v>
      </c>
      <c r="F1179">
        <v>2015</v>
      </c>
      <c r="G1179" s="5">
        <v>15905400</v>
      </c>
      <c r="H1179" s="5">
        <v>3546200</v>
      </c>
      <c r="I1179" s="5">
        <v>12359200</v>
      </c>
    </row>
    <row r="1180" spans="1:9" x14ac:dyDescent="0.3">
      <c r="A1180" t="s">
        <v>423</v>
      </c>
      <c r="B1180" t="str">
        <f>"66181"</f>
        <v>66181</v>
      </c>
      <c r="C1180" t="s">
        <v>12</v>
      </c>
      <c r="D1180" t="s">
        <v>426</v>
      </c>
      <c r="E1180" t="str">
        <f>"005"</f>
        <v>005</v>
      </c>
      <c r="F1180">
        <v>2016</v>
      </c>
      <c r="G1180" s="5">
        <v>5845600</v>
      </c>
      <c r="H1180" s="5">
        <v>784400</v>
      </c>
      <c r="I1180" s="5">
        <v>5061200</v>
      </c>
    </row>
    <row r="1181" spans="1:9" x14ac:dyDescent="0.3">
      <c r="A1181" t="s">
        <v>423</v>
      </c>
      <c r="B1181" t="str">
        <f t="shared" ref="B1181:B1191" si="46">"66291"</f>
        <v>66291</v>
      </c>
      <c r="C1181" t="s">
        <v>11</v>
      </c>
      <c r="D1181" t="s">
        <v>427</v>
      </c>
      <c r="E1181" t="str">
        <f>"003"</f>
        <v>003</v>
      </c>
      <c r="F1181">
        <v>1995</v>
      </c>
      <c r="G1181" s="5">
        <v>35277500</v>
      </c>
      <c r="H1181" s="5">
        <v>4817700</v>
      </c>
      <c r="I1181" s="5">
        <v>30459800</v>
      </c>
    </row>
    <row r="1182" spans="1:9" x14ac:dyDescent="0.3">
      <c r="A1182" t="s">
        <v>423</v>
      </c>
      <c r="B1182" t="str">
        <f t="shared" si="46"/>
        <v>66291</v>
      </c>
      <c r="C1182" t="s">
        <v>11</v>
      </c>
      <c r="D1182" t="s">
        <v>427</v>
      </c>
      <c r="E1182" t="str">
        <f>"004"</f>
        <v>004</v>
      </c>
      <c r="F1182">
        <v>1997</v>
      </c>
      <c r="G1182" s="5">
        <v>82376800</v>
      </c>
      <c r="H1182" s="5">
        <v>829900</v>
      </c>
      <c r="I1182" s="5">
        <v>81546900</v>
      </c>
    </row>
    <row r="1183" spans="1:9" x14ac:dyDescent="0.3">
      <c r="A1183" t="s">
        <v>423</v>
      </c>
      <c r="B1183" t="str">
        <f t="shared" si="46"/>
        <v>66291</v>
      </c>
      <c r="C1183" t="s">
        <v>11</v>
      </c>
      <c r="D1183" t="s">
        <v>427</v>
      </c>
      <c r="E1183" t="str">
        <f>"005"</f>
        <v>005</v>
      </c>
      <c r="F1183">
        <v>1998</v>
      </c>
      <c r="G1183" s="5">
        <v>19829100</v>
      </c>
      <c r="H1183" s="5">
        <v>1793400</v>
      </c>
      <c r="I1183" s="5">
        <v>18035700</v>
      </c>
    </row>
    <row r="1184" spans="1:9" x14ac:dyDescent="0.3">
      <c r="A1184" t="s">
        <v>423</v>
      </c>
      <c r="B1184" t="str">
        <f t="shared" si="46"/>
        <v>66291</v>
      </c>
      <c r="C1184" t="s">
        <v>11</v>
      </c>
      <c r="D1184" t="s">
        <v>427</v>
      </c>
      <c r="E1184" t="str">
        <f>"006"</f>
        <v>006</v>
      </c>
      <c r="F1184">
        <v>1999</v>
      </c>
      <c r="G1184" s="5">
        <v>55802200</v>
      </c>
      <c r="H1184" s="5">
        <v>4303400</v>
      </c>
      <c r="I1184" s="5">
        <v>51498800</v>
      </c>
    </row>
    <row r="1185" spans="1:9" x14ac:dyDescent="0.3">
      <c r="A1185" t="s">
        <v>423</v>
      </c>
      <c r="B1185" t="str">
        <f t="shared" si="46"/>
        <v>66291</v>
      </c>
      <c r="C1185" t="s">
        <v>11</v>
      </c>
      <c r="D1185" t="s">
        <v>427</v>
      </c>
      <c r="E1185" t="str">
        <f>"007"</f>
        <v>007</v>
      </c>
      <c r="F1185">
        <v>1999</v>
      </c>
      <c r="G1185" s="5">
        <v>29288100</v>
      </c>
      <c r="H1185" s="5">
        <v>20976800</v>
      </c>
      <c r="I1185" s="5">
        <v>8311300</v>
      </c>
    </row>
    <row r="1186" spans="1:9" x14ac:dyDescent="0.3">
      <c r="A1186" t="s">
        <v>423</v>
      </c>
      <c r="B1186" t="str">
        <f t="shared" si="46"/>
        <v>66291</v>
      </c>
      <c r="C1186" t="s">
        <v>11</v>
      </c>
      <c r="D1186" t="s">
        <v>427</v>
      </c>
      <c r="E1186" t="str">
        <f>"008"</f>
        <v>008</v>
      </c>
      <c r="F1186">
        <v>1999</v>
      </c>
      <c r="G1186" s="5">
        <v>1364800</v>
      </c>
      <c r="H1186" s="5">
        <v>66200</v>
      </c>
      <c r="I1186" s="5">
        <v>1298600</v>
      </c>
    </row>
    <row r="1187" spans="1:9" x14ac:dyDescent="0.3">
      <c r="A1187" t="s">
        <v>423</v>
      </c>
      <c r="B1187" t="str">
        <f t="shared" si="46"/>
        <v>66291</v>
      </c>
      <c r="C1187" t="s">
        <v>11</v>
      </c>
      <c r="D1187" t="s">
        <v>427</v>
      </c>
      <c r="E1187" t="str">
        <f>"009"</f>
        <v>009</v>
      </c>
      <c r="F1187">
        <v>2003</v>
      </c>
      <c r="G1187" s="5">
        <v>5649400</v>
      </c>
      <c r="H1187" s="5">
        <v>4144200</v>
      </c>
      <c r="I1187" s="5">
        <v>1505200</v>
      </c>
    </row>
    <row r="1188" spans="1:9" x14ac:dyDescent="0.3">
      <c r="A1188" t="s">
        <v>423</v>
      </c>
      <c r="B1188" t="str">
        <f t="shared" si="46"/>
        <v>66291</v>
      </c>
      <c r="C1188" t="s">
        <v>11</v>
      </c>
      <c r="D1188" t="s">
        <v>427</v>
      </c>
      <c r="E1188" t="str">
        <f>"010"</f>
        <v>010</v>
      </c>
      <c r="F1188">
        <v>2004</v>
      </c>
      <c r="G1188" s="5">
        <v>49322800</v>
      </c>
      <c r="H1188" s="5">
        <v>6593500</v>
      </c>
      <c r="I1188" s="5">
        <v>42729300</v>
      </c>
    </row>
    <row r="1189" spans="1:9" x14ac:dyDescent="0.3">
      <c r="A1189" t="s">
        <v>423</v>
      </c>
      <c r="B1189" t="str">
        <f t="shared" si="46"/>
        <v>66291</v>
      </c>
      <c r="C1189" t="s">
        <v>11</v>
      </c>
      <c r="D1189" t="s">
        <v>427</v>
      </c>
      <c r="E1189" t="str">
        <f>"011"</f>
        <v>011</v>
      </c>
      <c r="F1189">
        <v>2005</v>
      </c>
      <c r="G1189" s="5">
        <v>28735800</v>
      </c>
      <c r="H1189" s="5">
        <v>9623000</v>
      </c>
      <c r="I1189" s="5">
        <v>19112800</v>
      </c>
    </row>
    <row r="1190" spans="1:9" x14ac:dyDescent="0.3">
      <c r="A1190" t="s">
        <v>423</v>
      </c>
      <c r="B1190" t="str">
        <f t="shared" si="46"/>
        <v>66291</v>
      </c>
      <c r="C1190" t="s">
        <v>11</v>
      </c>
      <c r="D1190" t="s">
        <v>427</v>
      </c>
      <c r="E1190" t="str">
        <f>"012"</f>
        <v>012</v>
      </c>
      <c r="F1190">
        <v>2008</v>
      </c>
      <c r="G1190" s="5">
        <v>34599700</v>
      </c>
      <c r="H1190" s="5">
        <v>11804500</v>
      </c>
      <c r="I1190" s="5">
        <v>22795200</v>
      </c>
    </row>
    <row r="1191" spans="1:9" x14ac:dyDescent="0.3">
      <c r="A1191" t="s">
        <v>423</v>
      </c>
      <c r="B1191" t="str">
        <f t="shared" si="46"/>
        <v>66291</v>
      </c>
      <c r="C1191" t="s">
        <v>11</v>
      </c>
      <c r="D1191" t="s">
        <v>427</v>
      </c>
      <c r="E1191" t="str">
        <f>"013"</f>
        <v>013</v>
      </c>
      <c r="F1191">
        <v>2011</v>
      </c>
      <c r="G1191" s="5">
        <v>5327100</v>
      </c>
      <c r="H1191" s="5">
        <v>3634200</v>
      </c>
      <c r="I1191" s="5">
        <v>1692900</v>
      </c>
    </row>
    <row r="1192" spans="1:9" x14ac:dyDescent="0.3">
      <c r="A1192" t="s">
        <v>428</v>
      </c>
      <c r="B1192" t="str">
        <f>"67106"</f>
        <v>67106</v>
      </c>
      <c r="C1192" t="s">
        <v>12</v>
      </c>
      <c r="D1192" t="s">
        <v>429</v>
      </c>
      <c r="E1192" t="str">
        <f>"001"</f>
        <v>001</v>
      </c>
      <c r="F1192">
        <v>2013</v>
      </c>
      <c r="G1192" s="5">
        <v>14630800</v>
      </c>
      <c r="H1192" s="5">
        <v>14680600</v>
      </c>
      <c r="I1192" s="5">
        <v>-49800</v>
      </c>
    </row>
    <row r="1193" spans="1:9" x14ac:dyDescent="0.3">
      <c r="A1193" t="s">
        <v>428</v>
      </c>
      <c r="B1193" t="str">
        <f>"67002"</f>
        <v>67002</v>
      </c>
      <c r="C1193" t="s">
        <v>14</v>
      </c>
      <c r="D1193" t="s">
        <v>430</v>
      </c>
      <c r="E1193" t="str">
        <f>"001A"</f>
        <v>001A</v>
      </c>
      <c r="F1193">
        <v>2014</v>
      </c>
      <c r="G1193" s="5">
        <v>313535800</v>
      </c>
      <c r="H1193" s="5">
        <v>65986900</v>
      </c>
      <c r="I1193" s="5">
        <v>247548900</v>
      </c>
    </row>
    <row r="1194" spans="1:9" x14ac:dyDescent="0.3">
      <c r="A1194" t="s">
        <v>428</v>
      </c>
      <c r="B1194" t="str">
        <f>"67206"</f>
        <v>67206</v>
      </c>
      <c r="C1194" t="s">
        <v>11</v>
      </c>
      <c r="D1194" t="s">
        <v>430</v>
      </c>
      <c r="E1194" t="str">
        <f>"004"</f>
        <v>004</v>
      </c>
      <c r="F1194">
        <v>2015</v>
      </c>
      <c r="G1194" s="5">
        <v>1995300</v>
      </c>
      <c r="H1194" s="5">
        <v>158800</v>
      </c>
      <c r="I1194" s="5">
        <v>1836500</v>
      </c>
    </row>
    <row r="1195" spans="1:9" x14ac:dyDescent="0.3">
      <c r="A1195" t="s">
        <v>428</v>
      </c>
      <c r="B1195" t="str">
        <f>"67206"</f>
        <v>67206</v>
      </c>
      <c r="C1195" t="s">
        <v>11</v>
      </c>
      <c r="D1195" t="s">
        <v>430</v>
      </c>
      <c r="E1195" t="str">
        <f>"005"</f>
        <v>005</v>
      </c>
      <c r="F1195">
        <v>2015</v>
      </c>
      <c r="G1195" s="5">
        <v>91043600</v>
      </c>
      <c r="H1195" s="5">
        <v>1407000</v>
      </c>
      <c r="I1195" s="5">
        <v>89636600</v>
      </c>
    </row>
    <row r="1196" spans="1:9" x14ac:dyDescent="0.3">
      <c r="A1196" t="s">
        <v>428</v>
      </c>
      <c r="B1196" t="str">
        <f>"67206"</f>
        <v>67206</v>
      </c>
      <c r="C1196" t="s">
        <v>11</v>
      </c>
      <c r="D1196" t="s">
        <v>430</v>
      </c>
      <c r="E1196" t="str">
        <f>"006"</f>
        <v>006</v>
      </c>
      <c r="F1196">
        <v>2016</v>
      </c>
      <c r="G1196" s="5">
        <v>45347000</v>
      </c>
      <c r="H1196" s="5">
        <v>15792400</v>
      </c>
      <c r="I1196" s="5">
        <v>29554600</v>
      </c>
    </row>
    <row r="1197" spans="1:9" x14ac:dyDescent="0.3">
      <c r="A1197" t="s">
        <v>428</v>
      </c>
      <c r="B1197" t="str">
        <f>"67206"</f>
        <v>67206</v>
      </c>
      <c r="C1197" t="s">
        <v>11</v>
      </c>
      <c r="D1197" t="s">
        <v>430</v>
      </c>
      <c r="E1197" t="str">
        <f>"007"</f>
        <v>007</v>
      </c>
      <c r="F1197">
        <v>2018</v>
      </c>
      <c r="G1197" s="5">
        <v>20913000</v>
      </c>
      <c r="H1197" s="5">
        <v>660600</v>
      </c>
      <c r="I1197" s="5">
        <v>20252400</v>
      </c>
    </row>
    <row r="1198" spans="1:9" x14ac:dyDescent="0.3">
      <c r="A1198" t="s">
        <v>428</v>
      </c>
      <c r="B1198" t="str">
        <f>"67206"</f>
        <v>67206</v>
      </c>
      <c r="C1198" t="s">
        <v>11</v>
      </c>
      <c r="D1198" t="s">
        <v>430</v>
      </c>
      <c r="E1198" t="str">
        <f>"008"</f>
        <v>008</v>
      </c>
      <c r="F1198">
        <v>2018</v>
      </c>
      <c r="G1198" s="5">
        <v>65428000</v>
      </c>
      <c r="H1198" s="5">
        <v>26528200</v>
      </c>
      <c r="I1198" s="5">
        <v>38899800</v>
      </c>
    </row>
    <row r="1199" spans="1:9" x14ac:dyDescent="0.3">
      <c r="A1199" t="s">
        <v>428</v>
      </c>
      <c r="B1199" t="str">
        <f>"67216"</f>
        <v>67216</v>
      </c>
      <c r="C1199" t="s">
        <v>11</v>
      </c>
      <c r="D1199" t="s">
        <v>431</v>
      </c>
      <c r="E1199" t="str">
        <f>"004"</f>
        <v>004</v>
      </c>
      <c r="F1199">
        <v>2012</v>
      </c>
      <c r="G1199" s="5">
        <v>15615300</v>
      </c>
      <c r="H1199" s="5">
        <v>8097000</v>
      </c>
      <c r="I1199" s="5">
        <v>7518300</v>
      </c>
    </row>
    <row r="1200" spans="1:9" x14ac:dyDescent="0.3">
      <c r="A1200" t="s">
        <v>428</v>
      </c>
      <c r="B1200" t="str">
        <f>"67122"</f>
        <v>67122</v>
      </c>
      <c r="C1200" t="s">
        <v>12</v>
      </c>
      <c r="D1200" t="s">
        <v>432</v>
      </c>
      <c r="E1200" t="str">
        <f>"002"</f>
        <v>002</v>
      </c>
      <c r="F1200">
        <v>2004</v>
      </c>
      <c r="G1200" s="5">
        <v>66903900</v>
      </c>
      <c r="H1200" s="5">
        <v>33435800</v>
      </c>
      <c r="I1200" s="5">
        <v>33468100</v>
      </c>
    </row>
    <row r="1201" spans="1:9" x14ac:dyDescent="0.3">
      <c r="A1201" t="s">
        <v>428</v>
      </c>
      <c r="B1201" t="str">
        <f>"67136"</f>
        <v>67136</v>
      </c>
      <c r="C1201" t="s">
        <v>12</v>
      </c>
      <c r="D1201" t="s">
        <v>433</v>
      </c>
      <c r="E1201" t="str">
        <f>"004"</f>
        <v>004</v>
      </c>
      <c r="F1201">
        <v>2008</v>
      </c>
      <c r="G1201" s="5">
        <v>2353300</v>
      </c>
      <c r="H1201" s="5">
        <v>1018300</v>
      </c>
      <c r="I1201" s="5">
        <v>1335000</v>
      </c>
    </row>
    <row r="1202" spans="1:9" x14ac:dyDescent="0.3">
      <c r="A1202" t="s">
        <v>428</v>
      </c>
      <c r="B1202" t="str">
        <f>"67136"</f>
        <v>67136</v>
      </c>
      <c r="C1202" t="s">
        <v>12</v>
      </c>
      <c r="D1202" t="s">
        <v>433</v>
      </c>
      <c r="E1202" t="str">
        <f>"005"</f>
        <v>005</v>
      </c>
      <c r="F1202">
        <v>2011</v>
      </c>
      <c r="G1202" s="5">
        <v>1565500</v>
      </c>
      <c r="H1202" s="5">
        <v>353800</v>
      </c>
      <c r="I1202" s="5">
        <v>1211700</v>
      </c>
    </row>
    <row r="1203" spans="1:9" x14ac:dyDescent="0.3">
      <c r="A1203" t="s">
        <v>428</v>
      </c>
      <c r="B1203" t="str">
        <f>"67136"</f>
        <v>67136</v>
      </c>
      <c r="C1203" t="s">
        <v>12</v>
      </c>
      <c r="D1203" t="s">
        <v>433</v>
      </c>
      <c r="E1203" t="str">
        <f>"006"</f>
        <v>006</v>
      </c>
      <c r="F1203">
        <v>2015</v>
      </c>
      <c r="G1203" s="5">
        <v>12538000</v>
      </c>
      <c r="H1203" s="5">
        <v>1330300</v>
      </c>
      <c r="I1203" s="5">
        <v>11207700</v>
      </c>
    </row>
    <row r="1204" spans="1:9" x14ac:dyDescent="0.3">
      <c r="A1204" t="s">
        <v>428</v>
      </c>
      <c r="B1204" t="str">
        <f>"67147"</f>
        <v>67147</v>
      </c>
      <c r="C1204" t="s">
        <v>12</v>
      </c>
      <c r="D1204" t="s">
        <v>434</v>
      </c>
      <c r="E1204" t="str">
        <f>"001"</f>
        <v>001</v>
      </c>
      <c r="F1204">
        <v>2018</v>
      </c>
      <c r="G1204" s="5">
        <v>8145400</v>
      </c>
      <c r="H1204" s="5">
        <v>7653200</v>
      </c>
      <c r="I1204" s="5">
        <v>492200</v>
      </c>
    </row>
    <row r="1205" spans="1:9" x14ac:dyDescent="0.3">
      <c r="A1205" t="s">
        <v>428</v>
      </c>
      <c r="B1205" t="str">
        <f>"67147"</f>
        <v>67147</v>
      </c>
      <c r="C1205" t="s">
        <v>12</v>
      </c>
      <c r="D1205" t="s">
        <v>434</v>
      </c>
      <c r="E1205" t="str">
        <f>"002"</f>
        <v>002</v>
      </c>
      <c r="F1205">
        <v>2018</v>
      </c>
      <c r="G1205" s="5">
        <v>9796100</v>
      </c>
      <c r="H1205" s="5">
        <v>9756600</v>
      </c>
      <c r="I1205" s="5">
        <v>39500</v>
      </c>
    </row>
    <row r="1206" spans="1:9" x14ac:dyDescent="0.3">
      <c r="A1206" t="s">
        <v>428</v>
      </c>
      <c r="B1206" t="str">
        <f>"67010"</f>
        <v>67010</v>
      </c>
      <c r="C1206" t="s">
        <v>14</v>
      </c>
      <c r="D1206" t="s">
        <v>435</v>
      </c>
      <c r="E1206" t="str">
        <f>"001A"</f>
        <v>001A</v>
      </c>
      <c r="F1206">
        <v>2019</v>
      </c>
      <c r="G1206" s="5">
        <v>2008800</v>
      </c>
      <c r="H1206" s="5">
        <v>899100</v>
      </c>
      <c r="I1206" s="5">
        <v>1109700</v>
      </c>
    </row>
    <row r="1207" spans="1:9" x14ac:dyDescent="0.3">
      <c r="A1207" t="s">
        <v>428</v>
      </c>
      <c r="B1207" t="str">
        <f t="shared" ref="B1207:B1215" si="47">"67151"</f>
        <v>67151</v>
      </c>
      <c r="C1207" t="s">
        <v>12</v>
      </c>
      <c r="D1207" t="s">
        <v>436</v>
      </c>
      <c r="E1207" t="str">
        <f>"006"</f>
        <v>006</v>
      </c>
      <c r="F1207">
        <v>2006</v>
      </c>
      <c r="G1207" s="5">
        <v>67784200</v>
      </c>
      <c r="H1207" s="5">
        <v>47828000</v>
      </c>
      <c r="I1207" s="5">
        <v>19956200</v>
      </c>
    </row>
    <row r="1208" spans="1:9" x14ac:dyDescent="0.3">
      <c r="A1208" t="s">
        <v>428</v>
      </c>
      <c r="B1208" t="str">
        <f t="shared" si="47"/>
        <v>67151</v>
      </c>
      <c r="C1208" t="s">
        <v>12</v>
      </c>
      <c r="D1208" t="s">
        <v>436</v>
      </c>
      <c r="E1208" t="str">
        <f>"007"</f>
        <v>007</v>
      </c>
      <c r="F1208">
        <v>2008</v>
      </c>
      <c r="G1208" s="5">
        <v>30598800</v>
      </c>
      <c r="H1208" s="5">
        <v>1028100</v>
      </c>
      <c r="I1208" s="5">
        <v>29570700</v>
      </c>
    </row>
    <row r="1209" spans="1:9" x14ac:dyDescent="0.3">
      <c r="A1209" t="s">
        <v>428</v>
      </c>
      <c r="B1209" t="str">
        <f t="shared" si="47"/>
        <v>67151</v>
      </c>
      <c r="C1209" t="s">
        <v>12</v>
      </c>
      <c r="D1209" t="s">
        <v>436</v>
      </c>
      <c r="E1209" t="str">
        <f>"008"</f>
        <v>008</v>
      </c>
      <c r="F1209">
        <v>2008</v>
      </c>
      <c r="G1209" s="5">
        <v>113664200</v>
      </c>
      <c r="H1209" s="5">
        <v>9017600</v>
      </c>
      <c r="I1209" s="5">
        <v>104646600</v>
      </c>
    </row>
    <row r="1210" spans="1:9" x14ac:dyDescent="0.3">
      <c r="A1210" t="s">
        <v>428</v>
      </c>
      <c r="B1210" t="str">
        <f t="shared" si="47"/>
        <v>67151</v>
      </c>
      <c r="C1210" t="s">
        <v>12</v>
      </c>
      <c r="D1210" t="s">
        <v>436</v>
      </c>
      <c r="E1210" t="str">
        <f>"009"</f>
        <v>009</v>
      </c>
      <c r="F1210">
        <v>2010</v>
      </c>
      <c r="G1210" s="5">
        <v>132248000</v>
      </c>
      <c r="H1210" s="5">
        <v>104705400</v>
      </c>
      <c r="I1210" s="5">
        <v>27542600</v>
      </c>
    </row>
    <row r="1211" spans="1:9" x14ac:dyDescent="0.3">
      <c r="A1211" t="s">
        <v>428</v>
      </c>
      <c r="B1211" t="str">
        <f t="shared" si="47"/>
        <v>67151</v>
      </c>
      <c r="C1211" t="s">
        <v>12</v>
      </c>
      <c r="D1211" t="s">
        <v>436</v>
      </c>
      <c r="E1211" t="str">
        <f>"010"</f>
        <v>010</v>
      </c>
      <c r="F1211">
        <v>2011</v>
      </c>
      <c r="G1211" s="5">
        <v>74970900</v>
      </c>
      <c r="H1211" s="5">
        <v>46196100</v>
      </c>
      <c r="I1211" s="5">
        <v>28774800</v>
      </c>
    </row>
    <row r="1212" spans="1:9" x14ac:dyDescent="0.3">
      <c r="A1212" t="s">
        <v>428</v>
      </c>
      <c r="B1212" t="str">
        <f t="shared" si="47"/>
        <v>67151</v>
      </c>
      <c r="C1212" t="s">
        <v>12</v>
      </c>
      <c r="D1212" t="s">
        <v>436</v>
      </c>
      <c r="E1212" t="str">
        <f>"011"</f>
        <v>011</v>
      </c>
      <c r="F1212">
        <v>2011</v>
      </c>
      <c r="G1212" s="5">
        <v>15698700</v>
      </c>
      <c r="H1212" s="5">
        <v>11953600</v>
      </c>
      <c r="I1212" s="5">
        <v>3745100</v>
      </c>
    </row>
    <row r="1213" spans="1:9" x14ac:dyDescent="0.3">
      <c r="A1213" t="s">
        <v>428</v>
      </c>
      <c r="B1213" t="str">
        <f t="shared" si="47"/>
        <v>67151</v>
      </c>
      <c r="C1213" t="s">
        <v>12</v>
      </c>
      <c r="D1213" t="s">
        <v>436</v>
      </c>
      <c r="E1213" t="str">
        <f>"012"</f>
        <v>012</v>
      </c>
      <c r="F1213">
        <v>2014</v>
      </c>
      <c r="G1213" s="5">
        <v>36440400</v>
      </c>
      <c r="H1213" s="5">
        <v>5083400</v>
      </c>
      <c r="I1213" s="5">
        <v>31357000</v>
      </c>
    </row>
    <row r="1214" spans="1:9" x14ac:dyDescent="0.3">
      <c r="A1214" t="s">
        <v>428</v>
      </c>
      <c r="B1214" t="str">
        <f t="shared" si="47"/>
        <v>67151</v>
      </c>
      <c r="C1214" t="s">
        <v>12</v>
      </c>
      <c r="D1214" t="s">
        <v>436</v>
      </c>
      <c r="E1214" t="str">
        <f>"013"</f>
        <v>013</v>
      </c>
      <c r="F1214">
        <v>2019</v>
      </c>
      <c r="G1214" s="5">
        <v>10694700</v>
      </c>
      <c r="H1214" s="5">
        <v>2688200</v>
      </c>
      <c r="I1214" s="5">
        <v>8006500</v>
      </c>
    </row>
    <row r="1215" spans="1:9" x14ac:dyDescent="0.3">
      <c r="A1215" t="s">
        <v>428</v>
      </c>
      <c r="B1215" t="str">
        <f t="shared" si="47"/>
        <v>67151</v>
      </c>
      <c r="C1215" t="s">
        <v>12</v>
      </c>
      <c r="D1215" t="s">
        <v>436</v>
      </c>
      <c r="E1215" t="str">
        <f>"014"</f>
        <v>014</v>
      </c>
      <c r="F1215">
        <v>2019</v>
      </c>
      <c r="G1215" s="5">
        <v>9894400</v>
      </c>
      <c r="H1215" s="5">
        <v>9779500</v>
      </c>
      <c r="I1215" s="5">
        <v>114900</v>
      </c>
    </row>
    <row r="1216" spans="1:9" x14ac:dyDescent="0.3">
      <c r="A1216" t="s">
        <v>428</v>
      </c>
      <c r="B1216" t="str">
        <f>"67153"</f>
        <v>67153</v>
      </c>
      <c r="C1216" t="s">
        <v>12</v>
      </c>
      <c r="D1216" t="s">
        <v>417</v>
      </c>
      <c r="E1216" t="str">
        <f>"003"</f>
        <v>003</v>
      </c>
      <c r="F1216">
        <v>2003</v>
      </c>
      <c r="G1216" s="5">
        <v>55549400</v>
      </c>
      <c r="H1216" s="5">
        <v>2389500</v>
      </c>
      <c r="I1216" s="5">
        <v>53159900</v>
      </c>
    </row>
    <row r="1217" spans="1:9" x14ac:dyDescent="0.3">
      <c r="A1217" t="s">
        <v>428</v>
      </c>
      <c r="B1217" t="str">
        <f>"67153"</f>
        <v>67153</v>
      </c>
      <c r="C1217" t="s">
        <v>12</v>
      </c>
      <c r="D1217" t="s">
        <v>417</v>
      </c>
      <c r="E1217" t="str">
        <f>"004"</f>
        <v>004</v>
      </c>
      <c r="F1217">
        <v>2017</v>
      </c>
      <c r="G1217" s="5">
        <v>11144800</v>
      </c>
      <c r="H1217" s="5">
        <v>6368000</v>
      </c>
      <c r="I1217" s="5">
        <v>4776800</v>
      </c>
    </row>
    <row r="1218" spans="1:9" x14ac:dyDescent="0.3">
      <c r="A1218" t="s">
        <v>428</v>
      </c>
      <c r="B1218" t="str">
        <f>"67251"</f>
        <v>67251</v>
      </c>
      <c r="C1218" t="s">
        <v>11</v>
      </c>
      <c r="D1218" t="s">
        <v>437</v>
      </c>
      <c r="E1218" t="str">
        <f>"008"</f>
        <v>008</v>
      </c>
      <c r="F1218">
        <v>2000</v>
      </c>
      <c r="G1218" s="5">
        <v>27712600</v>
      </c>
      <c r="H1218" s="5">
        <v>18412800</v>
      </c>
      <c r="I1218" s="5">
        <v>9299800</v>
      </c>
    </row>
    <row r="1219" spans="1:9" x14ac:dyDescent="0.3">
      <c r="A1219" t="s">
        <v>428</v>
      </c>
      <c r="B1219" t="str">
        <f>"67251"</f>
        <v>67251</v>
      </c>
      <c r="C1219" t="s">
        <v>11</v>
      </c>
      <c r="D1219" t="s">
        <v>437</v>
      </c>
      <c r="E1219" t="str">
        <f>"009"</f>
        <v>009</v>
      </c>
      <c r="F1219">
        <v>2003</v>
      </c>
      <c r="G1219" s="5">
        <v>54608700</v>
      </c>
      <c r="H1219" s="5">
        <v>23720900</v>
      </c>
      <c r="I1219" s="5">
        <v>30887800</v>
      </c>
    </row>
    <row r="1220" spans="1:9" x14ac:dyDescent="0.3">
      <c r="A1220" t="s">
        <v>428</v>
      </c>
      <c r="B1220" t="str">
        <f>"67251"</f>
        <v>67251</v>
      </c>
      <c r="C1220" t="s">
        <v>11</v>
      </c>
      <c r="D1220" t="s">
        <v>437</v>
      </c>
      <c r="E1220" t="str">
        <f>"010"</f>
        <v>010</v>
      </c>
      <c r="F1220">
        <v>2008</v>
      </c>
      <c r="G1220" s="5">
        <v>67758700</v>
      </c>
      <c r="H1220" s="5">
        <v>1150600</v>
      </c>
      <c r="I1220" s="5">
        <v>66608100</v>
      </c>
    </row>
    <row r="1221" spans="1:9" x14ac:dyDescent="0.3">
      <c r="A1221" t="s">
        <v>428</v>
      </c>
      <c r="B1221" t="str">
        <f>"67251"</f>
        <v>67251</v>
      </c>
      <c r="C1221" t="s">
        <v>11</v>
      </c>
      <c r="D1221" t="s">
        <v>437</v>
      </c>
      <c r="E1221" t="str">
        <f>"011"</f>
        <v>011</v>
      </c>
      <c r="F1221">
        <v>2016</v>
      </c>
      <c r="G1221" s="5">
        <v>23845500</v>
      </c>
      <c r="H1221" s="5">
        <v>2400</v>
      </c>
      <c r="I1221" s="5">
        <v>23843100</v>
      </c>
    </row>
    <row r="1222" spans="1:9" x14ac:dyDescent="0.3">
      <c r="A1222" t="s">
        <v>428</v>
      </c>
      <c r="B1222" t="str">
        <f>"67261"</f>
        <v>67261</v>
      </c>
      <c r="C1222" t="s">
        <v>11</v>
      </c>
      <c r="D1222" t="s">
        <v>438</v>
      </c>
      <c r="E1222" t="str">
        <f>"003"</f>
        <v>003</v>
      </c>
      <c r="F1222">
        <v>2018</v>
      </c>
      <c r="G1222" s="5">
        <v>24938900</v>
      </c>
      <c r="H1222" s="5">
        <v>729000</v>
      </c>
      <c r="I1222" s="5">
        <v>24209900</v>
      </c>
    </row>
    <row r="1223" spans="1:9" x14ac:dyDescent="0.3">
      <c r="A1223" t="s">
        <v>428</v>
      </c>
      <c r="B1223" t="str">
        <f>"67265"</f>
        <v>67265</v>
      </c>
      <c r="C1223" t="s">
        <v>11</v>
      </c>
      <c r="D1223" t="s">
        <v>439</v>
      </c>
      <c r="E1223" t="str">
        <f>"004"</f>
        <v>004</v>
      </c>
      <c r="F1223">
        <v>2003</v>
      </c>
      <c r="G1223" s="5">
        <v>86262800</v>
      </c>
      <c r="H1223" s="5">
        <v>50424400</v>
      </c>
      <c r="I1223" s="5">
        <v>35838400</v>
      </c>
    </row>
    <row r="1224" spans="1:9" x14ac:dyDescent="0.3">
      <c r="A1224" t="s">
        <v>428</v>
      </c>
      <c r="B1224" t="str">
        <f>"67265"</f>
        <v>67265</v>
      </c>
      <c r="C1224" t="s">
        <v>11</v>
      </c>
      <c r="D1224" t="s">
        <v>439</v>
      </c>
      <c r="E1224" t="str">
        <f>"005"</f>
        <v>005</v>
      </c>
      <c r="F1224">
        <v>2017</v>
      </c>
      <c r="G1224" s="5">
        <v>45194300</v>
      </c>
      <c r="H1224" s="5">
        <v>6019700</v>
      </c>
      <c r="I1224" s="5">
        <v>39174600</v>
      </c>
    </row>
    <row r="1225" spans="1:9" x14ac:dyDescent="0.3">
      <c r="A1225" t="s">
        <v>428</v>
      </c>
      <c r="B1225" t="str">
        <f>"67265"</f>
        <v>67265</v>
      </c>
      <c r="C1225" t="s">
        <v>11</v>
      </c>
      <c r="D1225" t="s">
        <v>439</v>
      </c>
      <c r="E1225" t="str">
        <f>"006"</f>
        <v>006</v>
      </c>
      <c r="F1225">
        <v>2017</v>
      </c>
      <c r="G1225" s="5">
        <v>28610700</v>
      </c>
      <c r="H1225" s="5">
        <v>1801800</v>
      </c>
      <c r="I1225" s="5">
        <v>26808900</v>
      </c>
    </row>
    <row r="1226" spans="1:9" x14ac:dyDescent="0.3">
      <c r="A1226" t="s">
        <v>428</v>
      </c>
      <c r="B1226" t="str">
        <f>"67171"</f>
        <v>67171</v>
      </c>
      <c r="C1226" t="s">
        <v>12</v>
      </c>
      <c r="D1226" t="s">
        <v>440</v>
      </c>
      <c r="E1226" t="str">
        <f>"002"</f>
        <v>002</v>
      </c>
      <c r="F1226">
        <v>2014</v>
      </c>
      <c r="G1226" s="5">
        <v>18242700</v>
      </c>
      <c r="H1226" s="5">
        <v>8659300</v>
      </c>
      <c r="I1226" s="5">
        <v>9583400</v>
      </c>
    </row>
    <row r="1227" spans="1:9" x14ac:dyDescent="0.3">
      <c r="A1227" t="s">
        <v>428</v>
      </c>
      <c r="B1227" t="str">
        <f>"67181"</f>
        <v>67181</v>
      </c>
      <c r="C1227" t="s">
        <v>12</v>
      </c>
      <c r="D1227" t="s">
        <v>441</v>
      </c>
      <c r="E1227" t="str">
        <f>"006"</f>
        <v>006</v>
      </c>
      <c r="F1227">
        <v>2013</v>
      </c>
      <c r="G1227" s="5">
        <v>69406900</v>
      </c>
      <c r="H1227" s="5">
        <v>24103600</v>
      </c>
      <c r="I1227" s="5">
        <v>45303300</v>
      </c>
    </row>
    <row r="1228" spans="1:9" x14ac:dyDescent="0.3">
      <c r="A1228" t="s">
        <v>428</v>
      </c>
      <c r="B1228" t="str">
        <f>"67181"</f>
        <v>67181</v>
      </c>
      <c r="C1228" t="s">
        <v>12</v>
      </c>
      <c r="D1228" t="s">
        <v>441</v>
      </c>
      <c r="E1228" t="str">
        <f>"007"</f>
        <v>007</v>
      </c>
      <c r="F1228">
        <v>2018</v>
      </c>
      <c r="G1228" s="5">
        <v>1670900</v>
      </c>
      <c r="H1228" s="5">
        <v>240600</v>
      </c>
      <c r="I1228" s="5">
        <v>1430300</v>
      </c>
    </row>
    <row r="1229" spans="1:9" x14ac:dyDescent="0.3">
      <c r="A1229" t="s">
        <v>428</v>
      </c>
      <c r="B1229" t="str">
        <f>"67191"</f>
        <v>67191</v>
      </c>
      <c r="C1229" t="s">
        <v>12</v>
      </c>
      <c r="D1229" t="s">
        <v>442</v>
      </c>
      <c r="E1229" t="str">
        <f>"001"</f>
        <v>001</v>
      </c>
      <c r="F1229">
        <v>2006</v>
      </c>
      <c r="G1229" s="5">
        <v>61527700</v>
      </c>
      <c r="H1229" s="5">
        <v>24568300</v>
      </c>
      <c r="I1229" s="5">
        <v>36959400</v>
      </c>
    </row>
    <row r="1230" spans="1:9" x14ac:dyDescent="0.3">
      <c r="A1230" t="s">
        <v>428</v>
      </c>
      <c r="B1230" t="str">
        <f t="shared" ref="B1230:B1243" si="48">"67291"</f>
        <v>67291</v>
      </c>
      <c r="C1230" t="s">
        <v>11</v>
      </c>
      <c r="D1230" t="s">
        <v>428</v>
      </c>
      <c r="E1230" t="str">
        <f>"011"</f>
        <v>011</v>
      </c>
      <c r="F1230">
        <v>1997</v>
      </c>
      <c r="G1230" s="5">
        <v>98033100</v>
      </c>
      <c r="H1230" s="5">
        <v>37524600</v>
      </c>
      <c r="I1230" s="5">
        <v>60508500</v>
      </c>
    </row>
    <row r="1231" spans="1:9" x14ac:dyDescent="0.3">
      <c r="A1231" t="s">
        <v>428</v>
      </c>
      <c r="B1231" t="str">
        <f t="shared" si="48"/>
        <v>67291</v>
      </c>
      <c r="C1231" t="s">
        <v>11</v>
      </c>
      <c r="D1231" t="s">
        <v>428</v>
      </c>
      <c r="E1231" t="str">
        <f>"012"</f>
        <v>012</v>
      </c>
      <c r="F1231">
        <v>2001</v>
      </c>
      <c r="G1231" s="5">
        <v>19919200</v>
      </c>
      <c r="H1231" s="5">
        <v>107700</v>
      </c>
      <c r="I1231" s="5">
        <v>19811500</v>
      </c>
    </row>
    <row r="1232" spans="1:9" x14ac:dyDescent="0.3">
      <c r="A1232" t="s">
        <v>428</v>
      </c>
      <c r="B1232" t="str">
        <f t="shared" si="48"/>
        <v>67291</v>
      </c>
      <c r="C1232" t="s">
        <v>11</v>
      </c>
      <c r="D1232" t="s">
        <v>428</v>
      </c>
      <c r="E1232" t="str">
        <f>"013"</f>
        <v>013</v>
      </c>
      <c r="F1232">
        <v>2003</v>
      </c>
      <c r="G1232" s="5">
        <v>4686300</v>
      </c>
      <c r="H1232" s="5">
        <v>481800</v>
      </c>
      <c r="I1232" s="5">
        <v>4204500</v>
      </c>
    </row>
    <row r="1233" spans="1:9" x14ac:dyDescent="0.3">
      <c r="A1233" t="s">
        <v>428</v>
      </c>
      <c r="B1233" t="str">
        <f t="shared" si="48"/>
        <v>67291</v>
      </c>
      <c r="C1233" t="s">
        <v>11</v>
      </c>
      <c r="D1233" t="s">
        <v>428</v>
      </c>
      <c r="E1233" t="str">
        <f>"014"</f>
        <v>014</v>
      </c>
      <c r="F1233">
        <v>2003</v>
      </c>
      <c r="G1233" s="5">
        <v>103333000</v>
      </c>
      <c r="H1233" s="5">
        <v>9889800</v>
      </c>
      <c r="I1233" s="5">
        <v>93443200</v>
      </c>
    </row>
    <row r="1234" spans="1:9" x14ac:dyDescent="0.3">
      <c r="A1234" t="s">
        <v>428</v>
      </c>
      <c r="B1234" t="str">
        <f t="shared" si="48"/>
        <v>67291</v>
      </c>
      <c r="C1234" t="s">
        <v>11</v>
      </c>
      <c r="D1234" t="s">
        <v>428</v>
      </c>
      <c r="E1234" t="str">
        <f>"017"</f>
        <v>017</v>
      </c>
      <c r="F1234">
        <v>2007</v>
      </c>
      <c r="G1234" s="5">
        <v>94825000</v>
      </c>
      <c r="H1234" s="5">
        <v>57329000</v>
      </c>
      <c r="I1234" s="5">
        <v>37496000</v>
      </c>
    </row>
    <row r="1235" spans="1:9" x14ac:dyDescent="0.3">
      <c r="A1235" t="s">
        <v>428</v>
      </c>
      <c r="B1235" t="str">
        <f t="shared" si="48"/>
        <v>67291</v>
      </c>
      <c r="C1235" t="s">
        <v>11</v>
      </c>
      <c r="D1235" t="s">
        <v>428</v>
      </c>
      <c r="E1235" t="str">
        <f>"018"</f>
        <v>018</v>
      </c>
      <c r="F1235">
        <v>2009</v>
      </c>
      <c r="G1235" s="5">
        <v>7581300</v>
      </c>
      <c r="H1235" s="5">
        <v>704300</v>
      </c>
      <c r="I1235" s="5">
        <v>6877000</v>
      </c>
    </row>
    <row r="1236" spans="1:9" x14ac:dyDescent="0.3">
      <c r="A1236" t="s">
        <v>428</v>
      </c>
      <c r="B1236" t="str">
        <f t="shared" si="48"/>
        <v>67291</v>
      </c>
      <c r="C1236" t="s">
        <v>11</v>
      </c>
      <c r="D1236" t="s">
        <v>428</v>
      </c>
      <c r="E1236" t="str">
        <f>"019"</f>
        <v>019</v>
      </c>
      <c r="F1236">
        <v>2010</v>
      </c>
      <c r="G1236" s="5">
        <v>31932000</v>
      </c>
      <c r="H1236" s="5">
        <v>13626400</v>
      </c>
      <c r="I1236" s="5">
        <v>18305600</v>
      </c>
    </row>
    <row r="1237" spans="1:9" x14ac:dyDescent="0.3">
      <c r="A1237" t="s">
        <v>428</v>
      </c>
      <c r="B1237" t="str">
        <f t="shared" si="48"/>
        <v>67291</v>
      </c>
      <c r="C1237" t="s">
        <v>11</v>
      </c>
      <c r="D1237" t="s">
        <v>428</v>
      </c>
      <c r="E1237" t="str">
        <f>"020"</f>
        <v>020</v>
      </c>
      <c r="F1237">
        <v>2010</v>
      </c>
      <c r="G1237" s="5">
        <v>24591300</v>
      </c>
      <c r="H1237" s="5">
        <v>22346100</v>
      </c>
      <c r="I1237" s="5">
        <v>2245200</v>
      </c>
    </row>
    <row r="1238" spans="1:9" x14ac:dyDescent="0.3">
      <c r="A1238" t="s">
        <v>428</v>
      </c>
      <c r="B1238" t="str">
        <f t="shared" si="48"/>
        <v>67291</v>
      </c>
      <c r="C1238" t="s">
        <v>11</v>
      </c>
      <c r="D1238" t="s">
        <v>428</v>
      </c>
      <c r="E1238" t="str">
        <f>"021"</f>
        <v>021</v>
      </c>
      <c r="F1238">
        <v>2012</v>
      </c>
      <c r="G1238" s="5">
        <v>39346600</v>
      </c>
      <c r="H1238" s="5">
        <v>11343900</v>
      </c>
      <c r="I1238" s="5">
        <v>28002700</v>
      </c>
    </row>
    <row r="1239" spans="1:9" x14ac:dyDescent="0.3">
      <c r="A1239" t="s">
        <v>428</v>
      </c>
      <c r="B1239" t="str">
        <f t="shared" si="48"/>
        <v>67291</v>
      </c>
      <c r="C1239" t="s">
        <v>11</v>
      </c>
      <c r="D1239" t="s">
        <v>428</v>
      </c>
      <c r="E1239" t="str">
        <f>"022"</f>
        <v>022</v>
      </c>
      <c r="F1239">
        <v>2013</v>
      </c>
      <c r="G1239" s="5">
        <v>84928600</v>
      </c>
      <c r="H1239" s="5">
        <v>38400500</v>
      </c>
      <c r="I1239" s="5">
        <v>46528100</v>
      </c>
    </row>
    <row r="1240" spans="1:9" x14ac:dyDescent="0.3">
      <c r="A1240" t="s">
        <v>428</v>
      </c>
      <c r="B1240" t="str">
        <f t="shared" si="48"/>
        <v>67291</v>
      </c>
      <c r="C1240" t="s">
        <v>11</v>
      </c>
      <c r="D1240" t="s">
        <v>428</v>
      </c>
      <c r="E1240" t="str">
        <f>"023"</f>
        <v>023</v>
      </c>
      <c r="F1240">
        <v>2014</v>
      </c>
      <c r="G1240" s="5">
        <v>12215700</v>
      </c>
      <c r="H1240" s="5">
        <v>4300600</v>
      </c>
      <c r="I1240" s="5">
        <v>7915100</v>
      </c>
    </row>
    <row r="1241" spans="1:9" x14ac:dyDescent="0.3">
      <c r="A1241" t="s">
        <v>428</v>
      </c>
      <c r="B1241" t="str">
        <f t="shared" si="48"/>
        <v>67291</v>
      </c>
      <c r="C1241" t="s">
        <v>11</v>
      </c>
      <c r="D1241" t="s">
        <v>428</v>
      </c>
      <c r="E1241" t="str">
        <f>"024"</f>
        <v>024</v>
      </c>
      <c r="F1241">
        <v>2018</v>
      </c>
      <c r="G1241" s="5">
        <v>11305800</v>
      </c>
      <c r="H1241" s="5">
        <v>10345200</v>
      </c>
      <c r="I1241" s="5">
        <v>960600</v>
      </c>
    </row>
    <row r="1242" spans="1:9" x14ac:dyDescent="0.3">
      <c r="A1242" t="s">
        <v>428</v>
      </c>
      <c r="B1242" t="str">
        <f t="shared" si="48"/>
        <v>67291</v>
      </c>
      <c r="C1242" t="s">
        <v>11</v>
      </c>
      <c r="D1242" t="s">
        <v>428</v>
      </c>
      <c r="E1242" t="str">
        <f>"025"</f>
        <v>025</v>
      </c>
      <c r="F1242">
        <v>2015</v>
      </c>
      <c r="G1242" s="5">
        <v>21539000</v>
      </c>
      <c r="H1242" s="5">
        <v>6226600</v>
      </c>
      <c r="I1242" s="5">
        <v>15312400</v>
      </c>
    </row>
    <row r="1243" spans="1:9" x14ac:dyDescent="0.3">
      <c r="A1243" t="s">
        <v>428</v>
      </c>
      <c r="B1243" t="str">
        <f t="shared" si="48"/>
        <v>67291</v>
      </c>
      <c r="C1243" t="s">
        <v>11</v>
      </c>
      <c r="D1243" t="s">
        <v>428</v>
      </c>
      <c r="E1243" t="str">
        <f>"026"</f>
        <v>026</v>
      </c>
      <c r="F1243">
        <v>2019</v>
      </c>
      <c r="G1243" s="5">
        <v>5450400</v>
      </c>
      <c r="H1243" s="5">
        <v>5222900</v>
      </c>
      <c r="I1243" s="5">
        <v>227500</v>
      </c>
    </row>
    <row r="1244" spans="1:9" x14ac:dyDescent="0.3">
      <c r="A1244" t="s">
        <v>443</v>
      </c>
      <c r="B1244" t="str">
        <f>"68211"</f>
        <v>68211</v>
      </c>
      <c r="C1244" t="s">
        <v>11</v>
      </c>
      <c r="D1244" t="s">
        <v>444</v>
      </c>
      <c r="E1244" t="str">
        <f>"008"</f>
        <v>008</v>
      </c>
      <c r="F1244">
        <v>2018</v>
      </c>
      <c r="G1244" s="5">
        <v>4117600</v>
      </c>
      <c r="H1244" s="5">
        <v>781200</v>
      </c>
      <c r="I1244" s="5">
        <v>3336400</v>
      </c>
    </row>
    <row r="1245" spans="1:9" x14ac:dyDescent="0.3">
      <c r="A1245" t="s">
        <v>443</v>
      </c>
      <c r="B1245" t="str">
        <f>"68211"</f>
        <v>68211</v>
      </c>
      <c r="C1245" t="s">
        <v>11</v>
      </c>
      <c r="D1245" t="s">
        <v>444</v>
      </c>
      <c r="E1245" t="str">
        <f>"009"</f>
        <v>009</v>
      </c>
      <c r="F1245">
        <v>2018</v>
      </c>
      <c r="G1245" s="5">
        <v>6785800</v>
      </c>
      <c r="H1245" s="5">
        <v>4630300</v>
      </c>
      <c r="I1245" s="5">
        <v>2155500</v>
      </c>
    </row>
    <row r="1246" spans="1:9" x14ac:dyDescent="0.3">
      <c r="A1246" t="s">
        <v>443</v>
      </c>
      <c r="B1246" t="str">
        <f>"68251"</f>
        <v>68251</v>
      </c>
      <c r="C1246" t="s">
        <v>11</v>
      </c>
      <c r="D1246" t="s">
        <v>445</v>
      </c>
      <c r="E1246" t="str">
        <f>"002"</f>
        <v>002</v>
      </c>
      <c r="F1246">
        <v>2016</v>
      </c>
      <c r="G1246" s="5">
        <v>5080100</v>
      </c>
      <c r="H1246" s="5">
        <v>2392700</v>
      </c>
      <c r="I1246" s="5">
        <v>2687400</v>
      </c>
    </row>
    <row r="1247" spans="1:9" x14ac:dyDescent="0.3">
      <c r="A1247" t="s">
        <v>443</v>
      </c>
      <c r="B1247" t="str">
        <f>"68251"</f>
        <v>68251</v>
      </c>
      <c r="C1247" t="s">
        <v>11</v>
      </c>
      <c r="D1247" t="s">
        <v>445</v>
      </c>
      <c r="E1247" t="str">
        <f>"003"</f>
        <v>003</v>
      </c>
      <c r="F1247">
        <v>2018</v>
      </c>
      <c r="G1247" s="5">
        <v>2806000</v>
      </c>
      <c r="H1247" s="5">
        <v>2362600</v>
      </c>
      <c r="I1247" s="5">
        <v>443400</v>
      </c>
    </row>
    <row r="1248" spans="1:9" x14ac:dyDescent="0.3">
      <c r="A1248" t="s">
        <v>443</v>
      </c>
      <c r="B1248" t="str">
        <f>"68028"</f>
        <v>68028</v>
      </c>
      <c r="C1248" t="s">
        <v>14</v>
      </c>
      <c r="D1248" t="s">
        <v>446</v>
      </c>
      <c r="E1248" t="str">
        <f>"001C"</f>
        <v>001C</v>
      </c>
      <c r="F1248">
        <v>2004</v>
      </c>
      <c r="G1248" s="5">
        <v>10000</v>
      </c>
      <c r="H1248" s="5">
        <v>0</v>
      </c>
      <c r="I1248" s="5">
        <v>10000</v>
      </c>
    </row>
    <row r="1249" spans="1:9" x14ac:dyDescent="0.3">
      <c r="A1249" t="s">
        <v>443</v>
      </c>
      <c r="B1249" t="str">
        <f t="shared" ref="B1249:B1254" si="49">"68291"</f>
        <v>68291</v>
      </c>
      <c r="C1249" t="s">
        <v>11</v>
      </c>
      <c r="D1249" t="s">
        <v>443</v>
      </c>
      <c r="E1249" t="str">
        <f>"003"</f>
        <v>003</v>
      </c>
      <c r="F1249">
        <v>2000</v>
      </c>
      <c r="G1249" s="5">
        <v>19246000</v>
      </c>
      <c r="H1249" s="5">
        <v>1912500</v>
      </c>
      <c r="I1249" s="5">
        <v>17333500</v>
      </c>
    </row>
    <row r="1250" spans="1:9" x14ac:dyDescent="0.3">
      <c r="A1250" t="s">
        <v>443</v>
      </c>
      <c r="B1250" t="str">
        <f t="shared" si="49"/>
        <v>68291</v>
      </c>
      <c r="C1250" t="s">
        <v>11</v>
      </c>
      <c r="D1250" t="s">
        <v>443</v>
      </c>
      <c r="E1250" t="str">
        <f>"004"</f>
        <v>004</v>
      </c>
      <c r="F1250">
        <v>2000</v>
      </c>
      <c r="G1250" s="5">
        <v>32240600</v>
      </c>
      <c r="H1250" s="5">
        <v>2901600</v>
      </c>
      <c r="I1250" s="5">
        <v>29339000</v>
      </c>
    </row>
    <row r="1251" spans="1:9" x14ac:dyDescent="0.3">
      <c r="A1251" t="s">
        <v>443</v>
      </c>
      <c r="B1251" t="str">
        <f t="shared" si="49"/>
        <v>68291</v>
      </c>
      <c r="C1251" t="s">
        <v>11</v>
      </c>
      <c r="D1251" t="s">
        <v>443</v>
      </c>
      <c r="E1251" t="str">
        <f>"006"</f>
        <v>006</v>
      </c>
      <c r="F1251">
        <v>2000</v>
      </c>
      <c r="G1251" s="5">
        <v>35779500</v>
      </c>
      <c r="H1251" s="5">
        <v>10906600</v>
      </c>
      <c r="I1251" s="5">
        <v>24872900</v>
      </c>
    </row>
    <row r="1252" spans="1:9" x14ac:dyDescent="0.3">
      <c r="A1252" t="s">
        <v>443</v>
      </c>
      <c r="B1252" t="str">
        <f t="shared" si="49"/>
        <v>68291</v>
      </c>
      <c r="C1252" t="s">
        <v>11</v>
      </c>
      <c r="D1252" t="s">
        <v>443</v>
      </c>
      <c r="E1252" t="str">
        <f>"008"</f>
        <v>008</v>
      </c>
      <c r="F1252">
        <v>2001</v>
      </c>
      <c r="G1252" s="5">
        <v>12379200</v>
      </c>
      <c r="H1252" s="5">
        <v>1772600</v>
      </c>
      <c r="I1252" s="5">
        <v>10606600</v>
      </c>
    </row>
    <row r="1253" spans="1:9" x14ac:dyDescent="0.3">
      <c r="A1253" t="s">
        <v>443</v>
      </c>
      <c r="B1253" t="str">
        <f t="shared" si="49"/>
        <v>68291</v>
      </c>
      <c r="C1253" t="s">
        <v>11</v>
      </c>
      <c r="D1253" t="s">
        <v>443</v>
      </c>
      <c r="E1253" t="str">
        <f>"009"</f>
        <v>009</v>
      </c>
      <c r="F1253">
        <v>2001</v>
      </c>
      <c r="G1253" s="5">
        <v>1749500</v>
      </c>
      <c r="H1253" s="5">
        <v>2208100</v>
      </c>
      <c r="I1253" s="5">
        <v>-458600</v>
      </c>
    </row>
    <row r="1254" spans="1:9" x14ac:dyDescent="0.3">
      <c r="A1254" t="s">
        <v>443</v>
      </c>
      <c r="B1254" t="str">
        <f t="shared" si="49"/>
        <v>68291</v>
      </c>
      <c r="C1254" t="s">
        <v>11</v>
      </c>
      <c r="D1254" t="s">
        <v>443</v>
      </c>
      <c r="E1254" t="str">
        <f>"010"</f>
        <v>010</v>
      </c>
      <c r="F1254">
        <v>2001</v>
      </c>
      <c r="G1254" s="5">
        <v>2861500</v>
      </c>
      <c r="H1254" s="5">
        <v>281800</v>
      </c>
      <c r="I1254" s="5">
        <v>2579700</v>
      </c>
    </row>
    <row r="1255" spans="1:9" x14ac:dyDescent="0.3">
      <c r="A1255" t="s">
        <v>443</v>
      </c>
      <c r="B1255" t="str">
        <f>"68042"</f>
        <v>68042</v>
      </c>
      <c r="C1255" t="s">
        <v>14</v>
      </c>
      <c r="D1255" t="s">
        <v>447</v>
      </c>
      <c r="E1255" t="str">
        <f>"001T"</f>
        <v>001T</v>
      </c>
      <c r="F1255">
        <v>2005</v>
      </c>
      <c r="G1255" s="5">
        <v>7029400</v>
      </c>
      <c r="H1255" s="5">
        <v>1668700</v>
      </c>
      <c r="I1255" s="5">
        <v>5360700</v>
      </c>
    </row>
    <row r="1256" spans="1:9" x14ac:dyDescent="0.3">
      <c r="A1256" t="s">
        <v>443</v>
      </c>
      <c r="B1256" t="str">
        <f>"68292"</f>
        <v>68292</v>
      </c>
      <c r="C1256" t="s">
        <v>11</v>
      </c>
      <c r="D1256" t="s">
        <v>447</v>
      </c>
      <c r="E1256" t="str">
        <f>"004"</f>
        <v>004</v>
      </c>
      <c r="F1256">
        <v>2001</v>
      </c>
      <c r="G1256" s="5">
        <v>5351800</v>
      </c>
      <c r="H1256" s="5">
        <v>458800</v>
      </c>
      <c r="I1256" s="5">
        <v>4893000</v>
      </c>
    </row>
    <row r="1257" spans="1:9" x14ac:dyDescent="0.3">
      <c r="A1257" t="s">
        <v>443</v>
      </c>
      <c r="B1257" t="str">
        <f>"68292"</f>
        <v>68292</v>
      </c>
      <c r="C1257" t="s">
        <v>11</v>
      </c>
      <c r="D1257" t="s">
        <v>447</v>
      </c>
      <c r="E1257" t="str">
        <f>"005"</f>
        <v>005</v>
      </c>
      <c r="F1257">
        <v>2007</v>
      </c>
      <c r="G1257" s="5">
        <v>2332900</v>
      </c>
      <c r="H1257" s="5">
        <v>1858800</v>
      </c>
      <c r="I1257" s="5">
        <v>474100</v>
      </c>
    </row>
    <row r="1258" spans="1:9" x14ac:dyDescent="0.3">
      <c r="A1258" t="s">
        <v>443</v>
      </c>
      <c r="B1258" t="str">
        <f>"68292"</f>
        <v>68292</v>
      </c>
      <c r="C1258" t="s">
        <v>11</v>
      </c>
      <c r="D1258" t="s">
        <v>447</v>
      </c>
      <c r="E1258" t="str">
        <f>"006"</f>
        <v>006</v>
      </c>
      <c r="F1258">
        <v>2015</v>
      </c>
      <c r="G1258" s="5">
        <v>10873300</v>
      </c>
      <c r="H1258" s="5">
        <v>6611000</v>
      </c>
      <c r="I1258" s="5">
        <v>4262300</v>
      </c>
    </row>
    <row r="1259" spans="1:9" x14ac:dyDescent="0.3">
      <c r="A1259" t="s">
        <v>443</v>
      </c>
      <c r="B1259" t="str">
        <f>"68292"</f>
        <v>68292</v>
      </c>
      <c r="C1259" t="s">
        <v>11</v>
      </c>
      <c r="D1259" t="s">
        <v>447</v>
      </c>
      <c r="E1259" t="str">
        <f>"007"</f>
        <v>007</v>
      </c>
      <c r="F1259">
        <v>2015</v>
      </c>
      <c r="G1259" s="5">
        <v>1411100</v>
      </c>
      <c r="H1259" s="5">
        <v>749700</v>
      </c>
      <c r="I1259" s="5">
        <v>661400</v>
      </c>
    </row>
    <row r="1260" spans="1:9" x14ac:dyDescent="0.3">
      <c r="A1260" t="s">
        <v>448</v>
      </c>
      <c r="B1260" t="str">
        <f>"69206"</f>
        <v>69206</v>
      </c>
      <c r="C1260" t="s">
        <v>11</v>
      </c>
      <c r="D1260" t="s">
        <v>174</v>
      </c>
      <c r="E1260" t="str">
        <f>"010"</f>
        <v>010</v>
      </c>
      <c r="F1260">
        <v>1993</v>
      </c>
      <c r="G1260" s="5">
        <v>8018900</v>
      </c>
      <c r="H1260" s="5">
        <v>49300</v>
      </c>
      <c r="I1260" s="5">
        <v>7969600</v>
      </c>
    </row>
    <row r="1261" spans="1:9" x14ac:dyDescent="0.3">
      <c r="A1261" t="s">
        <v>448</v>
      </c>
      <c r="B1261" t="str">
        <f>"69111"</f>
        <v>69111</v>
      </c>
      <c r="C1261" t="s">
        <v>12</v>
      </c>
      <c r="D1261" t="s">
        <v>449</v>
      </c>
      <c r="E1261" t="str">
        <f>"002"</f>
        <v>002</v>
      </c>
      <c r="F1261">
        <v>2005</v>
      </c>
      <c r="G1261" s="5">
        <v>4895800</v>
      </c>
      <c r="H1261" s="5">
        <v>1243100</v>
      </c>
      <c r="I1261" s="5">
        <v>3652700</v>
      </c>
    </row>
    <row r="1262" spans="1:9" x14ac:dyDescent="0.3">
      <c r="A1262" t="s">
        <v>448</v>
      </c>
      <c r="B1262" t="str">
        <f>"69136"</f>
        <v>69136</v>
      </c>
      <c r="C1262" t="s">
        <v>12</v>
      </c>
      <c r="D1262" t="s">
        <v>450</v>
      </c>
      <c r="E1262" t="str">
        <f>"001"</f>
        <v>001</v>
      </c>
      <c r="F1262">
        <v>2016</v>
      </c>
      <c r="G1262" s="5">
        <v>805300</v>
      </c>
      <c r="H1262" s="5">
        <v>473900</v>
      </c>
      <c r="I1262" s="5">
        <v>331400</v>
      </c>
    </row>
    <row r="1263" spans="1:9" x14ac:dyDescent="0.3">
      <c r="A1263" t="s">
        <v>448</v>
      </c>
      <c r="B1263" t="str">
        <f>"69171"</f>
        <v>69171</v>
      </c>
      <c r="C1263" t="s">
        <v>12</v>
      </c>
      <c r="D1263" t="s">
        <v>451</v>
      </c>
      <c r="E1263" t="str">
        <f>"001"</f>
        <v>001</v>
      </c>
      <c r="F1263">
        <v>2015</v>
      </c>
      <c r="G1263" s="5">
        <v>4004000</v>
      </c>
      <c r="H1263" s="5">
        <v>1952900</v>
      </c>
      <c r="I1263" s="5">
        <v>2051100</v>
      </c>
    </row>
    <row r="1264" spans="1:9" x14ac:dyDescent="0.3">
      <c r="A1264" t="s">
        <v>448</v>
      </c>
      <c r="B1264" t="str">
        <f>"69176"</f>
        <v>69176</v>
      </c>
      <c r="C1264" t="s">
        <v>12</v>
      </c>
      <c r="D1264" t="s">
        <v>452</v>
      </c>
      <c r="E1264" t="str">
        <f>"001"</f>
        <v>001</v>
      </c>
      <c r="F1264">
        <v>1997</v>
      </c>
      <c r="G1264" s="5">
        <v>12093200</v>
      </c>
      <c r="H1264" s="5">
        <v>1459000</v>
      </c>
      <c r="I1264" s="5">
        <v>10634200</v>
      </c>
    </row>
    <row r="1265" spans="1:9" x14ac:dyDescent="0.3">
      <c r="A1265" t="s">
        <v>448</v>
      </c>
      <c r="B1265" t="str">
        <f>"69176"</f>
        <v>69176</v>
      </c>
      <c r="C1265" t="s">
        <v>12</v>
      </c>
      <c r="D1265" t="s">
        <v>452</v>
      </c>
      <c r="E1265" t="str">
        <f>"002"</f>
        <v>002</v>
      </c>
      <c r="F1265">
        <v>1997</v>
      </c>
      <c r="G1265" s="5">
        <v>453700</v>
      </c>
      <c r="H1265" s="5">
        <v>46200</v>
      </c>
      <c r="I1265" s="5">
        <v>407500</v>
      </c>
    </row>
    <row r="1266" spans="1:9" x14ac:dyDescent="0.3">
      <c r="A1266" t="s">
        <v>448</v>
      </c>
      <c r="B1266" t="str">
        <f>"69291"</f>
        <v>69291</v>
      </c>
      <c r="C1266" t="s">
        <v>11</v>
      </c>
      <c r="D1266" t="s">
        <v>453</v>
      </c>
      <c r="E1266" t="str">
        <f>"001"</f>
        <v>001</v>
      </c>
      <c r="F1266">
        <v>1995</v>
      </c>
      <c r="G1266" s="5">
        <v>27898100</v>
      </c>
      <c r="H1266" s="5">
        <v>4137900</v>
      </c>
      <c r="I1266" s="5">
        <v>23760200</v>
      </c>
    </row>
    <row r="1267" spans="1:9" x14ac:dyDescent="0.3">
      <c r="A1267" t="s">
        <v>448</v>
      </c>
      <c r="B1267" t="str">
        <f>"69191"</f>
        <v>69191</v>
      </c>
      <c r="C1267" t="s">
        <v>12</v>
      </c>
      <c r="D1267" t="s">
        <v>454</v>
      </c>
      <c r="E1267" t="str">
        <f>"002"</f>
        <v>002</v>
      </c>
      <c r="F1267">
        <v>2000</v>
      </c>
      <c r="G1267" s="5">
        <v>2358200</v>
      </c>
      <c r="H1267" s="5">
        <v>1005000</v>
      </c>
      <c r="I1267" s="5">
        <v>1353200</v>
      </c>
    </row>
    <row r="1268" spans="1:9" x14ac:dyDescent="0.3">
      <c r="A1268" t="s">
        <v>448</v>
      </c>
      <c r="B1268" t="str">
        <f>"69191"</f>
        <v>69191</v>
      </c>
      <c r="C1268" t="s">
        <v>12</v>
      </c>
      <c r="D1268" t="s">
        <v>454</v>
      </c>
      <c r="E1268" t="str">
        <f>"003"</f>
        <v>003</v>
      </c>
      <c r="F1268">
        <v>2006</v>
      </c>
      <c r="G1268" s="5">
        <v>2573100</v>
      </c>
      <c r="H1268" s="5">
        <v>835600</v>
      </c>
      <c r="I1268" s="5">
        <v>1737500</v>
      </c>
    </row>
    <row r="1269" spans="1:9" x14ac:dyDescent="0.3">
      <c r="A1269" t="s">
        <v>455</v>
      </c>
      <c r="B1269" t="str">
        <f>"70201"</f>
        <v>70201</v>
      </c>
      <c r="C1269" t="s">
        <v>11</v>
      </c>
      <c r="D1269" t="s">
        <v>53</v>
      </c>
      <c r="E1269" t="str">
        <f>"007"</f>
        <v>007</v>
      </c>
      <c r="F1269">
        <v>2007</v>
      </c>
      <c r="G1269" s="5">
        <v>42924700</v>
      </c>
      <c r="H1269" s="5">
        <v>25657000</v>
      </c>
      <c r="I1269" s="5">
        <v>17267700</v>
      </c>
    </row>
    <row r="1270" spans="1:9" x14ac:dyDescent="0.3">
      <c r="A1270" t="s">
        <v>455</v>
      </c>
      <c r="B1270" t="str">
        <f>"70006"</f>
        <v>70006</v>
      </c>
      <c r="C1270" t="s">
        <v>14</v>
      </c>
      <c r="D1270" t="s">
        <v>316</v>
      </c>
      <c r="E1270" t="str">
        <f>"001A"</f>
        <v>001A</v>
      </c>
      <c r="F1270">
        <v>2019</v>
      </c>
      <c r="G1270" s="5">
        <v>56104300</v>
      </c>
      <c r="H1270" s="5">
        <v>49721700</v>
      </c>
      <c r="I1270" s="5">
        <v>6382600</v>
      </c>
    </row>
    <row r="1271" spans="1:9" x14ac:dyDescent="0.3">
      <c r="A1271" t="s">
        <v>455</v>
      </c>
      <c r="B1271" t="str">
        <f>"70121"</f>
        <v>70121</v>
      </c>
      <c r="C1271" t="s">
        <v>12</v>
      </c>
      <c r="D1271" t="s">
        <v>456</v>
      </c>
      <c r="E1271" t="str">
        <f>"001"</f>
        <v>001</v>
      </c>
      <c r="F1271">
        <v>2015</v>
      </c>
      <c r="G1271" s="5">
        <v>35204000</v>
      </c>
      <c r="H1271" s="5">
        <v>2732300</v>
      </c>
      <c r="I1271" s="5">
        <v>32471700</v>
      </c>
    </row>
    <row r="1272" spans="1:9" x14ac:dyDescent="0.3">
      <c r="A1272" t="s">
        <v>455</v>
      </c>
      <c r="B1272" t="str">
        <f>"70121"</f>
        <v>70121</v>
      </c>
      <c r="C1272" t="s">
        <v>12</v>
      </c>
      <c r="D1272" t="s">
        <v>456</v>
      </c>
      <c r="E1272" t="str">
        <f>"002"</f>
        <v>002</v>
      </c>
      <c r="F1272">
        <v>2016</v>
      </c>
      <c r="G1272" s="5">
        <v>48327000</v>
      </c>
      <c r="H1272" s="5">
        <v>30949800</v>
      </c>
      <c r="I1272" s="5">
        <v>17377200</v>
      </c>
    </row>
    <row r="1273" spans="1:9" x14ac:dyDescent="0.3">
      <c r="A1273" t="s">
        <v>455</v>
      </c>
      <c r="B1273" t="str">
        <f>"70121"</f>
        <v>70121</v>
      </c>
      <c r="C1273" t="s">
        <v>12</v>
      </c>
      <c r="D1273" t="s">
        <v>456</v>
      </c>
      <c r="E1273" t="str">
        <f>"003"</f>
        <v>003</v>
      </c>
      <c r="F1273">
        <v>2017</v>
      </c>
      <c r="G1273" s="5">
        <v>69454500</v>
      </c>
      <c r="H1273" s="5">
        <v>20000</v>
      </c>
      <c r="I1273" s="5">
        <v>69434500</v>
      </c>
    </row>
    <row r="1274" spans="1:9" x14ac:dyDescent="0.3">
      <c r="A1274" t="s">
        <v>455</v>
      </c>
      <c r="B1274" t="str">
        <f>"70121"</f>
        <v>70121</v>
      </c>
      <c r="C1274" t="s">
        <v>12</v>
      </c>
      <c r="D1274" t="s">
        <v>456</v>
      </c>
      <c r="E1274" t="str">
        <f>"004"</f>
        <v>004</v>
      </c>
      <c r="F1274">
        <v>2018</v>
      </c>
      <c r="G1274" s="5">
        <v>917300</v>
      </c>
      <c r="H1274" s="5">
        <v>542900</v>
      </c>
      <c r="I1274" s="5">
        <v>374400</v>
      </c>
    </row>
    <row r="1275" spans="1:9" x14ac:dyDescent="0.3">
      <c r="A1275" t="s">
        <v>455</v>
      </c>
      <c r="B1275" t="str">
        <f t="shared" ref="B1275:B1281" si="50">"70251"</f>
        <v>70251</v>
      </c>
      <c r="C1275" t="s">
        <v>11</v>
      </c>
      <c r="D1275" t="s">
        <v>59</v>
      </c>
      <c r="E1275" t="str">
        <f>"004"</f>
        <v>004</v>
      </c>
      <c r="F1275">
        <v>1997</v>
      </c>
      <c r="G1275" s="5">
        <v>7693200</v>
      </c>
      <c r="H1275" s="5">
        <v>4196000</v>
      </c>
      <c r="I1275" s="5">
        <v>3497200</v>
      </c>
    </row>
    <row r="1276" spans="1:9" x14ac:dyDescent="0.3">
      <c r="A1276" t="s">
        <v>455</v>
      </c>
      <c r="B1276" t="str">
        <f t="shared" si="50"/>
        <v>70251</v>
      </c>
      <c r="C1276" t="s">
        <v>11</v>
      </c>
      <c r="D1276" t="s">
        <v>59</v>
      </c>
      <c r="E1276" t="str">
        <f>"007"</f>
        <v>007</v>
      </c>
      <c r="F1276">
        <v>2003</v>
      </c>
      <c r="G1276" s="5">
        <v>6154300</v>
      </c>
      <c r="H1276" s="5">
        <v>687300</v>
      </c>
      <c r="I1276" s="5">
        <v>5467000</v>
      </c>
    </row>
    <row r="1277" spans="1:9" x14ac:dyDescent="0.3">
      <c r="A1277" t="s">
        <v>455</v>
      </c>
      <c r="B1277" t="str">
        <f t="shared" si="50"/>
        <v>70251</v>
      </c>
      <c r="C1277" t="s">
        <v>11</v>
      </c>
      <c r="D1277" t="s">
        <v>59</v>
      </c>
      <c r="E1277" t="str">
        <f>"008"</f>
        <v>008</v>
      </c>
      <c r="F1277">
        <v>2005</v>
      </c>
      <c r="G1277" s="5">
        <v>4263200</v>
      </c>
      <c r="H1277" s="5">
        <v>484500</v>
      </c>
      <c r="I1277" s="5">
        <v>3778700</v>
      </c>
    </row>
    <row r="1278" spans="1:9" x14ac:dyDescent="0.3">
      <c r="A1278" t="s">
        <v>455</v>
      </c>
      <c r="B1278" t="str">
        <f t="shared" si="50"/>
        <v>70251</v>
      </c>
      <c r="C1278" t="s">
        <v>11</v>
      </c>
      <c r="D1278" t="s">
        <v>59</v>
      </c>
      <c r="E1278" t="str">
        <f>"010"</f>
        <v>010</v>
      </c>
      <c r="F1278">
        <v>2006</v>
      </c>
      <c r="G1278" s="5">
        <v>12159000</v>
      </c>
      <c r="H1278" s="5">
        <v>9701900</v>
      </c>
      <c r="I1278" s="5">
        <v>2457100</v>
      </c>
    </row>
    <row r="1279" spans="1:9" x14ac:dyDescent="0.3">
      <c r="A1279" t="s">
        <v>455</v>
      </c>
      <c r="B1279" t="str">
        <f t="shared" si="50"/>
        <v>70251</v>
      </c>
      <c r="C1279" t="s">
        <v>11</v>
      </c>
      <c r="D1279" t="s">
        <v>59</v>
      </c>
      <c r="E1279" t="str">
        <f>"011"</f>
        <v>011</v>
      </c>
      <c r="F1279">
        <v>2007</v>
      </c>
      <c r="G1279" s="5">
        <v>3598000</v>
      </c>
      <c r="H1279" s="5">
        <v>284900</v>
      </c>
      <c r="I1279" s="5">
        <v>3313100</v>
      </c>
    </row>
    <row r="1280" spans="1:9" x14ac:dyDescent="0.3">
      <c r="A1280" t="s">
        <v>455</v>
      </c>
      <c r="B1280" t="str">
        <f t="shared" si="50"/>
        <v>70251</v>
      </c>
      <c r="C1280" t="s">
        <v>11</v>
      </c>
      <c r="D1280" t="s">
        <v>59</v>
      </c>
      <c r="E1280" t="str">
        <f>"013"</f>
        <v>013</v>
      </c>
      <c r="F1280">
        <v>2015</v>
      </c>
      <c r="G1280" s="5">
        <v>17833300</v>
      </c>
      <c r="H1280" s="5">
        <v>248200</v>
      </c>
      <c r="I1280" s="5">
        <v>17585100</v>
      </c>
    </row>
    <row r="1281" spans="1:9" x14ac:dyDescent="0.3">
      <c r="A1281" t="s">
        <v>455</v>
      </c>
      <c r="B1281" t="str">
        <f t="shared" si="50"/>
        <v>70251</v>
      </c>
      <c r="C1281" t="s">
        <v>11</v>
      </c>
      <c r="D1281" t="s">
        <v>59</v>
      </c>
      <c r="E1281" t="str">
        <f>"014"</f>
        <v>014</v>
      </c>
      <c r="F1281">
        <v>2019</v>
      </c>
      <c r="G1281" s="5">
        <v>3707000</v>
      </c>
      <c r="H1281" s="5">
        <v>5936500</v>
      </c>
      <c r="I1281" s="5">
        <v>-2229500</v>
      </c>
    </row>
    <row r="1282" spans="1:9" x14ac:dyDescent="0.3">
      <c r="A1282" t="s">
        <v>455</v>
      </c>
      <c r="B1282" t="str">
        <f t="shared" ref="B1282:B1288" si="51">"70261"</f>
        <v>70261</v>
      </c>
      <c r="C1282" t="s">
        <v>11</v>
      </c>
      <c r="D1282" t="s">
        <v>457</v>
      </c>
      <c r="E1282" t="str">
        <f>"005"</f>
        <v>005</v>
      </c>
      <c r="F1282">
        <v>1993</v>
      </c>
      <c r="G1282" s="5">
        <v>27977200</v>
      </c>
      <c r="H1282" s="5">
        <v>13458200</v>
      </c>
      <c r="I1282" s="5">
        <v>14519000</v>
      </c>
    </row>
    <row r="1283" spans="1:9" x14ac:dyDescent="0.3">
      <c r="A1283" t="s">
        <v>455</v>
      </c>
      <c r="B1283" t="str">
        <f t="shared" si="51"/>
        <v>70261</v>
      </c>
      <c r="C1283" t="s">
        <v>11</v>
      </c>
      <c r="D1283" t="s">
        <v>457</v>
      </c>
      <c r="E1283" t="str">
        <f>"006"</f>
        <v>006</v>
      </c>
      <c r="F1283">
        <v>1997</v>
      </c>
      <c r="G1283" s="5">
        <v>30885100</v>
      </c>
      <c r="H1283" s="5">
        <v>2869600</v>
      </c>
      <c r="I1283" s="5">
        <v>28015500</v>
      </c>
    </row>
    <row r="1284" spans="1:9" x14ac:dyDescent="0.3">
      <c r="A1284" t="s">
        <v>455</v>
      </c>
      <c r="B1284" t="str">
        <f t="shared" si="51"/>
        <v>70261</v>
      </c>
      <c r="C1284" t="s">
        <v>11</v>
      </c>
      <c r="D1284" t="s">
        <v>457</v>
      </c>
      <c r="E1284" t="str">
        <f>"007"</f>
        <v>007</v>
      </c>
      <c r="F1284">
        <v>2000</v>
      </c>
      <c r="G1284" s="5">
        <v>157221600</v>
      </c>
      <c r="H1284" s="5">
        <v>39226900</v>
      </c>
      <c r="I1284" s="5">
        <v>117994700</v>
      </c>
    </row>
    <row r="1285" spans="1:9" x14ac:dyDescent="0.3">
      <c r="A1285" t="s">
        <v>455</v>
      </c>
      <c r="B1285" t="str">
        <f t="shared" si="51"/>
        <v>70261</v>
      </c>
      <c r="C1285" t="s">
        <v>11</v>
      </c>
      <c r="D1285" t="s">
        <v>457</v>
      </c>
      <c r="E1285" t="str">
        <f>"008"</f>
        <v>008</v>
      </c>
      <c r="F1285">
        <v>2001</v>
      </c>
      <c r="G1285" s="5">
        <v>79768600</v>
      </c>
      <c r="H1285" s="5">
        <v>14743600</v>
      </c>
      <c r="I1285" s="5">
        <v>65025000</v>
      </c>
    </row>
    <row r="1286" spans="1:9" x14ac:dyDescent="0.3">
      <c r="A1286" t="s">
        <v>455</v>
      </c>
      <c r="B1286" t="str">
        <f t="shared" si="51"/>
        <v>70261</v>
      </c>
      <c r="C1286" t="s">
        <v>11</v>
      </c>
      <c r="D1286" t="s">
        <v>457</v>
      </c>
      <c r="E1286" t="str">
        <f>"009"</f>
        <v>009</v>
      </c>
      <c r="F1286">
        <v>2015</v>
      </c>
      <c r="G1286" s="5">
        <v>25783400</v>
      </c>
      <c r="H1286" s="5">
        <v>15959100</v>
      </c>
      <c r="I1286" s="5">
        <v>9824300</v>
      </c>
    </row>
    <row r="1287" spans="1:9" x14ac:dyDescent="0.3">
      <c r="A1287" t="s">
        <v>455</v>
      </c>
      <c r="B1287" t="str">
        <f t="shared" si="51"/>
        <v>70261</v>
      </c>
      <c r="C1287" t="s">
        <v>11</v>
      </c>
      <c r="D1287" t="s">
        <v>457</v>
      </c>
      <c r="E1287" t="str">
        <f>"010"</f>
        <v>010</v>
      </c>
      <c r="F1287">
        <v>2015</v>
      </c>
      <c r="G1287" s="5">
        <v>19851300</v>
      </c>
      <c r="H1287" s="5">
        <v>3681600</v>
      </c>
      <c r="I1287" s="5">
        <v>16169700</v>
      </c>
    </row>
    <row r="1288" spans="1:9" x14ac:dyDescent="0.3">
      <c r="A1288" t="s">
        <v>455</v>
      </c>
      <c r="B1288" t="str">
        <f t="shared" si="51"/>
        <v>70261</v>
      </c>
      <c r="C1288" t="s">
        <v>11</v>
      </c>
      <c r="D1288" t="s">
        <v>457</v>
      </c>
      <c r="E1288" t="str">
        <f>"011"</f>
        <v>011</v>
      </c>
      <c r="F1288">
        <v>2017</v>
      </c>
      <c r="G1288" s="5">
        <v>11705500</v>
      </c>
      <c r="H1288" s="5">
        <v>117700</v>
      </c>
      <c r="I1288" s="5">
        <v>11587800</v>
      </c>
    </row>
    <row r="1289" spans="1:9" x14ac:dyDescent="0.3">
      <c r="A1289" t="s">
        <v>455</v>
      </c>
      <c r="B1289" t="str">
        <f>"70265"</f>
        <v>70265</v>
      </c>
      <c r="C1289" t="s">
        <v>11</v>
      </c>
      <c r="D1289" t="s">
        <v>458</v>
      </c>
      <c r="E1289" t="str">
        <f>"007"</f>
        <v>007</v>
      </c>
      <c r="F1289">
        <v>2017</v>
      </c>
      <c r="G1289" s="5">
        <v>8163200</v>
      </c>
      <c r="H1289" s="5">
        <v>4338300</v>
      </c>
      <c r="I1289" s="5">
        <v>3824900</v>
      </c>
    </row>
    <row r="1290" spans="1:9" x14ac:dyDescent="0.3">
      <c r="A1290" t="s">
        <v>455</v>
      </c>
      <c r="B1290" t="str">
        <f t="shared" ref="B1290:B1317" si="52">"70266"</f>
        <v>70266</v>
      </c>
      <c r="C1290" t="s">
        <v>11</v>
      </c>
      <c r="D1290" t="s">
        <v>459</v>
      </c>
      <c r="E1290" t="str">
        <f>"010"</f>
        <v>010</v>
      </c>
      <c r="F1290">
        <v>1993</v>
      </c>
      <c r="G1290" s="5">
        <v>1156800</v>
      </c>
      <c r="H1290" s="5">
        <v>600300</v>
      </c>
      <c r="I1290" s="5">
        <v>556500</v>
      </c>
    </row>
    <row r="1291" spans="1:9" x14ac:dyDescent="0.3">
      <c r="A1291" t="s">
        <v>455</v>
      </c>
      <c r="B1291" t="str">
        <f t="shared" si="52"/>
        <v>70266</v>
      </c>
      <c r="C1291" t="s">
        <v>11</v>
      </c>
      <c r="D1291" t="s">
        <v>459</v>
      </c>
      <c r="E1291" t="str">
        <f>"011"</f>
        <v>011</v>
      </c>
      <c r="F1291">
        <v>1995</v>
      </c>
      <c r="G1291" s="5">
        <v>927700</v>
      </c>
      <c r="H1291" s="5">
        <v>486300</v>
      </c>
      <c r="I1291" s="5">
        <v>441400</v>
      </c>
    </row>
    <row r="1292" spans="1:9" x14ac:dyDescent="0.3">
      <c r="A1292" t="s">
        <v>455</v>
      </c>
      <c r="B1292" t="str">
        <f t="shared" si="52"/>
        <v>70266</v>
      </c>
      <c r="C1292" t="s">
        <v>11</v>
      </c>
      <c r="D1292" t="s">
        <v>459</v>
      </c>
      <c r="E1292" t="str">
        <f>"012"</f>
        <v>012</v>
      </c>
      <c r="F1292">
        <v>1997</v>
      </c>
      <c r="G1292" s="5">
        <v>6753400</v>
      </c>
      <c r="H1292" s="5">
        <v>1715400</v>
      </c>
      <c r="I1292" s="5">
        <v>5038000</v>
      </c>
    </row>
    <row r="1293" spans="1:9" x14ac:dyDescent="0.3">
      <c r="A1293" t="s">
        <v>455</v>
      </c>
      <c r="B1293" t="str">
        <f t="shared" si="52"/>
        <v>70266</v>
      </c>
      <c r="C1293" t="s">
        <v>11</v>
      </c>
      <c r="D1293" t="s">
        <v>459</v>
      </c>
      <c r="E1293" t="str">
        <f>"013"</f>
        <v>013</v>
      </c>
      <c r="F1293">
        <v>1998</v>
      </c>
      <c r="G1293" s="5">
        <v>17089200</v>
      </c>
      <c r="H1293" s="5">
        <v>5869100</v>
      </c>
      <c r="I1293" s="5">
        <v>11220100</v>
      </c>
    </row>
    <row r="1294" spans="1:9" x14ac:dyDescent="0.3">
      <c r="A1294" t="s">
        <v>455</v>
      </c>
      <c r="B1294" t="str">
        <f t="shared" si="52"/>
        <v>70266</v>
      </c>
      <c r="C1294" t="s">
        <v>11</v>
      </c>
      <c r="D1294" t="s">
        <v>459</v>
      </c>
      <c r="E1294" t="str">
        <f>"014"</f>
        <v>014</v>
      </c>
      <c r="F1294">
        <v>2000</v>
      </c>
      <c r="G1294" s="5">
        <v>21457500</v>
      </c>
      <c r="H1294" s="5">
        <v>558400</v>
      </c>
      <c r="I1294" s="5">
        <v>20899100</v>
      </c>
    </row>
    <row r="1295" spans="1:9" x14ac:dyDescent="0.3">
      <c r="A1295" t="s">
        <v>455</v>
      </c>
      <c r="B1295" t="str">
        <f t="shared" si="52"/>
        <v>70266</v>
      </c>
      <c r="C1295" t="s">
        <v>11</v>
      </c>
      <c r="D1295" t="s">
        <v>459</v>
      </c>
      <c r="E1295" t="str">
        <f>"015"</f>
        <v>015</v>
      </c>
      <c r="F1295">
        <v>2001</v>
      </c>
      <c r="G1295" s="5">
        <v>8834000</v>
      </c>
      <c r="H1295" s="5">
        <v>564900</v>
      </c>
      <c r="I1295" s="5">
        <v>8269100</v>
      </c>
    </row>
    <row r="1296" spans="1:9" x14ac:dyDescent="0.3">
      <c r="A1296" t="s">
        <v>455</v>
      </c>
      <c r="B1296" t="str">
        <f t="shared" si="52"/>
        <v>70266</v>
      </c>
      <c r="C1296" t="s">
        <v>11</v>
      </c>
      <c r="D1296" t="s">
        <v>459</v>
      </c>
      <c r="E1296" t="str">
        <f>"016"</f>
        <v>016</v>
      </c>
      <c r="F1296">
        <v>2001</v>
      </c>
      <c r="G1296" s="5">
        <v>5347500</v>
      </c>
      <c r="H1296" s="5">
        <v>0</v>
      </c>
      <c r="I1296" s="5">
        <v>5347500</v>
      </c>
    </row>
    <row r="1297" spans="1:9" x14ac:dyDescent="0.3">
      <c r="A1297" t="s">
        <v>455</v>
      </c>
      <c r="B1297" t="str">
        <f t="shared" si="52"/>
        <v>70266</v>
      </c>
      <c r="C1297" t="s">
        <v>11</v>
      </c>
      <c r="D1297" t="s">
        <v>459</v>
      </c>
      <c r="E1297" t="str">
        <f>"017"</f>
        <v>017</v>
      </c>
      <c r="F1297">
        <v>2001</v>
      </c>
      <c r="G1297" s="5">
        <v>13363300</v>
      </c>
      <c r="H1297" s="5">
        <v>2210600</v>
      </c>
      <c r="I1297" s="5">
        <v>11152700</v>
      </c>
    </row>
    <row r="1298" spans="1:9" x14ac:dyDescent="0.3">
      <c r="A1298" t="s">
        <v>455</v>
      </c>
      <c r="B1298" t="str">
        <f t="shared" si="52"/>
        <v>70266</v>
      </c>
      <c r="C1298" t="s">
        <v>11</v>
      </c>
      <c r="D1298" t="s">
        <v>459</v>
      </c>
      <c r="E1298" t="str">
        <f>"018"</f>
        <v>018</v>
      </c>
      <c r="F1298">
        <v>2002</v>
      </c>
      <c r="G1298" s="5">
        <v>21140600</v>
      </c>
      <c r="H1298" s="5">
        <v>51300</v>
      </c>
      <c r="I1298" s="5">
        <v>21089300</v>
      </c>
    </row>
    <row r="1299" spans="1:9" x14ac:dyDescent="0.3">
      <c r="A1299" t="s">
        <v>455</v>
      </c>
      <c r="B1299" t="str">
        <f t="shared" si="52"/>
        <v>70266</v>
      </c>
      <c r="C1299" t="s">
        <v>11</v>
      </c>
      <c r="D1299" t="s">
        <v>459</v>
      </c>
      <c r="E1299" t="str">
        <f>"019"</f>
        <v>019</v>
      </c>
      <c r="F1299">
        <v>2003</v>
      </c>
      <c r="G1299" s="5">
        <v>10324000</v>
      </c>
      <c r="H1299" s="5">
        <v>104200</v>
      </c>
      <c r="I1299" s="5">
        <v>10219800</v>
      </c>
    </row>
    <row r="1300" spans="1:9" x14ac:dyDescent="0.3">
      <c r="A1300" t="s">
        <v>455</v>
      </c>
      <c r="B1300" t="str">
        <f t="shared" si="52"/>
        <v>70266</v>
      </c>
      <c r="C1300" t="s">
        <v>11</v>
      </c>
      <c r="D1300" t="s">
        <v>459</v>
      </c>
      <c r="E1300" t="str">
        <f>"020"</f>
        <v>020</v>
      </c>
      <c r="F1300">
        <v>2005</v>
      </c>
      <c r="G1300" s="5">
        <v>15282400</v>
      </c>
      <c r="H1300" s="5">
        <v>20815500</v>
      </c>
      <c r="I1300" s="5">
        <v>-5533100</v>
      </c>
    </row>
    <row r="1301" spans="1:9" x14ac:dyDescent="0.3">
      <c r="A1301" t="s">
        <v>455</v>
      </c>
      <c r="B1301" t="str">
        <f t="shared" si="52"/>
        <v>70266</v>
      </c>
      <c r="C1301" t="s">
        <v>11</v>
      </c>
      <c r="D1301" t="s">
        <v>459</v>
      </c>
      <c r="E1301" t="str">
        <f>"021"</f>
        <v>021</v>
      </c>
      <c r="F1301">
        <v>2006</v>
      </c>
      <c r="G1301" s="5">
        <v>19966100</v>
      </c>
      <c r="H1301" s="5">
        <v>1954900</v>
      </c>
      <c r="I1301" s="5">
        <v>18011200</v>
      </c>
    </row>
    <row r="1302" spans="1:9" x14ac:dyDescent="0.3">
      <c r="A1302" t="s">
        <v>455</v>
      </c>
      <c r="B1302" t="str">
        <f t="shared" si="52"/>
        <v>70266</v>
      </c>
      <c r="C1302" t="s">
        <v>11</v>
      </c>
      <c r="D1302" t="s">
        <v>459</v>
      </c>
      <c r="E1302" t="str">
        <f>"023"</f>
        <v>023</v>
      </c>
      <c r="F1302">
        <v>2009</v>
      </c>
      <c r="G1302" s="5">
        <v>0</v>
      </c>
      <c r="H1302" s="5">
        <v>233700</v>
      </c>
      <c r="I1302" s="5">
        <v>-233700</v>
      </c>
    </row>
    <row r="1303" spans="1:9" x14ac:dyDescent="0.3">
      <c r="A1303" t="s">
        <v>455</v>
      </c>
      <c r="B1303" t="str">
        <f t="shared" si="52"/>
        <v>70266</v>
      </c>
      <c r="C1303" t="s">
        <v>11</v>
      </c>
      <c r="D1303" t="s">
        <v>459</v>
      </c>
      <c r="E1303" t="str">
        <f>"024"</f>
        <v>024</v>
      </c>
      <c r="F1303">
        <v>2010</v>
      </c>
      <c r="G1303" s="5">
        <v>20225100</v>
      </c>
      <c r="H1303" s="5">
        <v>8464900</v>
      </c>
      <c r="I1303" s="5">
        <v>11760200</v>
      </c>
    </row>
    <row r="1304" spans="1:9" x14ac:dyDescent="0.3">
      <c r="A1304" t="s">
        <v>455</v>
      </c>
      <c r="B1304" t="str">
        <f t="shared" si="52"/>
        <v>70266</v>
      </c>
      <c r="C1304" t="s">
        <v>11</v>
      </c>
      <c r="D1304" t="s">
        <v>459</v>
      </c>
      <c r="E1304" t="str">
        <f>"025"</f>
        <v>025</v>
      </c>
      <c r="F1304">
        <v>2012</v>
      </c>
      <c r="G1304" s="5">
        <v>11265700</v>
      </c>
      <c r="H1304" s="5">
        <v>1050800</v>
      </c>
      <c r="I1304" s="5">
        <v>10214900</v>
      </c>
    </row>
    <row r="1305" spans="1:9" x14ac:dyDescent="0.3">
      <c r="A1305" t="s">
        <v>455</v>
      </c>
      <c r="B1305" t="str">
        <f t="shared" si="52"/>
        <v>70266</v>
      </c>
      <c r="C1305" t="s">
        <v>11</v>
      </c>
      <c r="D1305" t="s">
        <v>459</v>
      </c>
      <c r="E1305" t="str">
        <f>"026"</f>
        <v>026</v>
      </c>
      <c r="F1305">
        <v>2013</v>
      </c>
      <c r="G1305" s="5">
        <v>0</v>
      </c>
      <c r="H1305" s="5">
        <v>29400</v>
      </c>
      <c r="I1305" s="5">
        <v>-29400</v>
      </c>
    </row>
    <row r="1306" spans="1:9" x14ac:dyDescent="0.3">
      <c r="A1306" t="s">
        <v>455</v>
      </c>
      <c r="B1306" t="str">
        <f t="shared" si="52"/>
        <v>70266</v>
      </c>
      <c r="C1306" t="s">
        <v>11</v>
      </c>
      <c r="D1306" t="s">
        <v>459</v>
      </c>
      <c r="E1306" t="str">
        <f>"027"</f>
        <v>027</v>
      </c>
      <c r="F1306">
        <v>2014</v>
      </c>
      <c r="G1306" s="5">
        <v>66025300</v>
      </c>
      <c r="H1306" s="5">
        <v>58230300</v>
      </c>
      <c r="I1306" s="5">
        <v>7795000</v>
      </c>
    </row>
    <row r="1307" spans="1:9" x14ac:dyDescent="0.3">
      <c r="A1307" t="s">
        <v>455</v>
      </c>
      <c r="B1307" t="str">
        <f t="shared" si="52"/>
        <v>70266</v>
      </c>
      <c r="C1307" t="s">
        <v>11</v>
      </c>
      <c r="D1307" t="s">
        <v>459</v>
      </c>
      <c r="E1307" t="str">
        <f>"028"</f>
        <v>028</v>
      </c>
      <c r="F1307">
        <v>2016</v>
      </c>
      <c r="G1307" s="5">
        <v>2490300</v>
      </c>
      <c r="H1307" s="5">
        <v>575700</v>
      </c>
      <c r="I1307" s="5">
        <v>1914600</v>
      </c>
    </row>
    <row r="1308" spans="1:9" x14ac:dyDescent="0.3">
      <c r="A1308" t="s">
        <v>455</v>
      </c>
      <c r="B1308" t="str">
        <f t="shared" si="52"/>
        <v>70266</v>
      </c>
      <c r="C1308" t="s">
        <v>11</v>
      </c>
      <c r="D1308" t="s">
        <v>459</v>
      </c>
      <c r="E1308" t="str">
        <f>"029"</f>
        <v>029</v>
      </c>
      <c r="F1308">
        <v>2016</v>
      </c>
      <c r="G1308" s="5">
        <v>1547900</v>
      </c>
      <c r="H1308" s="5">
        <v>1268100</v>
      </c>
      <c r="I1308" s="5">
        <v>279800</v>
      </c>
    </row>
    <row r="1309" spans="1:9" x14ac:dyDescent="0.3">
      <c r="A1309" t="s">
        <v>455</v>
      </c>
      <c r="B1309" t="str">
        <f t="shared" si="52"/>
        <v>70266</v>
      </c>
      <c r="C1309" t="s">
        <v>11</v>
      </c>
      <c r="D1309" t="s">
        <v>459</v>
      </c>
      <c r="E1309" t="str">
        <f>"030"</f>
        <v>030</v>
      </c>
      <c r="F1309">
        <v>2016</v>
      </c>
      <c r="G1309" s="5">
        <v>2464900</v>
      </c>
      <c r="H1309" s="5">
        <v>570500</v>
      </c>
      <c r="I1309" s="5">
        <v>1894400</v>
      </c>
    </row>
    <row r="1310" spans="1:9" x14ac:dyDescent="0.3">
      <c r="A1310" t="s">
        <v>455</v>
      </c>
      <c r="B1310" t="str">
        <f t="shared" si="52"/>
        <v>70266</v>
      </c>
      <c r="C1310" t="s">
        <v>11</v>
      </c>
      <c r="D1310" t="s">
        <v>459</v>
      </c>
      <c r="E1310" t="str">
        <f>"031"</f>
        <v>031</v>
      </c>
      <c r="F1310">
        <v>2017</v>
      </c>
      <c r="G1310" s="5">
        <v>20171300</v>
      </c>
      <c r="H1310" s="5">
        <v>143600</v>
      </c>
      <c r="I1310" s="5">
        <v>20027700</v>
      </c>
    </row>
    <row r="1311" spans="1:9" x14ac:dyDescent="0.3">
      <c r="A1311" t="s">
        <v>455</v>
      </c>
      <c r="B1311" t="str">
        <f t="shared" si="52"/>
        <v>70266</v>
      </c>
      <c r="C1311" t="s">
        <v>11</v>
      </c>
      <c r="D1311" t="s">
        <v>459</v>
      </c>
      <c r="E1311" t="str">
        <f>"032"</f>
        <v>032</v>
      </c>
      <c r="F1311">
        <v>2017</v>
      </c>
      <c r="G1311" s="5">
        <v>667700</v>
      </c>
      <c r="H1311" s="5">
        <v>115900</v>
      </c>
      <c r="I1311" s="5">
        <v>551800</v>
      </c>
    </row>
    <row r="1312" spans="1:9" x14ac:dyDescent="0.3">
      <c r="A1312" t="s">
        <v>455</v>
      </c>
      <c r="B1312" t="str">
        <f t="shared" si="52"/>
        <v>70266</v>
      </c>
      <c r="C1312" t="s">
        <v>11</v>
      </c>
      <c r="D1312" t="s">
        <v>459</v>
      </c>
      <c r="E1312" t="str">
        <f>"033"</f>
        <v>033</v>
      </c>
      <c r="F1312">
        <v>2017</v>
      </c>
      <c r="G1312" s="5">
        <v>11883500</v>
      </c>
      <c r="H1312" s="5">
        <v>746100</v>
      </c>
      <c r="I1312" s="5">
        <v>11137400</v>
      </c>
    </row>
    <row r="1313" spans="1:9" x14ac:dyDescent="0.3">
      <c r="A1313" t="s">
        <v>455</v>
      </c>
      <c r="B1313" t="str">
        <f t="shared" si="52"/>
        <v>70266</v>
      </c>
      <c r="C1313" t="s">
        <v>11</v>
      </c>
      <c r="D1313" t="s">
        <v>459</v>
      </c>
      <c r="E1313" t="str">
        <f>"034"</f>
        <v>034</v>
      </c>
      <c r="F1313">
        <v>2018</v>
      </c>
      <c r="G1313" s="5">
        <v>42928800</v>
      </c>
      <c r="H1313" s="5">
        <v>0</v>
      </c>
      <c r="I1313" s="5">
        <v>42928800</v>
      </c>
    </row>
    <row r="1314" spans="1:9" x14ac:dyDescent="0.3">
      <c r="A1314" t="s">
        <v>455</v>
      </c>
      <c r="B1314" t="str">
        <f t="shared" si="52"/>
        <v>70266</v>
      </c>
      <c r="C1314" t="s">
        <v>11</v>
      </c>
      <c r="D1314" t="s">
        <v>459</v>
      </c>
      <c r="E1314" t="str">
        <f>"035"</f>
        <v>035</v>
      </c>
      <c r="F1314">
        <v>2018</v>
      </c>
      <c r="G1314" s="5">
        <v>20270000</v>
      </c>
      <c r="H1314" s="5">
        <v>15645000</v>
      </c>
      <c r="I1314" s="5">
        <v>4625000</v>
      </c>
    </row>
    <row r="1315" spans="1:9" x14ac:dyDescent="0.3">
      <c r="A1315" t="s">
        <v>455</v>
      </c>
      <c r="B1315" t="str">
        <f t="shared" si="52"/>
        <v>70266</v>
      </c>
      <c r="C1315" t="s">
        <v>11</v>
      </c>
      <c r="D1315" t="s">
        <v>459</v>
      </c>
      <c r="E1315" t="str">
        <f>"036"</f>
        <v>036</v>
      </c>
      <c r="F1315">
        <v>2019</v>
      </c>
      <c r="G1315" s="5">
        <v>0</v>
      </c>
      <c r="H1315" s="5">
        <v>0</v>
      </c>
      <c r="I1315" s="5">
        <v>0</v>
      </c>
    </row>
    <row r="1316" spans="1:9" x14ac:dyDescent="0.3">
      <c r="A1316" t="s">
        <v>455</v>
      </c>
      <c r="B1316" t="str">
        <f t="shared" si="52"/>
        <v>70266</v>
      </c>
      <c r="C1316" t="s">
        <v>11</v>
      </c>
      <c r="D1316" t="s">
        <v>459</v>
      </c>
      <c r="E1316" t="str">
        <f>"037"</f>
        <v>037</v>
      </c>
      <c r="F1316">
        <v>2019</v>
      </c>
      <c r="G1316" s="5">
        <v>7839800</v>
      </c>
      <c r="H1316" s="5">
        <v>6810700</v>
      </c>
      <c r="I1316" s="5">
        <v>1029100</v>
      </c>
    </row>
    <row r="1317" spans="1:9" x14ac:dyDescent="0.3">
      <c r="A1317" t="s">
        <v>455</v>
      </c>
      <c r="B1317" t="str">
        <f t="shared" si="52"/>
        <v>70266</v>
      </c>
      <c r="C1317" t="s">
        <v>11</v>
      </c>
      <c r="D1317" t="s">
        <v>459</v>
      </c>
      <c r="E1317" t="str">
        <f>"038"</f>
        <v>038</v>
      </c>
      <c r="F1317">
        <v>2019</v>
      </c>
      <c r="G1317" s="5">
        <v>2188600</v>
      </c>
      <c r="H1317" s="5">
        <v>2176700</v>
      </c>
      <c r="I1317" s="5">
        <v>11900</v>
      </c>
    </row>
    <row r="1318" spans="1:9" x14ac:dyDescent="0.3">
      <c r="A1318" t="s">
        <v>455</v>
      </c>
      <c r="B1318" t="str">
        <f>"70191"</f>
        <v>70191</v>
      </c>
      <c r="C1318" t="s">
        <v>12</v>
      </c>
      <c r="D1318" t="s">
        <v>460</v>
      </c>
      <c r="E1318" t="str">
        <f>"003"</f>
        <v>003</v>
      </c>
      <c r="F1318">
        <v>1996</v>
      </c>
      <c r="G1318" s="5">
        <v>6451500</v>
      </c>
      <c r="H1318" s="5">
        <v>4646300</v>
      </c>
      <c r="I1318" s="5">
        <v>1805200</v>
      </c>
    </row>
    <row r="1319" spans="1:9" x14ac:dyDescent="0.3">
      <c r="A1319" t="s">
        <v>455</v>
      </c>
      <c r="B1319" t="str">
        <f>"70191"</f>
        <v>70191</v>
      </c>
      <c r="C1319" t="s">
        <v>12</v>
      </c>
      <c r="D1319" t="s">
        <v>460</v>
      </c>
      <c r="E1319" t="str">
        <f>"005"</f>
        <v>005</v>
      </c>
      <c r="F1319">
        <v>2000</v>
      </c>
      <c r="G1319" s="5">
        <v>13439700</v>
      </c>
      <c r="H1319" s="5">
        <v>4751600</v>
      </c>
      <c r="I1319" s="5">
        <v>8688100</v>
      </c>
    </row>
    <row r="1320" spans="1:9" x14ac:dyDescent="0.3">
      <c r="A1320" t="s">
        <v>455</v>
      </c>
      <c r="B1320" t="str">
        <f>"70191"</f>
        <v>70191</v>
      </c>
      <c r="C1320" t="s">
        <v>12</v>
      </c>
      <c r="D1320" t="s">
        <v>460</v>
      </c>
      <c r="E1320" t="str">
        <f>"006"</f>
        <v>006</v>
      </c>
      <c r="F1320">
        <v>2000</v>
      </c>
      <c r="G1320" s="5">
        <v>5327600</v>
      </c>
      <c r="H1320" s="5">
        <v>829500</v>
      </c>
      <c r="I1320" s="5">
        <v>4498100</v>
      </c>
    </row>
    <row r="1321" spans="1:9" x14ac:dyDescent="0.3">
      <c r="A1321" t="s">
        <v>455</v>
      </c>
      <c r="B1321" t="str">
        <f>"70191"</f>
        <v>70191</v>
      </c>
      <c r="C1321" t="s">
        <v>12</v>
      </c>
      <c r="D1321" t="s">
        <v>460</v>
      </c>
      <c r="E1321" t="str">
        <f>"007"</f>
        <v>007</v>
      </c>
      <c r="F1321">
        <v>2002</v>
      </c>
      <c r="G1321" s="5">
        <v>7976300</v>
      </c>
      <c r="H1321" s="5">
        <v>2070300</v>
      </c>
      <c r="I1321" s="5">
        <v>5906000</v>
      </c>
    </row>
    <row r="1322" spans="1:9" x14ac:dyDescent="0.3">
      <c r="A1322" t="s">
        <v>455</v>
      </c>
      <c r="B1322" t="str">
        <f>"70191"</f>
        <v>70191</v>
      </c>
      <c r="C1322" t="s">
        <v>12</v>
      </c>
      <c r="D1322" t="s">
        <v>460</v>
      </c>
      <c r="E1322" t="str">
        <f>"008"</f>
        <v>008</v>
      </c>
      <c r="F1322">
        <v>2011</v>
      </c>
      <c r="G1322" s="5">
        <v>2016500</v>
      </c>
      <c r="H1322" s="5">
        <v>0</v>
      </c>
      <c r="I1322" s="5">
        <v>2016500</v>
      </c>
    </row>
    <row r="1323" spans="1:9" x14ac:dyDescent="0.3">
      <c r="A1323" t="s">
        <v>461</v>
      </c>
      <c r="B1323" t="str">
        <f>"71101"</f>
        <v>71101</v>
      </c>
      <c r="C1323" t="s">
        <v>12</v>
      </c>
      <c r="D1323" t="s">
        <v>462</v>
      </c>
      <c r="E1323" t="str">
        <f>"001"</f>
        <v>001</v>
      </c>
      <c r="F1323">
        <v>2006</v>
      </c>
      <c r="G1323" s="5">
        <v>3942500</v>
      </c>
      <c r="H1323" s="5">
        <v>2073000</v>
      </c>
      <c r="I1323" s="5">
        <v>1869500</v>
      </c>
    </row>
    <row r="1324" spans="1:9" x14ac:dyDescent="0.3">
      <c r="A1324" t="s">
        <v>461</v>
      </c>
      <c r="B1324" t="str">
        <f>"71101"</f>
        <v>71101</v>
      </c>
      <c r="C1324" t="s">
        <v>12</v>
      </c>
      <c r="D1324" t="s">
        <v>462</v>
      </c>
      <c r="E1324" t="str">
        <f>"002"</f>
        <v>002</v>
      </c>
      <c r="F1324">
        <v>2015</v>
      </c>
      <c r="G1324" s="5">
        <v>2709800</v>
      </c>
      <c r="H1324" s="5">
        <v>1800400</v>
      </c>
      <c r="I1324" s="5">
        <v>909400</v>
      </c>
    </row>
    <row r="1325" spans="1:9" x14ac:dyDescent="0.3">
      <c r="A1325" t="s">
        <v>461</v>
      </c>
      <c r="B1325" t="str">
        <f>"71106"</f>
        <v>71106</v>
      </c>
      <c r="C1325" t="s">
        <v>12</v>
      </c>
      <c r="D1325" t="s">
        <v>463</v>
      </c>
      <c r="E1325" t="str">
        <f>"001"</f>
        <v>001</v>
      </c>
      <c r="F1325">
        <v>2006</v>
      </c>
      <c r="G1325" s="5">
        <v>4829300</v>
      </c>
      <c r="H1325" s="5">
        <v>3500700</v>
      </c>
      <c r="I1325" s="5">
        <v>1328600</v>
      </c>
    </row>
    <row r="1326" spans="1:9" x14ac:dyDescent="0.3">
      <c r="A1326" t="s">
        <v>461</v>
      </c>
      <c r="B1326" t="str">
        <f>"71106"</f>
        <v>71106</v>
      </c>
      <c r="C1326" t="s">
        <v>12</v>
      </c>
      <c r="D1326" t="s">
        <v>463</v>
      </c>
      <c r="E1326" t="str">
        <f>"002"</f>
        <v>002</v>
      </c>
      <c r="F1326">
        <v>2006</v>
      </c>
      <c r="G1326" s="5">
        <v>35158100</v>
      </c>
      <c r="H1326" s="5">
        <v>5111000</v>
      </c>
      <c r="I1326" s="5">
        <v>30047100</v>
      </c>
    </row>
    <row r="1327" spans="1:9" x14ac:dyDescent="0.3">
      <c r="A1327" t="s">
        <v>461</v>
      </c>
      <c r="B1327" t="str">
        <f>"71106"</f>
        <v>71106</v>
      </c>
      <c r="C1327" t="s">
        <v>12</v>
      </c>
      <c r="D1327" t="s">
        <v>463</v>
      </c>
      <c r="E1327" t="str">
        <f>"003"</f>
        <v>003</v>
      </c>
      <c r="F1327">
        <v>2009</v>
      </c>
      <c r="G1327" s="5">
        <v>9591500</v>
      </c>
      <c r="H1327" s="5">
        <v>3897200</v>
      </c>
      <c r="I1327" s="5">
        <v>5694300</v>
      </c>
    </row>
    <row r="1328" spans="1:9" x14ac:dyDescent="0.3">
      <c r="A1328" t="s">
        <v>461</v>
      </c>
      <c r="B1328" t="str">
        <f t="shared" ref="B1328:B1334" si="53">"71251"</f>
        <v>71251</v>
      </c>
      <c r="C1328" t="s">
        <v>11</v>
      </c>
      <c r="D1328" t="s">
        <v>464</v>
      </c>
      <c r="E1328" t="str">
        <f>"002"</f>
        <v>002</v>
      </c>
      <c r="F1328">
        <v>1993</v>
      </c>
      <c r="G1328" s="5">
        <v>5047200</v>
      </c>
      <c r="H1328" s="5">
        <v>0</v>
      </c>
      <c r="I1328" s="5">
        <v>5047200</v>
      </c>
    </row>
    <row r="1329" spans="1:9" x14ac:dyDescent="0.3">
      <c r="A1329" t="s">
        <v>461</v>
      </c>
      <c r="B1329" t="str">
        <f t="shared" si="53"/>
        <v>71251</v>
      </c>
      <c r="C1329" t="s">
        <v>11</v>
      </c>
      <c r="D1329" t="s">
        <v>464</v>
      </c>
      <c r="E1329" t="str">
        <f>"004"</f>
        <v>004</v>
      </c>
      <c r="F1329">
        <v>1996</v>
      </c>
      <c r="G1329" s="5">
        <v>75115400</v>
      </c>
      <c r="H1329" s="5">
        <v>37757800</v>
      </c>
      <c r="I1329" s="5">
        <v>37357600</v>
      </c>
    </row>
    <row r="1330" spans="1:9" x14ac:dyDescent="0.3">
      <c r="A1330" t="s">
        <v>461</v>
      </c>
      <c r="B1330" t="str">
        <f t="shared" si="53"/>
        <v>71251</v>
      </c>
      <c r="C1330" t="s">
        <v>11</v>
      </c>
      <c r="D1330" t="s">
        <v>464</v>
      </c>
      <c r="E1330" t="str">
        <f>"005"</f>
        <v>005</v>
      </c>
      <c r="F1330">
        <v>1997</v>
      </c>
      <c r="G1330" s="5">
        <v>26441100</v>
      </c>
      <c r="H1330" s="5">
        <v>299500</v>
      </c>
      <c r="I1330" s="5">
        <v>26141600</v>
      </c>
    </row>
    <row r="1331" spans="1:9" x14ac:dyDescent="0.3">
      <c r="A1331" t="s">
        <v>461</v>
      </c>
      <c r="B1331" t="str">
        <f t="shared" si="53"/>
        <v>71251</v>
      </c>
      <c r="C1331" t="s">
        <v>11</v>
      </c>
      <c r="D1331" t="s">
        <v>464</v>
      </c>
      <c r="E1331" t="str">
        <f>"007"</f>
        <v>007</v>
      </c>
      <c r="F1331">
        <v>2001</v>
      </c>
      <c r="G1331" s="5">
        <v>36284300</v>
      </c>
      <c r="H1331" s="5">
        <v>2411300</v>
      </c>
      <c r="I1331" s="5">
        <v>33873000</v>
      </c>
    </row>
    <row r="1332" spans="1:9" x14ac:dyDescent="0.3">
      <c r="A1332" t="s">
        <v>461</v>
      </c>
      <c r="B1332" t="str">
        <f t="shared" si="53"/>
        <v>71251</v>
      </c>
      <c r="C1332" t="s">
        <v>11</v>
      </c>
      <c r="D1332" t="s">
        <v>464</v>
      </c>
      <c r="E1332" t="str">
        <f>"009"</f>
        <v>009</v>
      </c>
      <c r="F1332">
        <v>2013</v>
      </c>
      <c r="G1332" s="5">
        <v>18889800</v>
      </c>
      <c r="H1332" s="5">
        <v>1484800</v>
      </c>
      <c r="I1332" s="5">
        <v>17405000</v>
      </c>
    </row>
    <row r="1333" spans="1:9" x14ac:dyDescent="0.3">
      <c r="A1333" t="s">
        <v>461</v>
      </c>
      <c r="B1333" t="str">
        <f t="shared" si="53"/>
        <v>71251</v>
      </c>
      <c r="C1333" t="s">
        <v>11</v>
      </c>
      <c r="D1333" t="s">
        <v>464</v>
      </c>
      <c r="E1333" t="str">
        <f>"010"</f>
        <v>010</v>
      </c>
      <c r="F1333">
        <v>2015</v>
      </c>
      <c r="G1333" s="5">
        <v>20714200</v>
      </c>
      <c r="H1333" s="5">
        <v>16534500</v>
      </c>
      <c r="I1333" s="5">
        <v>4179700</v>
      </c>
    </row>
    <row r="1334" spans="1:9" x14ac:dyDescent="0.3">
      <c r="A1334" t="s">
        <v>461</v>
      </c>
      <c r="B1334" t="str">
        <f t="shared" si="53"/>
        <v>71251</v>
      </c>
      <c r="C1334" t="s">
        <v>11</v>
      </c>
      <c r="D1334" t="s">
        <v>464</v>
      </c>
      <c r="E1334" t="str">
        <f>"011"</f>
        <v>011</v>
      </c>
      <c r="F1334">
        <v>2016</v>
      </c>
      <c r="G1334" s="5">
        <v>4356100</v>
      </c>
      <c r="H1334" s="5">
        <v>543500</v>
      </c>
      <c r="I1334" s="5">
        <v>3812600</v>
      </c>
    </row>
    <row r="1335" spans="1:9" x14ac:dyDescent="0.3">
      <c r="A1335" t="s">
        <v>461</v>
      </c>
      <c r="B1335" t="str">
        <f>"71261"</f>
        <v>71261</v>
      </c>
      <c r="C1335" t="s">
        <v>11</v>
      </c>
      <c r="D1335" t="s">
        <v>465</v>
      </c>
      <c r="E1335" t="str">
        <f>"001"</f>
        <v>001</v>
      </c>
      <c r="F1335">
        <v>1997</v>
      </c>
      <c r="G1335" s="5">
        <v>17401200</v>
      </c>
      <c r="H1335" s="5">
        <v>10523600</v>
      </c>
      <c r="I1335" s="5">
        <v>6877600</v>
      </c>
    </row>
    <row r="1336" spans="1:9" x14ac:dyDescent="0.3">
      <c r="A1336" t="s">
        <v>461</v>
      </c>
      <c r="B1336" t="str">
        <f>"71261"</f>
        <v>71261</v>
      </c>
      <c r="C1336" t="s">
        <v>11</v>
      </c>
      <c r="D1336" t="s">
        <v>465</v>
      </c>
      <c r="E1336" t="str">
        <f>"002"</f>
        <v>002</v>
      </c>
      <c r="F1336">
        <v>2002</v>
      </c>
      <c r="G1336" s="5">
        <v>5517200</v>
      </c>
      <c r="H1336" s="5">
        <v>609300</v>
      </c>
      <c r="I1336" s="5">
        <v>4907900</v>
      </c>
    </row>
    <row r="1337" spans="1:9" x14ac:dyDescent="0.3">
      <c r="A1337" t="s">
        <v>461</v>
      </c>
      <c r="B1337" t="str">
        <f>"71261"</f>
        <v>71261</v>
      </c>
      <c r="C1337" t="s">
        <v>11</v>
      </c>
      <c r="D1337" t="s">
        <v>465</v>
      </c>
      <c r="E1337" t="str">
        <f>"003"</f>
        <v>003</v>
      </c>
      <c r="F1337">
        <v>2012</v>
      </c>
      <c r="G1337" s="5">
        <v>20927300</v>
      </c>
      <c r="H1337" s="5">
        <v>17816300</v>
      </c>
      <c r="I1337" s="5">
        <v>3111000</v>
      </c>
    </row>
    <row r="1338" spans="1:9" x14ac:dyDescent="0.3">
      <c r="A1338" t="s">
        <v>461</v>
      </c>
      <c r="B1338" t="str">
        <f>"71261"</f>
        <v>71261</v>
      </c>
      <c r="C1338" t="s">
        <v>11</v>
      </c>
      <c r="D1338" t="s">
        <v>465</v>
      </c>
      <c r="E1338" t="str">
        <f>"004"</f>
        <v>004</v>
      </c>
      <c r="F1338">
        <v>2018</v>
      </c>
      <c r="G1338" s="5">
        <v>3704500</v>
      </c>
      <c r="H1338" s="5">
        <v>3086000</v>
      </c>
      <c r="I1338" s="5">
        <v>618500</v>
      </c>
    </row>
    <row r="1339" spans="1:9" x14ac:dyDescent="0.3">
      <c r="A1339" t="s">
        <v>461</v>
      </c>
      <c r="B1339" t="str">
        <f>"71271"</f>
        <v>71271</v>
      </c>
      <c r="C1339" t="s">
        <v>11</v>
      </c>
      <c r="D1339" t="s">
        <v>466</v>
      </c>
      <c r="E1339" t="str">
        <f>"003"</f>
        <v>003</v>
      </c>
      <c r="F1339">
        <v>1995</v>
      </c>
      <c r="G1339" s="5">
        <v>36150000</v>
      </c>
      <c r="H1339" s="5">
        <v>2542000</v>
      </c>
      <c r="I1339" s="5">
        <v>33608000</v>
      </c>
    </row>
    <row r="1340" spans="1:9" x14ac:dyDescent="0.3">
      <c r="A1340" t="s">
        <v>461</v>
      </c>
      <c r="B1340" t="str">
        <f>"71171"</f>
        <v>71171</v>
      </c>
      <c r="C1340" t="s">
        <v>12</v>
      </c>
      <c r="D1340" t="s">
        <v>467</v>
      </c>
      <c r="E1340" t="str">
        <f>"002"</f>
        <v>002</v>
      </c>
      <c r="F1340">
        <v>2009</v>
      </c>
      <c r="G1340" s="5">
        <v>18434900</v>
      </c>
      <c r="H1340" s="5">
        <v>9384200</v>
      </c>
      <c r="I1340" s="5">
        <v>9050700</v>
      </c>
    </row>
    <row r="1341" spans="1:9" x14ac:dyDescent="0.3">
      <c r="A1341" t="s">
        <v>461</v>
      </c>
      <c r="B1341" t="str">
        <f>"71186"</f>
        <v>71186</v>
      </c>
      <c r="C1341" t="s">
        <v>12</v>
      </c>
      <c r="D1341" t="s">
        <v>468</v>
      </c>
      <c r="E1341" t="str">
        <f>"001"</f>
        <v>001</v>
      </c>
      <c r="F1341">
        <v>2006</v>
      </c>
      <c r="G1341" s="5">
        <v>3576100</v>
      </c>
      <c r="H1341" s="5">
        <v>2637300</v>
      </c>
      <c r="I1341" s="5">
        <v>938800</v>
      </c>
    </row>
    <row r="1342" spans="1:9" x14ac:dyDescent="0.3">
      <c r="A1342" t="s">
        <v>461</v>
      </c>
      <c r="B1342" t="str">
        <f>"71291"</f>
        <v>71291</v>
      </c>
      <c r="C1342" t="s">
        <v>11</v>
      </c>
      <c r="D1342" t="s">
        <v>469</v>
      </c>
      <c r="E1342" t="str">
        <f>"006"</f>
        <v>006</v>
      </c>
      <c r="F1342">
        <v>2004</v>
      </c>
      <c r="G1342" s="5">
        <v>15481500</v>
      </c>
      <c r="H1342" s="5">
        <v>3915100</v>
      </c>
      <c r="I1342" s="5">
        <v>11566400</v>
      </c>
    </row>
    <row r="1343" spans="1:9" x14ac:dyDescent="0.3">
      <c r="A1343" t="s">
        <v>461</v>
      </c>
      <c r="B1343" t="str">
        <f>"71291"</f>
        <v>71291</v>
      </c>
      <c r="C1343" t="s">
        <v>11</v>
      </c>
      <c r="D1343" t="s">
        <v>469</v>
      </c>
      <c r="E1343" t="str">
        <f>"007"</f>
        <v>007</v>
      </c>
      <c r="F1343">
        <v>2005</v>
      </c>
      <c r="G1343" s="5">
        <v>38838400</v>
      </c>
      <c r="H1343" s="5">
        <v>34949700</v>
      </c>
      <c r="I1343" s="5">
        <v>3888700</v>
      </c>
    </row>
    <row r="1344" spans="1:9" x14ac:dyDescent="0.3">
      <c r="A1344" t="s">
        <v>461</v>
      </c>
      <c r="B1344" t="str">
        <f>"71291"</f>
        <v>71291</v>
      </c>
      <c r="C1344" t="s">
        <v>11</v>
      </c>
      <c r="D1344" t="s">
        <v>469</v>
      </c>
      <c r="E1344" t="str">
        <f>"008"</f>
        <v>008</v>
      </c>
      <c r="F1344">
        <v>2019</v>
      </c>
      <c r="G1344" s="5">
        <v>4690000</v>
      </c>
      <c r="H1344" s="5">
        <v>0</v>
      </c>
      <c r="I1344" s="5">
        <v>4690000</v>
      </c>
    </row>
    <row r="1345" spans="7:12" x14ac:dyDescent="0.3">
      <c r="G1345" s="6"/>
      <c r="H1345" s="6"/>
      <c r="I1345" s="8"/>
      <c r="K1345" s="6"/>
      <c r="L1345" s="6"/>
    </row>
    <row r="1346" spans="7:12" x14ac:dyDescent="0.3">
      <c r="K1346" s="6"/>
    </row>
    <row r="1347" spans="7:12" x14ac:dyDescent="0.3">
      <c r="L1347" s="6"/>
    </row>
  </sheetData>
  <mergeCells count="2">
    <mergeCell ref="A1:I1"/>
    <mergeCell ref="A2:I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44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2020</_x002e_DocumentYear>
    <_dlc_DocId xmlns="bb65cc95-6d4e-4879-a879-9838761499af">33E6D4FPPFNA-691263572-5925</_dlc_DocId>
    <_dlc_DocIdUrl xmlns="bb65cc95-6d4e-4879-a879-9838761499af">
      <Url>http://apwmad0p7106:9444/_layouts/15/DocIdRedir.aspx?ID=33E6D4FPPFNA-691263572-5925</Url>
      <Description>33E6D4FPPFNA-691263572-5925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D2F0C3-1D18-4C33-AD53-F4FC2C823287}"/>
</file>

<file path=customXml/itemProps2.xml><?xml version="1.0" encoding="utf-8"?>
<ds:datastoreItem xmlns:ds="http://schemas.openxmlformats.org/officeDocument/2006/customXml" ds:itemID="{957C92A6-44AB-4ED7-A7AC-2C49C7700CD8}"/>
</file>

<file path=customXml/itemProps3.xml><?xml version="1.0" encoding="utf-8"?>
<ds:datastoreItem xmlns:ds="http://schemas.openxmlformats.org/officeDocument/2006/customXml" ds:itemID="{4B4DC1CF-404F-4A5A-ABD0-4DC8DD79081A}"/>
</file>

<file path=customXml/itemProps4.xml><?xml version="1.0" encoding="utf-8"?>
<ds:datastoreItem xmlns:ds="http://schemas.openxmlformats.org/officeDocument/2006/customXml" ds:itemID="{64BC349F-8CD1-48FD-AD20-9809C2E585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Municipal/County Certification</dc:title>
  <dc:creator>Leitner, Stacy L - DOR</dc:creator>
  <cp:lastModifiedBy>Leitner, Stacy L; FTE; 06/24/2015</cp:lastModifiedBy>
  <dcterms:created xsi:type="dcterms:W3CDTF">2020-09-25T15:14:59Z</dcterms:created>
  <dcterms:modified xsi:type="dcterms:W3CDTF">2020-09-28T14:41:25Z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18bfc68b-9772-4de4-9683-88b084c0dd51</vt:lpwstr>
  </property>
</Properties>
</file>