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19 TIF\Cert Reports\"/>
    </mc:Choice>
  </mc:AlternateContent>
  <bookViews>
    <workbookView xWindow="0" yWindow="0" windowWidth="23040" windowHeight="10395"/>
  </bookViews>
  <sheets>
    <sheet name="TID356" sheetId="1" r:id="rId1"/>
  </sheets>
  <calcPr calcId="152511"/>
</workbook>
</file>

<file path=xl/calcChain.xml><?xml version="1.0" encoding="utf-8"?>
<calcChain xmlns="http://schemas.openxmlformats.org/spreadsheetml/2006/main">
  <c r="D4" i="1" l="1"/>
  <c r="G4" i="1"/>
  <c r="D5" i="1"/>
  <c r="G5" i="1"/>
  <c r="D6" i="1"/>
  <c r="G6" i="1"/>
  <c r="D7" i="1"/>
  <c r="G7" i="1"/>
  <c r="D8" i="1"/>
  <c r="G8" i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D38" i="1"/>
  <c r="G38" i="1"/>
  <c r="D39" i="1"/>
  <c r="G39" i="1"/>
  <c r="D40" i="1"/>
  <c r="G40" i="1"/>
  <c r="D41" i="1"/>
  <c r="G41" i="1"/>
  <c r="D42" i="1"/>
  <c r="G42" i="1"/>
  <c r="D43" i="1"/>
  <c r="G43" i="1"/>
  <c r="D44" i="1"/>
  <c r="G44" i="1"/>
  <c r="D45" i="1"/>
  <c r="G45" i="1"/>
  <c r="D46" i="1"/>
  <c r="G46" i="1"/>
  <c r="D47" i="1"/>
  <c r="G47" i="1"/>
  <c r="D48" i="1"/>
  <c r="G48" i="1"/>
  <c r="D49" i="1"/>
  <c r="G49" i="1"/>
  <c r="D50" i="1"/>
  <c r="G50" i="1"/>
  <c r="D51" i="1"/>
  <c r="G51" i="1"/>
  <c r="D52" i="1"/>
  <c r="G52" i="1"/>
  <c r="D53" i="1"/>
  <c r="G53" i="1"/>
  <c r="D54" i="1"/>
  <c r="G54" i="1"/>
  <c r="D55" i="1"/>
  <c r="G55" i="1"/>
  <c r="D56" i="1"/>
  <c r="G56" i="1"/>
  <c r="D57" i="1"/>
  <c r="G57" i="1"/>
  <c r="D58" i="1"/>
  <c r="G58" i="1"/>
  <c r="D59" i="1"/>
  <c r="G59" i="1"/>
  <c r="D60" i="1"/>
  <c r="G60" i="1"/>
  <c r="D61" i="1"/>
  <c r="G61" i="1"/>
  <c r="D62" i="1"/>
  <c r="G62" i="1"/>
  <c r="D63" i="1"/>
  <c r="G63" i="1"/>
  <c r="D64" i="1"/>
  <c r="G64" i="1"/>
  <c r="D65" i="1"/>
  <c r="G65" i="1"/>
  <c r="D66" i="1"/>
  <c r="G66" i="1"/>
  <c r="D67" i="1"/>
  <c r="G67" i="1"/>
  <c r="D68" i="1"/>
  <c r="G68" i="1"/>
  <c r="D69" i="1"/>
  <c r="G69" i="1"/>
  <c r="D70" i="1"/>
  <c r="G70" i="1"/>
  <c r="D71" i="1"/>
  <c r="G71" i="1"/>
  <c r="D72" i="1"/>
  <c r="G72" i="1"/>
  <c r="D73" i="1"/>
  <c r="G73" i="1"/>
  <c r="D74" i="1"/>
  <c r="G74" i="1"/>
  <c r="D75" i="1"/>
  <c r="G75" i="1"/>
  <c r="D76" i="1"/>
  <c r="G76" i="1"/>
  <c r="D77" i="1"/>
  <c r="G77" i="1"/>
  <c r="D78" i="1"/>
  <c r="G78" i="1"/>
  <c r="D79" i="1"/>
  <c r="G79" i="1"/>
  <c r="D80" i="1"/>
  <c r="G80" i="1"/>
  <c r="D81" i="1"/>
  <c r="G81" i="1"/>
  <c r="D82" i="1"/>
  <c r="G82" i="1"/>
  <c r="D83" i="1"/>
  <c r="G83" i="1"/>
  <c r="D84" i="1"/>
  <c r="G84" i="1"/>
  <c r="D85" i="1"/>
  <c r="G85" i="1"/>
  <c r="D86" i="1"/>
  <c r="G86" i="1"/>
  <c r="D87" i="1"/>
  <c r="G87" i="1"/>
  <c r="D88" i="1"/>
  <c r="G88" i="1"/>
  <c r="D89" i="1"/>
  <c r="G89" i="1"/>
  <c r="D90" i="1"/>
  <c r="G90" i="1"/>
  <c r="D91" i="1"/>
  <c r="G91" i="1"/>
  <c r="D92" i="1"/>
  <c r="G92" i="1"/>
  <c r="D93" i="1"/>
  <c r="G93" i="1"/>
  <c r="D94" i="1"/>
  <c r="G94" i="1"/>
  <c r="D95" i="1"/>
  <c r="G95" i="1"/>
  <c r="D96" i="1"/>
  <c r="G96" i="1"/>
  <c r="D97" i="1"/>
  <c r="G97" i="1"/>
  <c r="D98" i="1"/>
  <c r="G98" i="1"/>
  <c r="D99" i="1"/>
  <c r="G99" i="1"/>
  <c r="D100" i="1"/>
  <c r="G100" i="1"/>
  <c r="D101" i="1"/>
  <c r="G101" i="1"/>
  <c r="D102" i="1"/>
  <c r="G102" i="1"/>
  <c r="D103" i="1"/>
  <c r="G103" i="1"/>
  <c r="D104" i="1"/>
  <c r="G104" i="1"/>
  <c r="D105" i="1"/>
  <c r="G105" i="1"/>
  <c r="D106" i="1"/>
  <c r="G106" i="1"/>
  <c r="D107" i="1"/>
  <c r="G107" i="1"/>
  <c r="D108" i="1"/>
  <c r="G108" i="1"/>
  <c r="D109" i="1"/>
  <c r="G109" i="1"/>
  <c r="D110" i="1"/>
  <c r="G110" i="1"/>
  <c r="D111" i="1"/>
  <c r="G111" i="1"/>
  <c r="D112" i="1"/>
  <c r="G112" i="1"/>
  <c r="D113" i="1"/>
  <c r="G113" i="1"/>
  <c r="D114" i="1"/>
  <c r="G114" i="1"/>
  <c r="D115" i="1"/>
  <c r="G115" i="1"/>
  <c r="D116" i="1"/>
  <c r="G116" i="1"/>
  <c r="D117" i="1"/>
  <c r="G117" i="1"/>
  <c r="D118" i="1"/>
  <c r="G118" i="1"/>
  <c r="D119" i="1"/>
  <c r="G119" i="1"/>
  <c r="D120" i="1"/>
  <c r="G120" i="1"/>
  <c r="D121" i="1"/>
  <c r="G121" i="1"/>
  <c r="D122" i="1"/>
  <c r="G122" i="1"/>
  <c r="D123" i="1"/>
  <c r="G123" i="1"/>
  <c r="D124" i="1"/>
  <c r="G124" i="1"/>
  <c r="D125" i="1"/>
  <c r="G125" i="1"/>
  <c r="D126" i="1"/>
  <c r="G126" i="1"/>
  <c r="D127" i="1"/>
  <c r="G127" i="1"/>
  <c r="D128" i="1"/>
  <c r="G128" i="1"/>
  <c r="D129" i="1"/>
  <c r="G129" i="1"/>
  <c r="D130" i="1"/>
  <c r="G130" i="1"/>
  <c r="D131" i="1"/>
  <c r="G131" i="1"/>
  <c r="D132" i="1"/>
  <c r="G132" i="1"/>
  <c r="D133" i="1"/>
  <c r="G133" i="1"/>
  <c r="D134" i="1"/>
  <c r="G134" i="1"/>
  <c r="D135" i="1"/>
  <c r="G135" i="1"/>
  <c r="D136" i="1"/>
  <c r="G136" i="1"/>
  <c r="D137" i="1"/>
  <c r="G137" i="1"/>
  <c r="D138" i="1"/>
  <c r="G138" i="1"/>
  <c r="D139" i="1"/>
  <c r="G139" i="1"/>
  <c r="D140" i="1"/>
  <c r="G140" i="1"/>
  <c r="D141" i="1"/>
  <c r="G141" i="1"/>
  <c r="D142" i="1"/>
  <c r="G142" i="1"/>
  <c r="D143" i="1"/>
  <c r="G143" i="1"/>
  <c r="D144" i="1"/>
  <c r="G144" i="1"/>
  <c r="D145" i="1"/>
  <c r="G145" i="1"/>
  <c r="D146" i="1"/>
  <c r="G146" i="1"/>
  <c r="D147" i="1"/>
  <c r="G147" i="1"/>
  <c r="D148" i="1"/>
  <c r="G148" i="1"/>
  <c r="D149" i="1"/>
  <c r="G149" i="1"/>
  <c r="D150" i="1"/>
  <c r="G150" i="1"/>
  <c r="D151" i="1"/>
  <c r="G151" i="1"/>
  <c r="D152" i="1"/>
  <c r="G152" i="1"/>
  <c r="D153" i="1"/>
  <c r="G153" i="1"/>
  <c r="D154" i="1"/>
  <c r="G154" i="1"/>
  <c r="D155" i="1"/>
  <c r="G155" i="1"/>
  <c r="D156" i="1"/>
  <c r="G156" i="1"/>
  <c r="D157" i="1"/>
  <c r="G157" i="1"/>
  <c r="D158" i="1"/>
  <c r="G158" i="1"/>
  <c r="D159" i="1"/>
  <c r="G159" i="1"/>
  <c r="D160" i="1"/>
  <c r="G160" i="1"/>
  <c r="D161" i="1"/>
  <c r="G161" i="1"/>
  <c r="D162" i="1"/>
  <c r="G162" i="1"/>
  <c r="D163" i="1"/>
  <c r="G163" i="1"/>
  <c r="D164" i="1"/>
  <c r="G164" i="1"/>
  <c r="D165" i="1"/>
  <c r="G165" i="1"/>
  <c r="D166" i="1"/>
  <c r="G166" i="1"/>
  <c r="D167" i="1"/>
  <c r="G167" i="1"/>
  <c r="D168" i="1"/>
  <c r="G168" i="1"/>
  <c r="D169" i="1"/>
  <c r="G169" i="1"/>
  <c r="D170" i="1"/>
  <c r="G170" i="1"/>
  <c r="D171" i="1"/>
  <c r="G171" i="1"/>
  <c r="D172" i="1"/>
  <c r="G172" i="1"/>
  <c r="D173" i="1"/>
  <c r="G173" i="1"/>
  <c r="D174" i="1"/>
  <c r="G174" i="1"/>
  <c r="D175" i="1"/>
  <c r="G175" i="1"/>
  <c r="D176" i="1"/>
  <c r="G176" i="1"/>
  <c r="D177" i="1"/>
  <c r="G177" i="1"/>
  <c r="D178" i="1"/>
  <c r="G178" i="1"/>
  <c r="D179" i="1"/>
  <c r="G179" i="1"/>
  <c r="D180" i="1"/>
  <c r="G180" i="1"/>
  <c r="D181" i="1"/>
  <c r="G181" i="1"/>
  <c r="D182" i="1"/>
  <c r="G182" i="1"/>
  <c r="D183" i="1"/>
  <c r="G183" i="1"/>
  <c r="D184" i="1"/>
  <c r="G184" i="1"/>
  <c r="D185" i="1"/>
  <c r="G185" i="1"/>
  <c r="D186" i="1"/>
  <c r="G186" i="1"/>
  <c r="D187" i="1"/>
  <c r="G187" i="1"/>
  <c r="D188" i="1"/>
  <c r="G188" i="1"/>
  <c r="D189" i="1"/>
  <c r="G189" i="1"/>
  <c r="D190" i="1"/>
  <c r="G190" i="1"/>
  <c r="D191" i="1"/>
  <c r="G191" i="1"/>
  <c r="D192" i="1"/>
  <c r="G192" i="1"/>
  <c r="D193" i="1"/>
  <c r="G193" i="1"/>
  <c r="D194" i="1"/>
  <c r="G194" i="1"/>
  <c r="D195" i="1"/>
  <c r="G195" i="1"/>
  <c r="D196" i="1"/>
  <c r="G196" i="1"/>
  <c r="D197" i="1"/>
  <c r="G197" i="1"/>
  <c r="D198" i="1"/>
  <c r="G198" i="1"/>
  <c r="D199" i="1"/>
  <c r="G199" i="1"/>
  <c r="D200" i="1"/>
  <c r="G200" i="1"/>
  <c r="D201" i="1"/>
  <c r="G201" i="1"/>
  <c r="D202" i="1"/>
  <c r="G202" i="1"/>
  <c r="D203" i="1"/>
  <c r="G203" i="1"/>
  <c r="D204" i="1"/>
  <c r="G204" i="1"/>
  <c r="D205" i="1"/>
  <c r="G205" i="1"/>
  <c r="D206" i="1"/>
  <c r="G206" i="1"/>
  <c r="D207" i="1"/>
  <c r="G207" i="1"/>
  <c r="D208" i="1"/>
  <c r="G208" i="1"/>
  <c r="D209" i="1"/>
  <c r="G209" i="1"/>
  <c r="D210" i="1"/>
  <c r="G210" i="1"/>
  <c r="D211" i="1"/>
  <c r="G211" i="1"/>
  <c r="D212" i="1"/>
  <c r="G212" i="1"/>
  <c r="D213" i="1"/>
  <c r="G213" i="1"/>
  <c r="D214" i="1"/>
  <c r="G214" i="1"/>
  <c r="D215" i="1"/>
  <c r="G215" i="1"/>
  <c r="D216" i="1"/>
  <c r="G216" i="1"/>
  <c r="D217" i="1"/>
  <c r="G217" i="1"/>
  <c r="D218" i="1"/>
  <c r="G218" i="1"/>
  <c r="D219" i="1"/>
  <c r="G219" i="1"/>
  <c r="D220" i="1"/>
  <c r="G220" i="1"/>
  <c r="D221" i="1"/>
  <c r="G221" i="1"/>
  <c r="D222" i="1"/>
  <c r="G222" i="1"/>
  <c r="D223" i="1"/>
  <c r="G223" i="1"/>
  <c r="D224" i="1"/>
  <c r="G224" i="1"/>
  <c r="D225" i="1"/>
  <c r="G225" i="1"/>
  <c r="D226" i="1"/>
  <c r="G226" i="1"/>
  <c r="D227" i="1"/>
  <c r="G227" i="1"/>
  <c r="D228" i="1"/>
  <c r="G228" i="1"/>
  <c r="D229" i="1"/>
  <c r="G229" i="1"/>
  <c r="D230" i="1"/>
  <c r="G230" i="1"/>
  <c r="D231" i="1"/>
  <c r="G231" i="1"/>
  <c r="D232" i="1"/>
  <c r="G232" i="1"/>
  <c r="D233" i="1"/>
  <c r="G233" i="1"/>
  <c r="D234" i="1"/>
  <c r="G234" i="1"/>
  <c r="D235" i="1"/>
  <c r="G235" i="1"/>
  <c r="D236" i="1"/>
  <c r="G236" i="1"/>
  <c r="D237" i="1"/>
  <c r="G237" i="1"/>
  <c r="D238" i="1"/>
  <c r="G238" i="1"/>
  <c r="D239" i="1"/>
  <c r="G239" i="1"/>
  <c r="D240" i="1"/>
  <c r="G240" i="1"/>
  <c r="D241" i="1"/>
  <c r="G241" i="1"/>
  <c r="D242" i="1"/>
  <c r="G242" i="1"/>
  <c r="D243" i="1"/>
  <c r="G243" i="1"/>
  <c r="D244" i="1"/>
  <c r="G244" i="1"/>
  <c r="D245" i="1"/>
  <c r="G245" i="1"/>
  <c r="D246" i="1"/>
  <c r="G246" i="1"/>
  <c r="D247" i="1"/>
  <c r="G247" i="1"/>
  <c r="D248" i="1"/>
  <c r="G248" i="1"/>
  <c r="D249" i="1"/>
  <c r="G249" i="1"/>
  <c r="D250" i="1"/>
  <c r="G250" i="1"/>
  <c r="D251" i="1"/>
  <c r="G251" i="1"/>
  <c r="D252" i="1"/>
  <c r="G252" i="1"/>
  <c r="D253" i="1"/>
  <c r="G253" i="1"/>
  <c r="D254" i="1"/>
  <c r="G254" i="1"/>
  <c r="D255" i="1"/>
  <c r="G255" i="1"/>
  <c r="D256" i="1"/>
  <c r="G256" i="1"/>
  <c r="D257" i="1"/>
  <c r="G257" i="1"/>
  <c r="D258" i="1"/>
  <c r="G258" i="1"/>
  <c r="D259" i="1"/>
  <c r="G259" i="1"/>
  <c r="D260" i="1"/>
  <c r="G260" i="1"/>
  <c r="D261" i="1"/>
  <c r="G261" i="1"/>
  <c r="D262" i="1"/>
  <c r="G262" i="1"/>
  <c r="D263" i="1"/>
  <c r="G263" i="1"/>
  <c r="D264" i="1"/>
  <c r="G264" i="1"/>
  <c r="D265" i="1"/>
  <c r="G265" i="1"/>
  <c r="D266" i="1"/>
  <c r="G266" i="1"/>
  <c r="D267" i="1"/>
  <c r="G267" i="1"/>
  <c r="D268" i="1"/>
  <c r="G268" i="1"/>
  <c r="D269" i="1"/>
  <c r="G269" i="1"/>
  <c r="D270" i="1"/>
  <c r="G270" i="1"/>
  <c r="D271" i="1"/>
  <c r="G271" i="1"/>
  <c r="D272" i="1"/>
  <c r="G272" i="1"/>
  <c r="D273" i="1"/>
  <c r="G273" i="1"/>
  <c r="D274" i="1"/>
  <c r="G274" i="1"/>
  <c r="D275" i="1"/>
  <c r="G275" i="1"/>
  <c r="D276" i="1"/>
  <c r="G276" i="1"/>
  <c r="D277" i="1"/>
  <c r="G277" i="1"/>
  <c r="D278" i="1"/>
  <c r="G278" i="1"/>
  <c r="D279" i="1"/>
  <c r="G279" i="1"/>
  <c r="D280" i="1"/>
  <c r="G280" i="1"/>
  <c r="D281" i="1"/>
  <c r="G281" i="1"/>
  <c r="D282" i="1"/>
  <c r="G282" i="1"/>
  <c r="D283" i="1"/>
  <c r="G283" i="1"/>
  <c r="D284" i="1"/>
  <c r="G284" i="1"/>
  <c r="D285" i="1"/>
  <c r="G285" i="1"/>
  <c r="D286" i="1"/>
  <c r="G286" i="1"/>
  <c r="D287" i="1"/>
  <c r="G287" i="1"/>
  <c r="D288" i="1"/>
  <c r="G288" i="1"/>
  <c r="D289" i="1"/>
  <c r="G289" i="1"/>
  <c r="D290" i="1"/>
  <c r="G290" i="1"/>
  <c r="D291" i="1"/>
  <c r="G291" i="1"/>
  <c r="D292" i="1"/>
  <c r="G292" i="1"/>
  <c r="D293" i="1"/>
  <c r="G293" i="1"/>
  <c r="D294" i="1"/>
  <c r="G294" i="1"/>
  <c r="D295" i="1"/>
  <c r="G295" i="1"/>
  <c r="D296" i="1"/>
  <c r="G296" i="1"/>
  <c r="D297" i="1"/>
  <c r="G297" i="1"/>
  <c r="D298" i="1"/>
  <c r="G298" i="1"/>
  <c r="D299" i="1"/>
  <c r="G299" i="1"/>
  <c r="D300" i="1"/>
  <c r="G300" i="1"/>
  <c r="D301" i="1"/>
  <c r="G301" i="1"/>
  <c r="D302" i="1"/>
  <c r="G302" i="1"/>
  <c r="D303" i="1"/>
  <c r="G303" i="1"/>
  <c r="D304" i="1"/>
  <c r="G304" i="1"/>
  <c r="D305" i="1"/>
  <c r="G305" i="1"/>
  <c r="D306" i="1"/>
  <c r="G306" i="1"/>
  <c r="D307" i="1"/>
  <c r="G307" i="1"/>
  <c r="D308" i="1"/>
  <c r="G308" i="1"/>
  <c r="D309" i="1"/>
  <c r="G309" i="1"/>
  <c r="D310" i="1"/>
  <c r="G310" i="1"/>
  <c r="D311" i="1"/>
  <c r="G311" i="1"/>
  <c r="D312" i="1"/>
  <c r="G312" i="1"/>
  <c r="D313" i="1"/>
  <c r="G313" i="1"/>
  <c r="D314" i="1"/>
  <c r="G314" i="1"/>
  <c r="D315" i="1"/>
  <c r="G315" i="1"/>
  <c r="D316" i="1"/>
  <c r="G316" i="1"/>
  <c r="D317" i="1"/>
  <c r="G317" i="1"/>
  <c r="D318" i="1"/>
  <c r="G318" i="1"/>
  <c r="D319" i="1"/>
  <c r="G319" i="1"/>
  <c r="D320" i="1"/>
  <c r="G320" i="1"/>
  <c r="D321" i="1"/>
  <c r="G321" i="1"/>
  <c r="D322" i="1"/>
  <c r="G322" i="1"/>
  <c r="D323" i="1"/>
  <c r="G323" i="1"/>
  <c r="D324" i="1"/>
  <c r="G324" i="1"/>
  <c r="D325" i="1"/>
  <c r="G325" i="1"/>
  <c r="D326" i="1"/>
  <c r="G326" i="1"/>
  <c r="D327" i="1"/>
  <c r="G327" i="1"/>
  <c r="D328" i="1"/>
  <c r="G328" i="1"/>
  <c r="D329" i="1"/>
  <c r="G329" i="1"/>
  <c r="D330" i="1"/>
  <c r="G330" i="1"/>
  <c r="D331" i="1"/>
  <c r="G331" i="1"/>
  <c r="D332" i="1"/>
  <c r="G332" i="1"/>
  <c r="D333" i="1"/>
  <c r="G333" i="1"/>
  <c r="D334" i="1"/>
  <c r="G334" i="1"/>
  <c r="D335" i="1"/>
  <c r="G335" i="1"/>
  <c r="D336" i="1"/>
  <c r="G336" i="1"/>
  <c r="D337" i="1"/>
  <c r="G337" i="1"/>
  <c r="D338" i="1"/>
  <c r="G338" i="1"/>
  <c r="D339" i="1"/>
  <c r="G339" i="1"/>
  <c r="D340" i="1"/>
  <c r="G340" i="1"/>
  <c r="D341" i="1"/>
  <c r="G341" i="1"/>
  <c r="D342" i="1"/>
  <c r="G342" i="1"/>
  <c r="D343" i="1"/>
  <c r="G343" i="1"/>
  <c r="D344" i="1"/>
  <c r="G344" i="1"/>
  <c r="D345" i="1"/>
  <c r="G345" i="1"/>
  <c r="D346" i="1"/>
  <c r="G346" i="1"/>
  <c r="D347" i="1"/>
  <c r="G347" i="1"/>
  <c r="D348" i="1"/>
  <c r="G348" i="1"/>
  <c r="D349" i="1"/>
  <c r="G349" i="1"/>
  <c r="D350" i="1"/>
  <c r="G350" i="1"/>
  <c r="D351" i="1"/>
  <c r="G351" i="1"/>
  <c r="D352" i="1"/>
  <c r="G352" i="1"/>
  <c r="D353" i="1"/>
  <c r="G353" i="1"/>
  <c r="D354" i="1"/>
  <c r="G354" i="1"/>
  <c r="D355" i="1"/>
  <c r="G355" i="1"/>
  <c r="D356" i="1"/>
  <c r="G356" i="1"/>
  <c r="D357" i="1"/>
  <c r="G357" i="1"/>
  <c r="D358" i="1"/>
  <c r="G358" i="1"/>
  <c r="D359" i="1"/>
  <c r="G359" i="1"/>
  <c r="D360" i="1"/>
  <c r="G360" i="1"/>
  <c r="D361" i="1"/>
  <c r="G361" i="1"/>
  <c r="D362" i="1"/>
  <c r="G362" i="1"/>
  <c r="D363" i="1"/>
  <c r="G363" i="1"/>
  <c r="D364" i="1"/>
  <c r="G364" i="1"/>
  <c r="D365" i="1"/>
  <c r="G365" i="1"/>
  <c r="D366" i="1"/>
  <c r="G366" i="1"/>
  <c r="D367" i="1"/>
  <c r="G367" i="1"/>
  <c r="D368" i="1"/>
  <c r="G368" i="1"/>
  <c r="D369" i="1"/>
  <c r="G369" i="1"/>
  <c r="D370" i="1"/>
  <c r="G370" i="1"/>
  <c r="D371" i="1"/>
  <c r="G371" i="1"/>
  <c r="D372" i="1"/>
  <c r="G372" i="1"/>
  <c r="D373" i="1"/>
  <c r="G373" i="1"/>
  <c r="D374" i="1"/>
  <c r="G374" i="1"/>
  <c r="D375" i="1"/>
  <c r="G375" i="1"/>
  <c r="D376" i="1"/>
  <c r="G376" i="1"/>
  <c r="D377" i="1"/>
  <c r="G377" i="1"/>
  <c r="D378" i="1"/>
  <c r="G378" i="1"/>
  <c r="D379" i="1"/>
  <c r="G379" i="1"/>
  <c r="D380" i="1"/>
  <c r="G380" i="1"/>
  <c r="D381" i="1"/>
  <c r="G381" i="1"/>
  <c r="D382" i="1"/>
  <c r="G382" i="1"/>
  <c r="D383" i="1"/>
  <c r="G383" i="1"/>
  <c r="D384" i="1"/>
  <c r="G384" i="1"/>
  <c r="D385" i="1"/>
  <c r="G385" i="1"/>
  <c r="D386" i="1"/>
  <c r="G386" i="1"/>
  <c r="D387" i="1"/>
  <c r="G387" i="1"/>
  <c r="D388" i="1"/>
  <c r="G388" i="1"/>
  <c r="D389" i="1"/>
  <c r="G389" i="1"/>
  <c r="D390" i="1"/>
  <c r="G390" i="1"/>
  <c r="D391" i="1"/>
  <c r="G391" i="1"/>
  <c r="D392" i="1"/>
  <c r="G392" i="1"/>
  <c r="D393" i="1"/>
  <c r="G393" i="1"/>
  <c r="D394" i="1"/>
  <c r="G394" i="1"/>
  <c r="D395" i="1"/>
  <c r="G395" i="1"/>
  <c r="D396" i="1"/>
  <c r="G396" i="1"/>
  <c r="D397" i="1"/>
  <c r="G397" i="1"/>
  <c r="D398" i="1"/>
  <c r="G398" i="1"/>
  <c r="D399" i="1"/>
  <c r="G399" i="1"/>
  <c r="D400" i="1"/>
  <c r="G400" i="1"/>
  <c r="D401" i="1"/>
  <c r="G401" i="1"/>
  <c r="D402" i="1"/>
  <c r="G402" i="1"/>
  <c r="D403" i="1"/>
  <c r="G403" i="1"/>
  <c r="D404" i="1"/>
  <c r="G404" i="1"/>
  <c r="D405" i="1"/>
  <c r="G405" i="1"/>
  <c r="D406" i="1"/>
  <c r="G406" i="1"/>
  <c r="D407" i="1"/>
  <c r="G407" i="1"/>
  <c r="D408" i="1"/>
  <c r="G408" i="1"/>
  <c r="D409" i="1"/>
  <c r="G409" i="1"/>
  <c r="D410" i="1"/>
  <c r="G410" i="1"/>
  <c r="D411" i="1"/>
  <c r="G411" i="1"/>
  <c r="D412" i="1"/>
  <c r="G412" i="1"/>
  <c r="D413" i="1"/>
  <c r="G413" i="1"/>
  <c r="D414" i="1"/>
  <c r="G414" i="1"/>
  <c r="D415" i="1"/>
  <c r="G415" i="1"/>
  <c r="D416" i="1"/>
  <c r="G416" i="1"/>
  <c r="D417" i="1"/>
  <c r="G417" i="1"/>
  <c r="D418" i="1"/>
  <c r="G418" i="1"/>
  <c r="D419" i="1"/>
  <c r="G419" i="1"/>
  <c r="D420" i="1"/>
  <c r="G420" i="1"/>
  <c r="D421" i="1"/>
  <c r="G421" i="1"/>
  <c r="D422" i="1"/>
  <c r="G422" i="1"/>
  <c r="D423" i="1"/>
  <c r="G423" i="1"/>
  <c r="D424" i="1"/>
  <c r="G424" i="1"/>
  <c r="D425" i="1"/>
  <c r="G425" i="1"/>
  <c r="D426" i="1"/>
  <c r="G426" i="1"/>
  <c r="D427" i="1"/>
  <c r="G427" i="1"/>
  <c r="D428" i="1"/>
  <c r="G428" i="1"/>
  <c r="D429" i="1"/>
  <c r="G429" i="1"/>
  <c r="D430" i="1"/>
  <c r="G430" i="1"/>
  <c r="D431" i="1"/>
  <c r="G431" i="1"/>
  <c r="D432" i="1"/>
  <c r="G432" i="1"/>
  <c r="D433" i="1"/>
  <c r="G433" i="1"/>
  <c r="D434" i="1"/>
  <c r="G434" i="1"/>
  <c r="D435" i="1"/>
  <c r="G435" i="1"/>
  <c r="D436" i="1"/>
  <c r="G436" i="1"/>
  <c r="D437" i="1"/>
  <c r="G437" i="1"/>
  <c r="D438" i="1"/>
  <c r="G438" i="1"/>
  <c r="D439" i="1"/>
  <c r="G439" i="1"/>
  <c r="D440" i="1"/>
  <c r="G440" i="1"/>
  <c r="D441" i="1"/>
  <c r="G441" i="1"/>
  <c r="D442" i="1"/>
  <c r="G442" i="1"/>
  <c r="D443" i="1"/>
  <c r="G443" i="1"/>
  <c r="D444" i="1"/>
  <c r="G444" i="1"/>
  <c r="D445" i="1"/>
  <c r="G445" i="1"/>
  <c r="D446" i="1"/>
  <c r="G446" i="1"/>
  <c r="D447" i="1"/>
  <c r="G447" i="1"/>
  <c r="D448" i="1"/>
  <c r="G448" i="1"/>
  <c r="D449" i="1"/>
  <c r="G449" i="1"/>
  <c r="D450" i="1"/>
  <c r="G450" i="1"/>
  <c r="D451" i="1"/>
  <c r="G451" i="1"/>
  <c r="D452" i="1"/>
  <c r="G452" i="1"/>
  <c r="D453" i="1"/>
  <c r="G453" i="1"/>
  <c r="D454" i="1"/>
  <c r="G454" i="1"/>
  <c r="D455" i="1"/>
  <c r="G455" i="1"/>
  <c r="D456" i="1"/>
  <c r="G456" i="1"/>
  <c r="D457" i="1"/>
  <c r="G457" i="1"/>
  <c r="D458" i="1"/>
  <c r="G458" i="1"/>
  <c r="D459" i="1"/>
  <c r="G459" i="1"/>
  <c r="D460" i="1"/>
  <c r="G460" i="1"/>
  <c r="D461" i="1"/>
  <c r="G461" i="1"/>
  <c r="D462" i="1"/>
  <c r="G462" i="1"/>
  <c r="D463" i="1"/>
  <c r="G463" i="1"/>
  <c r="D464" i="1"/>
  <c r="G464" i="1"/>
  <c r="D465" i="1"/>
  <c r="G465" i="1"/>
  <c r="D466" i="1"/>
  <c r="G466" i="1"/>
  <c r="D467" i="1"/>
  <c r="G467" i="1"/>
  <c r="D468" i="1"/>
  <c r="G468" i="1"/>
  <c r="D469" i="1"/>
  <c r="G469" i="1"/>
  <c r="D470" i="1"/>
  <c r="G470" i="1"/>
  <c r="D471" i="1"/>
  <c r="G471" i="1"/>
  <c r="D472" i="1"/>
  <c r="G472" i="1"/>
  <c r="D473" i="1"/>
  <c r="G473" i="1"/>
  <c r="D474" i="1"/>
  <c r="G474" i="1"/>
  <c r="D475" i="1"/>
  <c r="G475" i="1"/>
  <c r="D476" i="1"/>
  <c r="G476" i="1"/>
  <c r="D477" i="1"/>
  <c r="G477" i="1"/>
  <c r="D478" i="1"/>
  <c r="G478" i="1"/>
  <c r="D479" i="1"/>
  <c r="G479" i="1"/>
  <c r="D480" i="1"/>
  <c r="G480" i="1"/>
  <c r="D481" i="1"/>
  <c r="G481" i="1"/>
  <c r="D482" i="1"/>
  <c r="G482" i="1"/>
  <c r="D483" i="1"/>
  <c r="G483" i="1"/>
  <c r="D484" i="1"/>
  <c r="G484" i="1"/>
  <c r="D485" i="1"/>
  <c r="G485" i="1"/>
  <c r="D486" i="1"/>
  <c r="G486" i="1"/>
  <c r="D487" i="1"/>
  <c r="G487" i="1"/>
  <c r="D488" i="1"/>
  <c r="G488" i="1"/>
  <c r="D489" i="1"/>
  <c r="G489" i="1"/>
  <c r="D490" i="1"/>
  <c r="G490" i="1"/>
  <c r="D491" i="1"/>
  <c r="G491" i="1"/>
  <c r="D492" i="1"/>
  <c r="G492" i="1"/>
  <c r="D493" i="1"/>
  <c r="G493" i="1"/>
  <c r="D494" i="1"/>
  <c r="G494" i="1"/>
  <c r="D495" i="1"/>
  <c r="G495" i="1"/>
  <c r="D496" i="1"/>
  <c r="G496" i="1"/>
  <c r="D497" i="1"/>
  <c r="G497" i="1"/>
  <c r="D498" i="1"/>
  <c r="G498" i="1"/>
  <c r="D499" i="1"/>
  <c r="G499" i="1"/>
  <c r="D500" i="1"/>
  <c r="G500" i="1"/>
  <c r="D501" i="1"/>
  <c r="G501" i="1"/>
  <c r="D502" i="1"/>
  <c r="G502" i="1"/>
  <c r="D503" i="1"/>
  <c r="G503" i="1"/>
  <c r="D504" i="1"/>
  <c r="G504" i="1"/>
  <c r="D505" i="1"/>
  <c r="G505" i="1"/>
  <c r="D506" i="1"/>
  <c r="G506" i="1"/>
  <c r="D507" i="1"/>
  <c r="G507" i="1"/>
  <c r="D508" i="1"/>
  <c r="G508" i="1"/>
  <c r="D509" i="1"/>
  <c r="G509" i="1"/>
  <c r="D510" i="1"/>
  <c r="G510" i="1"/>
  <c r="D511" i="1"/>
  <c r="G511" i="1"/>
  <c r="D512" i="1"/>
  <c r="G512" i="1"/>
  <c r="D513" i="1"/>
  <c r="G513" i="1"/>
  <c r="D514" i="1"/>
  <c r="G514" i="1"/>
  <c r="D515" i="1"/>
  <c r="G515" i="1"/>
  <c r="D516" i="1"/>
  <c r="G516" i="1"/>
  <c r="D517" i="1"/>
  <c r="G517" i="1"/>
  <c r="D518" i="1"/>
  <c r="G518" i="1"/>
  <c r="D519" i="1"/>
  <c r="G519" i="1"/>
  <c r="D520" i="1"/>
  <c r="G520" i="1"/>
  <c r="D521" i="1"/>
  <c r="G521" i="1"/>
  <c r="D522" i="1"/>
  <c r="G522" i="1"/>
  <c r="D523" i="1"/>
  <c r="G523" i="1"/>
  <c r="D524" i="1"/>
  <c r="G524" i="1"/>
  <c r="D525" i="1"/>
  <c r="G525" i="1"/>
  <c r="D526" i="1"/>
  <c r="G526" i="1"/>
  <c r="D527" i="1"/>
  <c r="G527" i="1"/>
  <c r="D528" i="1"/>
  <c r="G528" i="1"/>
  <c r="D529" i="1"/>
  <c r="G529" i="1"/>
  <c r="D530" i="1"/>
  <c r="G530" i="1"/>
  <c r="D531" i="1"/>
  <c r="G531" i="1"/>
  <c r="D532" i="1"/>
  <c r="G532" i="1"/>
  <c r="D533" i="1"/>
  <c r="G533" i="1"/>
  <c r="D534" i="1"/>
  <c r="G534" i="1"/>
  <c r="D535" i="1"/>
  <c r="G535" i="1"/>
  <c r="D536" i="1"/>
  <c r="G536" i="1"/>
  <c r="D537" i="1"/>
  <c r="G537" i="1"/>
  <c r="D538" i="1"/>
  <c r="G538" i="1"/>
  <c r="D539" i="1"/>
  <c r="G539" i="1"/>
  <c r="D540" i="1"/>
  <c r="G540" i="1"/>
  <c r="D541" i="1"/>
  <c r="G541" i="1"/>
  <c r="D542" i="1"/>
  <c r="G542" i="1"/>
  <c r="D543" i="1"/>
  <c r="G543" i="1"/>
  <c r="D544" i="1"/>
  <c r="G544" i="1"/>
  <c r="D545" i="1"/>
  <c r="G545" i="1"/>
  <c r="D546" i="1"/>
  <c r="G546" i="1"/>
  <c r="D547" i="1"/>
  <c r="G547" i="1"/>
  <c r="D548" i="1"/>
  <c r="G548" i="1"/>
  <c r="D549" i="1"/>
  <c r="G549" i="1"/>
  <c r="D550" i="1"/>
  <c r="G550" i="1"/>
  <c r="D551" i="1"/>
  <c r="G551" i="1"/>
  <c r="D552" i="1"/>
  <c r="G552" i="1"/>
  <c r="D553" i="1"/>
  <c r="G553" i="1"/>
  <c r="D554" i="1"/>
  <c r="G554" i="1"/>
  <c r="D555" i="1"/>
  <c r="G555" i="1"/>
  <c r="D556" i="1"/>
  <c r="G556" i="1"/>
  <c r="D557" i="1"/>
  <c r="G557" i="1"/>
  <c r="D558" i="1"/>
  <c r="G558" i="1"/>
  <c r="D559" i="1"/>
  <c r="G559" i="1"/>
  <c r="D560" i="1"/>
  <c r="G560" i="1"/>
  <c r="D561" i="1"/>
  <c r="G561" i="1"/>
  <c r="D562" i="1"/>
  <c r="G562" i="1"/>
  <c r="D563" i="1"/>
  <c r="G563" i="1"/>
  <c r="D564" i="1"/>
  <c r="G564" i="1"/>
  <c r="D565" i="1"/>
  <c r="G565" i="1"/>
  <c r="D566" i="1"/>
  <c r="G566" i="1"/>
  <c r="D567" i="1"/>
  <c r="G567" i="1"/>
  <c r="D568" i="1"/>
  <c r="G568" i="1"/>
  <c r="D569" i="1"/>
  <c r="G569" i="1"/>
  <c r="D570" i="1"/>
  <c r="G570" i="1"/>
  <c r="D571" i="1"/>
  <c r="G571" i="1"/>
  <c r="D572" i="1"/>
  <c r="G572" i="1"/>
  <c r="D573" i="1"/>
  <c r="G573" i="1"/>
  <c r="D574" i="1"/>
  <c r="G574" i="1"/>
  <c r="D575" i="1"/>
  <c r="G575" i="1"/>
  <c r="D576" i="1"/>
  <c r="G576" i="1"/>
  <c r="D577" i="1"/>
  <c r="G577" i="1"/>
  <c r="D578" i="1"/>
  <c r="G578" i="1"/>
  <c r="D579" i="1"/>
  <c r="G579" i="1"/>
  <c r="D580" i="1"/>
  <c r="G580" i="1"/>
  <c r="D581" i="1"/>
  <c r="G581" i="1"/>
  <c r="D582" i="1"/>
  <c r="G582" i="1"/>
  <c r="D583" i="1"/>
  <c r="G583" i="1"/>
  <c r="D584" i="1"/>
  <c r="G584" i="1"/>
  <c r="D585" i="1"/>
  <c r="G585" i="1"/>
  <c r="D586" i="1"/>
  <c r="G586" i="1"/>
  <c r="D587" i="1"/>
  <c r="G587" i="1"/>
  <c r="D588" i="1"/>
  <c r="G588" i="1"/>
  <c r="D589" i="1"/>
  <c r="G589" i="1"/>
  <c r="D590" i="1"/>
  <c r="G590" i="1"/>
  <c r="D591" i="1"/>
  <c r="G591" i="1"/>
  <c r="D592" i="1"/>
  <c r="G592" i="1"/>
  <c r="D593" i="1"/>
  <c r="G593" i="1"/>
  <c r="D594" i="1"/>
  <c r="G594" i="1"/>
  <c r="D595" i="1"/>
  <c r="G595" i="1"/>
  <c r="D596" i="1"/>
  <c r="G596" i="1"/>
  <c r="D597" i="1"/>
  <c r="G597" i="1"/>
  <c r="D598" i="1"/>
  <c r="G598" i="1"/>
  <c r="D599" i="1"/>
  <c r="G599" i="1"/>
  <c r="D600" i="1"/>
  <c r="G600" i="1"/>
  <c r="D601" i="1"/>
  <c r="G601" i="1"/>
  <c r="D602" i="1"/>
  <c r="G602" i="1"/>
  <c r="D603" i="1"/>
  <c r="G603" i="1"/>
  <c r="D604" i="1"/>
  <c r="G604" i="1"/>
  <c r="D605" i="1"/>
  <c r="G605" i="1"/>
  <c r="D606" i="1"/>
  <c r="G606" i="1"/>
  <c r="D607" i="1"/>
  <c r="G607" i="1"/>
  <c r="D608" i="1"/>
  <c r="G608" i="1"/>
  <c r="D609" i="1"/>
  <c r="G609" i="1"/>
  <c r="D610" i="1"/>
  <c r="G610" i="1"/>
  <c r="D611" i="1"/>
  <c r="G611" i="1"/>
  <c r="D612" i="1"/>
  <c r="G612" i="1"/>
  <c r="D613" i="1"/>
  <c r="G613" i="1"/>
  <c r="D614" i="1"/>
  <c r="G614" i="1"/>
  <c r="D615" i="1"/>
  <c r="G615" i="1"/>
  <c r="D616" i="1"/>
  <c r="G616" i="1"/>
  <c r="D617" i="1"/>
  <c r="G617" i="1"/>
  <c r="D618" i="1"/>
  <c r="G618" i="1"/>
  <c r="D619" i="1"/>
  <c r="G619" i="1"/>
  <c r="D620" i="1"/>
  <c r="G620" i="1"/>
  <c r="D621" i="1"/>
  <c r="G621" i="1"/>
  <c r="D622" i="1"/>
  <c r="G622" i="1"/>
  <c r="D623" i="1"/>
  <c r="G623" i="1"/>
  <c r="D624" i="1"/>
  <c r="G624" i="1"/>
  <c r="D625" i="1"/>
  <c r="G625" i="1"/>
  <c r="D626" i="1"/>
  <c r="G626" i="1"/>
  <c r="D627" i="1"/>
  <c r="G627" i="1"/>
  <c r="D628" i="1"/>
  <c r="G628" i="1"/>
  <c r="D629" i="1"/>
  <c r="G629" i="1"/>
  <c r="D630" i="1"/>
  <c r="G630" i="1"/>
  <c r="D631" i="1"/>
  <c r="G631" i="1"/>
  <c r="D632" i="1"/>
  <c r="G632" i="1"/>
  <c r="D633" i="1"/>
  <c r="G633" i="1"/>
  <c r="D634" i="1"/>
  <c r="G634" i="1"/>
  <c r="D635" i="1"/>
  <c r="G635" i="1"/>
  <c r="D636" i="1"/>
  <c r="G636" i="1"/>
  <c r="D637" i="1"/>
  <c r="G637" i="1"/>
  <c r="D638" i="1"/>
  <c r="G638" i="1"/>
  <c r="D639" i="1"/>
  <c r="G639" i="1"/>
  <c r="D640" i="1"/>
  <c r="G640" i="1"/>
  <c r="D641" i="1"/>
  <c r="G641" i="1"/>
  <c r="D642" i="1"/>
  <c r="G642" i="1"/>
  <c r="D643" i="1"/>
  <c r="G643" i="1"/>
  <c r="D644" i="1"/>
  <c r="G644" i="1"/>
  <c r="D645" i="1"/>
  <c r="G645" i="1"/>
  <c r="D646" i="1"/>
  <c r="G646" i="1"/>
  <c r="D647" i="1"/>
  <c r="G647" i="1"/>
  <c r="D648" i="1"/>
  <c r="G648" i="1"/>
  <c r="D649" i="1"/>
  <c r="G649" i="1"/>
  <c r="D650" i="1"/>
  <c r="G650" i="1"/>
  <c r="D651" i="1"/>
  <c r="G651" i="1"/>
  <c r="D652" i="1"/>
  <c r="G652" i="1"/>
  <c r="D653" i="1"/>
  <c r="G653" i="1"/>
  <c r="D654" i="1"/>
  <c r="G654" i="1"/>
  <c r="D655" i="1"/>
  <c r="G655" i="1"/>
  <c r="D656" i="1"/>
  <c r="G656" i="1"/>
  <c r="D657" i="1"/>
  <c r="G657" i="1"/>
  <c r="D658" i="1"/>
  <c r="G658" i="1"/>
  <c r="D659" i="1"/>
  <c r="G659" i="1"/>
  <c r="D660" i="1"/>
  <c r="G660" i="1"/>
  <c r="D661" i="1"/>
  <c r="G661" i="1"/>
  <c r="D662" i="1"/>
  <c r="G662" i="1"/>
  <c r="D663" i="1"/>
  <c r="G663" i="1"/>
  <c r="D664" i="1"/>
  <c r="G664" i="1"/>
  <c r="D665" i="1"/>
  <c r="G665" i="1"/>
  <c r="D666" i="1"/>
  <c r="G666" i="1"/>
  <c r="D667" i="1"/>
  <c r="G667" i="1"/>
  <c r="D668" i="1"/>
  <c r="G668" i="1"/>
  <c r="D669" i="1"/>
  <c r="G669" i="1"/>
  <c r="D670" i="1"/>
  <c r="G670" i="1"/>
  <c r="D671" i="1"/>
  <c r="G671" i="1"/>
  <c r="D672" i="1"/>
  <c r="G672" i="1"/>
  <c r="D673" i="1"/>
  <c r="G673" i="1"/>
  <c r="D674" i="1"/>
  <c r="G674" i="1"/>
  <c r="D675" i="1"/>
  <c r="G675" i="1"/>
  <c r="D676" i="1"/>
  <c r="G676" i="1"/>
  <c r="D677" i="1"/>
  <c r="G677" i="1"/>
  <c r="D678" i="1"/>
  <c r="G678" i="1"/>
  <c r="D679" i="1"/>
  <c r="G679" i="1"/>
  <c r="D680" i="1"/>
  <c r="G680" i="1"/>
  <c r="D681" i="1"/>
  <c r="G681" i="1"/>
  <c r="D682" i="1"/>
  <c r="G682" i="1"/>
  <c r="D683" i="1"/>
  <c r="G683" i="1"/>
  <c r="D684" i="1"/>
  <c r="G684" i="1"/>
  <c r="D685" i="1"/>
  <c r="G685" i="1"/>
  <c r="D686" i="1"/>
  <c r="G686" i="1"/>
  <c r="D687" i="1"/>
  <c r="G687" i="1"/>
  <c r="D688" i="1"/>
  <c r="G688" i="1"/>
  <c r="D689" i="1"/>
  <c r="G689" i="1"/>
  <c r="D690" i="1"/>
  <c r="G690" i="1"/>
  <c r="D691" i="1"/>
  <c r="G691" i="1"/>
  <c r="D692" i="1"/>
  <c r="G692" i="1"/>
  <c r="D693" i="1"/>
  <c r="G693" i="1"/>
  <c r="D694" i="1"/>
  <c r="G694" i="1"/>
  <c r="D695" i="1"/>
  <c r="G695" i="1"/>
  <c r="D696" i="1"/>
  <c r="G696" i="1"/>
  <c r="D697" i="1"/>
  <c r="G697" i="1"/>
  <c r="D698" i="1"/>
  <c r="G698" i="1"/>
  <c r="D699" i="1"/>
  <c r="G699" i="1"/>
  <c r="D700" i="1"/>
  <c r="G700" i="1"/>
  <c r="D701" i="1"/>
  <c r="G701" i="1"/>
  <c r="D702" i="1"/>
  <c r="G702" i="1"/>
  <c r="D703" i="1"/>
  <c r="G703" i="1"/>
  <c r="D704" i="1"/>
  <c r="G704" i="1"/>
  <c r="D705" i="1"/>
  <c r="G705" i="1"/>
  <c r="D706" i="1"/>
  <c r="G706" i="1"/>
  <c r="D707" i="1"/>
  <c r="G707" i="1"/>
  <c r="D708" i="1"/>
  <c r="G708" i="1"/>
  <c r="D709" i="1"/>
  <c r="G709" i="1"/>
  <c r="D710" i="1"/>
  <c r="G710" i="1"/>
  <c r="D711" i="1"/>
  <c r="G711" i="1"/>
  <c r="D712" i="1"/>
  <c r="G712" i="1"/>
  <c r="D713" i="1"/>
  <c r="G713" i="1"/>
  <c r="D714" i="1"/>
  <c r="G714" i="1"/>
  <c r="D715" i="1"/>
  <c r="G715" i="1"/>
  <c r="D716" i="1"/>
  <c r="G716" i="1"/>
  <c r="D717" i="1"/>
  <c r="G717" i="1"/>
  <c r="D718" i="1"/>
  <c r="G718" i="1"/>
  <c r="D719" i="1"/>
  <c r="G719" i="1"/>
  <c r="D720" i="1"/>
  <c r="G720" i="1"/>
  <c r="D721" i="1"/>
  <c r="G721" i="1"/>
  <c r="D722" i="1"/>
  <c r="G722" i="1"/>
  <c r="D723" i="1"/>
  <c r="G723" i="1"/>
  <c r="D724" i="1"/>
  <c r="G724" i="1"/>
  <c r="D725" i="1"/>
  <c r="G725" i="1"/>
  <c r="D726" i="1"/>
  <c r="G726" i="1"/>
  <c r="D727" i="1"/>
  <c r="G727" i="1"/>
  <c r="D728" i="1"/>
  <c r="G728" i="1"/>
  <c r="D729" i="1"/>
  <c r="G729" i="1"/>
  <c r="D730" i="1"/>
  <c r="G730" i="1"/>
  <c r="D731" i="1"/>
  <c r="G731" i="1"/>
  <c r="D732" i="1"/>
  <c r="G732" i="1"/>
  <c r="D733" i="1"/>
  <c r="G733" i="1"/>
  <c r="D734" i="1"/>
  <c r="G734" i="1"/>
  <c r="D735" i="1"/>
  <c r="G735" i="1"/>
  <c r="D736" i="1"/>
  <c r="G736" i="1"/>
  <c r="D737" i="1"/>
  <c r="G737" i="1"/>
  <c r="D738" i="1"/>
  <c r="G738" i="1"/>
  <c r="D739" i="1"/>
  <c r="G739" i="1"/>
  <c r="D740" i="1"/>
  <c r="G740" i="1"/>
  <c r="D741" i="1"/>
  <c r="G741" i="1"/>
  <c r="D742" i="1"/>
  <c r="G742" i="1"/>
  <c r="D743" i="1"/>
  <c r="G743" i="1"/>
  <c r="D744" i="1"/>
  <c r="G744" i="1"/>
  <c r="D745" i="1"/>
  <c r="G745" i="1"/>
  <c r="D746" i="1"/>
  <c r="G746" i="1"/>
  <c r="D747" i="1"/>
  <c r="G747" i="1"/>
  <c r="D748" i="1"/>
  <c r="G748" i="1"/>
  <c r="D749" i="1"/>
  <c r="G749" i="1"/>
  <c r="D750" i="1"/>
  <c r="G750" i="1"/>
  <c r="D751" i="1"/>
  <c r="G751" i="1"/>
  <c r="D752" i="1"/>
  <c r="G752" i="1"/>
  <c r="D753" i="1"/>
  <c r="G753" i="1"/>
  <c r="D754" i="1"/>
  <c r="G754" i="1"/>
  <c r="D755" i="1"/>
  <c r="G755" i="1"/>
  <c r="D756" i="1"/>
  <c r="G756" i="1"/>
  <c r="D757" i="1"/>
  <c r="G757" i="1"/>
  <c r="D758" i="1"/>
  <c r="G758" i="1"/>
  <c r="D759" i="1"/>
  <c r="G759" i="1"/>
  <c r="D760" i="1"/>
  <c r="G760" i="1"/>
  <c r="D761" i="1"/>
  <c r="G761" i="1"/>
  <c r="D762" i="1"/>
  <c r="G762" i="1"/>
  <c r="D763" i="1"/>
  <c r="G763" i="1"/>
  <c r="D764" i="1"/>
  <c r="G764" i="1"/>
  <c r="D765" i="1"/>
  <c r="G765" i="1"/>
  <c r="D766" i="1"/>
  <c r="G766" i="1"/>
  <c r="D767" i="1"/>
  <c r="G767" i="1"/>
  <c r="D768" i="1"/>
  <c r="G768" i="1"/>
  <c r="D769" i="1"/>
  <c r="G769" i="1"/>
  <c r="D770" i="1"/>
  <c r="G770" i="1"/>
  <c r="D771" i="1"/>
  <c r="G771" i="1"/>
  <c r="D772" i="1"/>
  <c r="G772" i="1"/>
  <c r="D773" i="1"/>
  <c r="G773" i="1"/>
  <c r="D774" i="1"/>
  <c r="G774" i="1"/>
  <c r="D775" i="1"/>
  <c r="G775" i="1"/>
  <c r="D776" i="1"/>
  <c r="G776" i="1"/>
  <c r="D777" i="1"/>
  <c r="G777" i="1"/>
  <c r="D778" i="1"/>
  <c r="G778" i="1"/>
  <c r="D779" i="1"/>
  <c r="G779" i="1"/>
  <c r="D780" i="1"/>
  <c r="G780" i="1"/>
  <c r="D781" i="1"/>
  <c r="G781" i="1"/>
  <c r="D782" i="1"/>
  <c r="G782" i="1"/>
  <c r="D783" i="1"/>
  <c r="G783" i="1"/>
  <c r="D784" i="1"/>
  <c r="G784" i="1"/>
  <c r="D785" i="1"/>
  <c r="G785" i="1"/>
  <c r="D786" i="1"/>
  <c r="G786" i="1"/>
  <c r="D787" i="1"/>
  <c r="G787" i="1"/>
  <c r="D788" i="1"/>
  <c r="G788" i="1"/>
  <c r="D789" i="1"/>
  <c r="G789" i="1"/>
  <c r="D790" i="1"/>
  <c r="G790" i="1"/>
  <c r="D791" i="1"/>
  <c r="G791" i="1"/>
  <c r="D792" i="1"/>
  <c r="G792" i="1"/>
  <c r="D793" i="1"/>
  <c r="G793" i="1"/>
  <c r="D794" i="1"/>
  <c r="G794" i="1"/>
  <c r="D795" i="1"/>
  <c r="G795" i="1"/>
  <c r="D796" i="1"/>
  <c r="G796" i="1"/>
  <c r="D797" i="1"/>
  <c r="G797" i="1"/>
  <c r="D798" i="1"/>
  <c r="G798" i="1"/>
  <c r="D799" i="1"/>
  <c r="G799" i="1"/>
  <c r="D800" i="1"/>
  <c r="G800" i="1"/>
  <c r="D801" i="1"/>
  <c r="G801" i="1"/>
  <c r="D802" i="1"/>
  <c r="G802" i="1"/>
  <c r="D803" i="1"/>
  <c r="G803" i="1"/>
  <c r="D804" i="1"/>
  <c r="G804" i="1"/>
  <c r="D805" i="1"/>
  <c r="G805" i="1"/>
  <c r="D806" i="1"/>
  <c r="G806" i="1"/>
  <c r="D807" i="1"/>
  <c r="G807" i="1"/>
  <c r="D808" i="1"/>
  <c r="G808" i="1"/>
  <c r="D809" i="1"/>
  <c r="G809" i="1"/>
  <c r="D810" i="1"/>
  <c r="G810" i="1"/>
  <c r="D811" i="1"/>
  <c r="G811" i="1"/>
  <c r="D812" i="1"/>
  <c r="G812" i="1"/>
  <c r="D813" i="1"/>
  <c r="G813" i="1"/>
  <c r="D814" i="1"/>
  <c r="G814" i="1"/>
  <c r="D815" i="1"/>
  <c r="G815" i="1"/>
  <c r="D816" i="1"/>
  <c r="G816" i="1"/>
  <c r="D817" i="1"/>
  <c r="G817" i="1"/>
  <c r="D818" i="1"/>
  <c r="G818" i="1"/>
  <c r="D819" i="1"/>
  <c r="G819" i="1"/>
  <c r="D820" i="1"/>
  <c r="G820" i="1"/>
  <c r="D821" i="1"/>
  <c r="G821" i="1"/>
  <c r="D822" i="1"/>
  <c r="G822" i="1"/>
  <c r="D823" i="1"/>
  <c r="G823" i="1"/>
  <c r="D824" i="1"/>
  <c r="G824" i="1"/>
  <c r="D825" i="1"/>
  <c r="G825" i="1"/>
  <c r="D826" i="1"/>
  <c r="G826" i="1"/>
  <c r="D827" i="1"/>
  <c r="G827" i="1"/>
  <c r="D828" i="1"/>
  <c r="G828" i="1"/>
  <c r="D829" i="1"/>
  <c r="G829" i="1"/>
  <c r="D830" i="1"/>
  <c r="G830" i="1"/>
  <c r="D831" i="1"/>
  <c r="G831" i="1"/>
  <c r="D832" i="1"/>
  <c r="G832" i="1"/>
  <c r="D833" i="1"/>
  <c r="G833" i="1"/>
  <c r="D834" i="1"/>
  <c r="G834" i="1"/>
  <c r="D835" i="1"/>
  <c r="G835" i="1"/>
  <c r="D836" i="1"/>
  <c r="G836" i="1"/>
  <c r="D837" i="1"/>
  <c r="G837" i="1"/>
  <c r="D838" i="1"/>
  <c r="G838" i="1"/>
  <c r="D839" i="1"/>
  <c r="G839" i="1"/>
  <c r="D840" i="1"/>
  <c r="G840" i="1"/>
  <c r="D841" i="1"/>
  <c r="G841" i="1"/>
  <c r="D842" i="1"/>
  <c r="G842" i="1"/>
  <c r="D843" i="1"/>
  <c r="G843" i="1"/>
  <c r="D844" i="1"/>
  <c r="G844" i="1"/>
  <c r="D845" i="1"/>
  <c r="G845" i="1"/>
  <c r="D846" i="1"/>
  <c r="G846" i="1"/>
  <c r="D847" i="1"/>
  <c r="G847" i="1"/>
  <c r="D848" i="1"/>
  <c r="G848" i="1"/>
  <c r="D849" i="1"/>
  <c r="G849" i="1"/>
  <c r="D850" i="1"/>
  <c r="G850" i="1"/>
  <c r="D851" i="1"/>
  <c r="G851" i="1"/>
  <c r="D852" i="1"/>
  <c r="G852" i="1"/>
  <c r="D853" i="1"/>
  <c r="G853" i="1"/>
  <c r="D854" i="1"/>
  <c r="G854" i="1"/>
  <c r="D855" i="1"/>
  <c r="G855" i="1"/>
  <c r="D856" i="1"/>
  <c r="G856" i="1"/>
  <c r="D857" i="1"/>
  <c r="G857" i="1"/>
  <c r="D858" i="1"/>
  <c r="G858" i="1"/>
  <c r="D859" i="1"/>
  <c r="G859" i="1"/>
  <c r="D860" i="1"/>
  <c r="G860" i="1"/>
  <c r="D861" i="1"/>
  <c r="G861" i="1"/>
  <c r="D862" i="1"/>
  <c r="G862" i="1"/>
  <c r="D863" i="1"/>
  <c r="G863" i="1"/>
  <c r="D864" i="1"/>
  <c r="G864" i="1"/>
  <c r="D865" i="1"/>
  <c r="G865" i="1"/>
  <c r="D866" i="1"/>
  <c r="G866" i="1"/>
  <c r="D867" i="1"/>
  <c r="G867" i="1"/>
  <c r="D868" i="1"/>
  <c r="G868" i="1"/>
  <c r="D869" i="1"/>
  <c r="G869" i="1"/>
  <c r="D870" i="1"/>
  <c r="G870" i="1"/>
  <c r="D871" i="1"/>
  <c r="G871" i="1"/>
  <c r="D872" i="1"/>
  <c r="G872" i="1"/>
  <c r="D873" i="1"/>
  <c r="G873" i="1"/>
  <c r="D874" i="1"/>
  <c r="G874" i="1"/>
  <c r="D875" i="1"/>
  <c r="G875" i="1"/>
  <c r="D876" i="1"/>
  <c r="G876" i="1"/>
  <c r="D877" i="1"/>
  <c r="G877" i="1"/>
  <c r="D878" i="1"/>
  <c r="G878" i="1"/>
  <c r="D879" i="1"/>
  <c r="G879" i="1"/>
  <c r="D880" i="1"/>
  <c r="G880" i="1"/>
  <c r="D881" i="1"/>
  <c r="G881" i="1"/>
  <c r="D882" i="1"/>
  <c r="G882" i="1"/>
  <c r="D883" i="1"/>
  <c r="G883" i="1"/>
  <c r="D884" i="1"/>
  <c r="G884" i="1"/>
  <c r="D885" i="1"/>
  <c r="G885" i="1"/>
  <c r="D886" i="1"/>
  <c r="G886" i="1"/>
  <c r="D887" i="1"/>
  <c r="G887" i="1"/>
  <c r="D888" i="1"/>
  <c r="G888" i="1"/>
  <c r="D889" i="1"/>
  <c r="G889" i="1"/>
  <c r="D890" i="1"/>
  <c r="G890" i="1"/>
  <c r="D891" i="1"/>
  <c r="G891" i="1"/>
  <c r="D892" i="1"/>
  <c r="G892" i="1"/>
  <c r="D893" i="1"/>
  <c r="G893" i="1"/>
  <c r="D894" i="1"/>
  <c r="G894" i="1"/>
  <c r="D895" i="1"/>
  <c r="G895" i="1"/>
  <c r="D896" i="1"/>
  <c r="G896" i="1"/>
  <c r="D897" i="1"/>
  <c r="G897" i="1"/>
  <c r="D898" i="1"/>
  <c r="G898" i="1"/>
  <c r="D899" i="1"/>
  <c r="G899" i="1"/>
  <c r="D900" i="1"/>
  <c r="G900" i="1"/>
  <c r="D901" i="1"/>
  <c r="G901" i="1"/>
  <c r="D902" i="1"/>
  <c r="G902" i="1"/>
  <c r="D903" i="1"/>
  <c r="G903" i="1"/>
  <c r="D904" i="1"/>
  <c r="G904" i="1"/>
  <c r="D905" i="1"/>
  <c r="G905" i="1"/>
  <c r="D906" i="1"/>
  <c r="G906" i="1"/>
  <c r="D907" i="1"/>
  <c r="G907" i="1"/>
  <c r="D908" i="1"/>
  <c r="G908" i="1"/>
  <c r="D909" i="1"/>
  <c r="G909" i="1"/>
  <c r="D910" i="1"/>
  <c r="G910" i="1"/>
  <c r="D911" i="1"/>
  <c r="G911" i="1"/>
  <c r="D912" i="1"/>
  <c r="G912" i="1"/>
  <c r="D913" i="1"/>
  <c r="G913" i="1"/>
  <c r="D914" i="1"/>
  <c r="G914" i="1"/>
  <c r="D915" i="1"/>
  <c r="G915" i="1"/>
  <c r="D916" i="1"/>
  <c r="G916" i="1"/>
  <c r="D917" i="1"/>
  <c r="G917" i="1"/>
  <c r="D918" i="1"/>
  <c r="G918" i="1"/>
  <c r="D919" i="1"/>
  <c r="G919" i="1"/>
  <c r="D920" i="1"/>
  <c r="G920" i="1"/>
  <c r="D921" i="1"/>
  <c r="G921" i="1"/>
  <c r="D922" i="1"/>
  <c r="G922" i="1"/>
  <c r="D923" i="1"/>
  <c r="G923" i="1"/>
  <c r="D924" i="1"/>
  <c r="G924" i="1"/>
  <c r="D925" i="1"/>
  <c r="G925" i="1"/>
  <c r="D926" i="1"/>
  <c r="G926" i="1"/>
  <c r="D927" i="1"/>
  <c r="G927" i="1"/>
  <c r="D928" i="1"/>
  <c r="G928" i="1"/>
  <c r="D929" i="1"/>
  <c r="G929" i="1"/>
  <c r="D930" i="1"/>
  <c r="G930" i="1"/>
  <c r="D931" i="1"/>
  <c r="G931" i="1"/>
  <c r="D932" i="1"/>
  <c r="G932" i="1"/>
  <c r="D933" i="1"/>
  <c r="G933" i="1"/>
  <c r="D934" i="1"/>
  <c r="G934" i="1"/>
  <c r="D935" i="1"/>
  <c r="G935" i="1"/>
  <c r="D936" i="1"/>
  <c r="G936" i="1"/>
  <c r="D937" i="1"/>
  <c r="G937" i="1"/>
  <c r="D938" i="1"/>
  <c r="G938" i="1"/>
  <c r="D939" i="1"/>
  <c r="G939" i="1"/>
  <c r="D940" i="1"/>
  <c r="G940" i="1"/>
  <c r="D941" i="1"/>
  <c r="G941" i="1"/>
  <c r="D942" i="1"/>
  <c r="G942" i="1"/>
  <c r="D943" i="1"/>
  <c r="G943" i="1"/>
  <c r="D944" i="1"/>
  <c r="G944" i="1"/>
  <c r="D945" i="1"/>
  <c r="G945" i="1"/>
  <c r="D946" i="1"/>
  <c r="G946" i="1"/>
  <c r="D947" i="1"/>
  <c r="G947" i="1"/>
  <c r="D948" i="1"/>
  <c r="G948" i="1"/>
  <c r="D949" i="1"/>
  <c r="G949" i="1"/>
  <c r="D950" i="1"/>
  <c r="G950" i="1"/>
  <c r="D951" i="1"/>
  <c r="G951" i="1"/>
  <c r="D952" i="1"/>
  <c r="G952" i="1"/>
  <c r="D953" i="1"/>
  <c r="G953" i="1"/>
  <c r="D954" i="1"/>
  <c r="G954" i="1"/>
  <c r="D955" i="1"/>
  <c r="G955" i="1"/>
  <c r="D956" i="1"/>
  <c r="G956" i="1"/>
  <c r="D957" i="1"/>
  <c r="G957" i="1"/>
  <c r="D958" i="1"/>
  <c r="G958" i="1"/>
  <c r="D959" i="1"/>
  <c r="G959" i="1"/>
  <c r="D960" i="1"/>
  <c r="G960" i="1"/>
  <c r="D961" i="1"/>
  <c r="G961" i="1"/>
  <c r="D962" i="1"/>
  <c r="G962" i="1"/>
  <c r="D963" i="1"/>
  <c r="G963" i="1"/>
  <c r="D964" i="1"/>
  <c r="G964" i="1"/>
  <c r="D965" i="1"/>
  <c r="G965" i="1"/>
  <c r="D966" i="1"/>
  <c r="G966" i="1"/>
  <c r="D967" i="1"/>
  <c r="G967" i="1"/>
  <c r="D968" i="1"/>
  <c r="G968" i="1"/>
  <c r="D969" i="1"/>
  <c r="G969" i="1"/>
  <c r="D970" i="1"/>
  <c r="G970" i="1"/>
  <c r="D971" i="1"/>
  <c r="G971" i="1"/>
  <c r="D972" i="1"/>
  <c r="G972" i="1"/>
  <c r="D973" i="1"/>
  <c r="G973" i="1"/>
  <c r="D974" i="1"/>
  <c r="G974" i="1"/>
  <c r="D975" i="1"/>
  <c r="G975" i="1"/>
  <c r="D976" i="1"/>
  <c r="G976" i="1"/>
  <c r="D977" i="1"/>
  <c r="G977" i="1"/>
  <c r="D978" i="1"/>
  <c r="G978" i="1"/>
  <c r="D979" i="1"/>
  <c r="G979" i="1"/>
  <c r="D980" i="1"/>
  <c r="G980" i="1"/>
  <c r="D981" i="1"/>
  <c r="G981" i="1"/>
  <c r="D982" i="1"/>
  <c r="G982" i="1"/>
  <c r="D983" i="1"/>
  <c r="G983" i="1"/>
  <c r="D984" i="1"/>
  <c r="G984" i="1"/>
  <c r="D985" i="1"/>
  <c r="G985" i="1"/>
  <c r="D986" i="1"/>
  <c r="G986" i="1"/>
  <c r="D987" i="1"/>
  <c r="G987" i="1"/>
  <c r="D988" i="1"/>
  <c r="G988" i="1"/>
  <c r="D989" i="1"/>
  <c r="G989" i="1"/>
  <c r="D990" i="1"/>
  <c r="G990" i="1"/>
  <c r="D991" i="1"/>
  <c r="G991" i="1"/>
  <c r="D992" i="1"/>
  <c r="G992" i="1"/>
  <c r="D993" i="1"/>
  <c r="G993" i="1"/>
  <c r="D994" i="1"/>
  <c r="G994" i="1"/>
  <c r="D995" i="1"/>
  <c r="G995" i="1"/>
  <c r="D996" i="1"/>
  <c r="G996" i="1"/>
  <c r="D997" i="1"/>
  <c r="G997" i="1"/>
  <c r="D998" i="1"/>
  <c r="G998" i="1"/>
  <c r="D999" i="1"/>
  <c r="G999" i="1"/>
  <c r="D1000" i="1"/>
  <c r="G1000" i="1"/>
  <c r="D1001" i="1"/>
  <c r="G1001" i="1"/>
  <c r="D1002" i="1"/>
  <c r="G1002" i="1"/>
  <c r="D1003" i="1"/>
  <c r="G1003" i="1"/>
  <c r="D1004" i="1"/>
  <c r="G1004" i="1"/>
  <c r="D1005" i="1"/>
  <c r="G1005" i="1"/>
  <c r="D1006" i="1"/>
  <c r="G1006" i="1"/>
  <c r="D1007" i="1"/>
  <c r="G1007" i="1"/>
  <c r="D1008" i="1"/>
  <c r="G1008" i="1"/>
  <c r="D1009" i="1"/>
  <c r="G1009" i="1"/>
  <c r="D1010" i="1"/>
  <c r="G1010" i="1"/>
  <c r="D1011" i="1"/>
  <c r="G1011" i="1"/>
  <c r="D1012" i="1"/>
  <c r="G1012" i="1"/>
  <c r="D1013" i="1"/>
  <c r="G1013" i="1"/>
  <c r="D1014" i="1"/>
  <c r="G1014" i="1"/>
  <c r="D1015" i="1"/>
  <c r="G1015" i="1"/>
  <c r="D1016" i="1"/>
  <c r="G1016" i="1"/>
  <c r="D1017" i="1"/>
  <c r="G1017" i="1"/>
  <c r="D1018" i="1"/>
  <c r="G1018" i="1"/>
  <c r="D1019" i="1"/>
  <c r="G1019" i="1"/>
  <c r="D1020" i="1"/>
  <c r="G1020" i="1"/>
  <c r="D1021" i="1"/>
  <c r="G1021" i="1"/>
  <c r="D1022" i="1"/>
  <c r="G1022" i="1"/>
  <c r="D1023" i="1"/>
  <c r="G1023" i="1"/>
  <c r="D1024" i="1"/>
  <c r="G1024" i="1"/>
  <c r="D1025" i="1"/>
  <c r="G1025" i="1"/>
  <c r="D1026" i="1"/>
  <c r="G1026" i="1"/>
  <c r="D1027" i="1"/>
  <c r="G1027" i="1"/>
  <c r="D1028" i="1"/>
  <c r="G1028" i="1"/>
  <c r="D1029" i="1"/>
  <c r="G1029" i="1"/>
  <c r="D1030" i="1"/>
  <c r="G1030" i="1"/>
  <c r="D1031" i="1"/>
  <c r="G1031" i="1"/>
  <c r="D1032" i="1"/>
  <c r="G1032" i="1"/>
  <c r="D1033" i="1"/>
  <c r="G1033" i="1"/>
  <c r="D1034" i="1"/>
  <c r="G1034" i="1"/>
  <c r="D1035" i="1"/>
  <c r="G1035" i="1"/>
  <c r="D1036" i="1"/>
  <c r="G1036" i="1"/>
  <c r="D1037" i="1"/>
  <c r="G1037" i="1"/>
  <c r="D1038" i="1"/>
  <c r="G1038" i="1"/>
  <c r="D1039" i="1"/>
  <c r="G1039" i="1"/>
  <c r="D1040" i="1"/>
  <c r="G1040" i="1"/>
  <c r="D1041" i="1"/>
  <c r="G1041" i="1"/>
  <c r="D1042" i="1"/>
  <c r="G1042" i="1"/>
  <c r="D1043" i="1"/>
  <c r="G1043" i="1"/>
  <c r="D1044" i="1"/>
  <c r="G1044" i="1"/>
  <c r="D1045" i="1"/>
  <c r="G1045" i="1"/>
  <c r="D1046" i="1"/>
  <c r="G1046" i="1"/>
  <c r="D1047" i="1"/>
  <c r="G1047" i="1"/>
  <c r="D1048" i="1"/>
  <c r="G1048" i="1"/>
  <c r="D1049" i="1"/>
  <c r="G1049" i="1"/>
  <c r="D1050" i="1"/>
  <c r="G1050" i="1"/>
  <c r="D1051" i="1"/>
  <c r="G1051" i="1"/>
  <c r="D1052" i="1"/>
  <c r="G1052" i="1"/>
  <c r="D1053" i="1"/>
  <c r="G1053" i="1"/>
  <c r="D1054" i="1"/>
  <c r="G1054" i="1"/>
  <c r="D1055" i="1"/>
  <c r="G1055" i="1"/>
  <c r="D1056" i="1"/>
  <c r="G1056" i="1"/>
  <c r="D1057" i="1"/>
  <c r="G1057" i="1"/>
  <c r="D1058" i="1"/>
  <c r="G1058" i="1"/>
  <c r="D1059" i="1"/>
  <c r="G1059" i="1"/>
  <c r="D1060" i="1"/>
  <c r="G1060" i="1"/>
  <c r="D1061" i="1"/>
  <c r="G1061" i="1"/>
  <c r="D1062" i="1"/>
  <c r="G1062" i="1"/>
  <c r="D1063" i="1"/>
  <c r="G1063" i="1"/>
  <c r="D1064" i="1"/>
  <c r="G1064" i="1"/>
  <c r="D1065" i="1"/>
  <c r="G1065" i="1"/>
  <c r="D1066" i="1"/>
  <c r="G1066" i="1"/>
  <c r="D1067" i="1"/>
  <c r="G1067" i="1"/>
  <c r="D1068" i="1"/>
  <c r="G1068" i="1"/>
  <c r="D1069" i="1"/>
  <c r="G1069" i="1"/>
  <c r="D1070" i="1"/>
  <c r="G1070" i="1"/>
  <c r="D1071" i="1"/>
  <c r="G1071" i="1"/>
  <c r="D1072" i="1"/>
  <c r="G1072" i="1"/>
  <c r="D1073" i="1"/>
  <c r="G1073" i="1"/>
  <c r="D1074" i="1"/>
  <c r="G1074" i="1"/>
  <c r="D1075" i="1"/>
  <c r="G1075" i="1"/>
  <c r="D1076" i="1"/>
  <c r="G1076" i="1"/>
  <c r="D1077" i="1"/>
  <c r="G1077" i="1"/>
  <c r="D1078" i="1"/>
  <c r="G1078" i="1"/>
  <c r="D1079" i="1"/>
  <c r="G1079" i="1"/>
  <c r="D1080" i="1"/>
  <c r="G1080" i="1"/>
  <c r="D1081" i="1"/>
  <c r="G1081" i="1"/>
  <c r="D1082" i="1"/>
  <c r="G1082" i="1"/>
  <c r="D1083" i="1"/>
  <c r="G1083" i="1"/>
  <c r="D1084" i="1"/>
  <c r="G1084" i="1"/>
  <c r="D1085" i="1"/>
  <c r="G1085" i="1"/>
  <c r="D1086" i="1"/>
  <c r="G1086" i="1"/>
  <c r="D1087" i="1"/>
  <c r="G1087" i="1"/>
  <c r="D1088" i="1"/>
  <c r="G1088" i="1"/>
  <c r="D1089" i="1"/>
  <c r="G1089" i="1"/>
  <c r="D1090" i="1"/>
  <c r="G1090" i="1"/>
  <c r="D1091" i="1"/>
  <c r="G1091" i="1"/>
  <c r="D1092" i="1"/>
  <c r="G1092" i="1"/>
  <c r="D1093" i="1"/>
  <c r="G1093" i="1"/>
  <c r="D1094" i="1"/>
  <c r="G1094" i="1"/>
  <c r="D1095" i="1"/>
  <c r="G1095" i="1"/>
  <c r="D1096" i="1"/>
  <c r="G1096" i="1"/>
  <c r="D1097" i="1"/>
  <c r="G1097" i="1"/>
  <c r="D1098" i="1"/>
  <c r="G1098" i="1"/>
  <c r="D1099" i="1"/>
  <c r="G1099" i="1"/>
  <c r="D1100" i="1"/>
  <c r="G1100" i="1"/>
  <c r="D1101" i="1"/>
  <c r="G1101" i="1"/>
  <c r="D1102" i="1"/>
  <c r="G1102" i="1"/>
  <c r="D1103" i="1"/>
  <c r="G1103" i="1"/>
  <c r="D1104" i="1"/>
  <c r="G1104" i="1"/>
  <c r="D1105" i="1"/>
  <c r="G1105" i="1"/>
  <c r="D1106" i="1"/>
  <c r="G1106" i="1"/>
  <c r="D1107" i="1"/>
  <c r="G1107" i="1"/>
  <c r="D1108" i="1"/>
  <c r="G1108" i="1"/>
  <c r="D1109" i="1"/>
  <c r="G1109" i="1"/>
  <c r="D1110" i="1"/>
  <c r="G1110" i="1"/>
  <c r="D1111" i="1"/>
  <c r="G1111" i="1"/>
  <c r="D1112" i="1"/>
  <c r="G1112" i="1"/>
  <c r="D1113" i="1"/>
  <c r="G1113" i="1"/>
  <c r="D1114" i="1"/>
  <c r="G1114" i="1"/>
  <c r="D1115" i="1"/>
  <c r="G1115" i="1"/>
  <c r="D1116" i="1"/>
  <c r="G1116" i="1"/>
  <c r="D1117" i="1"/>
  <c r="G1117" i="1"/>
  <c r="D1118" i="1"/>
  <c r="G1118" i="1"/>
  <c r="D1119" i="1"/>
  <c r="G1119" i="1"/>
  <c r="D1120" i="1"/>
  <c r="G1120" i="1"/>
  <c r="D1121" i="1"/>
  <c r="G1121" i="1"/>
  <c r="D1122" i="1"/>
  <c r="G1122" i="1"/>
  <c r="D1123" i="1"/>
  <c r="G1123" i="1"/>
  <c r="D1124" i="1"/>
  <c r="G1124" i="1"/>
  <c r="D1125" i="1"/>
  <c r="G1125" i="1"/>
  <c r="D1126" i="1"/>
  <c r="G1126" i="1"/>
  <c r="D1127" i="1"/>
  <c r="G1127" i="1"/>
  <c r="D1128" i="1"/>
  <c r="G1128" i="1"/>
  <c r="D1129" i="1"/>
  <c r="G1129" i="1"/>
  <c r="D1130" i="1"/>
  <c r="G1130" i="1"/>
  <c r="D1131" i="1"/>
  <c r="G1131" i="1"/>
  <c r="D1132" i="1"/>
  <c r="G1132" i="1"/>
  <c r="D1133" i="1"/>
  <c r="G1133" i="1"/>
  <c r="D1134" i="1"/>
  <c r="G1134" i="1"/>
  <c r="D1135" i="1"/>
  <c r="G1135" i="1"/>
  <c r="D1136" i="1"/>
  <c r="G1136" i="1"/>
  <c r="D1137" i="1"/>
  <c r="G1137" i="1"/>
  <c r="D1138" i="1"/>
  <c r="G1138" i="1"/>
  <c r="D1139" i="1"/>
  <c r="G1139" i="1"/>
  <c r="D1140" i="1"/>
  <c r="G1140" i="1"/>
  <c r="D1141" i="1"/>
  <c r="G1141" i="1"/>
  <c r="D1142" i="1"/>
  <c r="G1142" i="1"/>
  <c r="D1143" i="1"/>
  <c r="G1143" i="1"/>
  <c r="D1144" i="1"/>
  <c r="G1144" i="1"/>
  <c r="D1145" i="1"/>
  <c r="G1145" i="1"/>
  <c r="D1146" i="1"/>
  <c r="G1146" i="1"/>
  <c r="D1147" i="1"/>
  <c r="G1147" i="1"/>
  <c r="D1148" i="1"/>
  <c r="G1148" i="1"/>
  <c r="D1149" i="1"/>
  <c r="G1149" i="1"/>
  <c r="D1150" i="1"/>
  <c r="G1150" i="1"/>
  <c r="D1151" i="1"/>
  <c r="G1151" i="1"/>
  <c r="D1152" i="1"/>
  <c r="G1152" i="1"/>
  <c r="D1153" i="1"/>
  <c r="G1153" i="1"/>
  <c r="D1154" i="1"/>
  <c r="G1154" i="1"/>
  <c r="D1155" i="1"/>
  <c r="G1155" i="1"/>
  <c r="D1156" i="1"/>
  <c r="G1156" i="1"/>
  <c r="D1157" i="1"/>
  <c r="G1157" i="1"/>
  <c r="D1158" i="1"/>
  <c r="G1158" i="1"/>
  <c r="D1159" i="1"/>
  <c r="G1159" i="1"/>
  <c r="D1160" i="1"/>
  <c r="G1160" i="1"/>
  <c r="D1161" i="1"/>
  <c r="G1161" i="1"/>
  <c r="D1162" i="1"/>
  <c r="G1162" i="1"/>
  <c r="D1163" i="1"/>
  <c r="G1163" i="1"/>
  <c r="D1164" i="1"/>
  <c r="G1164" i="1"/>
  <c r="D1165" i="1"/>
  <c r="G1165" i="1"/>
  <c r="D1166" i="1"/>
  <c r="G1166" i="1"/>
  <c r="D1167" i="1"/>
  <c r="G1167" i="1"/>
  <c r="D1168" i="1"/>
  <c r="G1168" i="1"/>
  <c r="D1169" i="1"/>
  <c r="G1169" i="1"/>
  <c r="D1170" i="1"/>
  <c r="G1170" i="1"/>
  <c r="D1171" i="1"/>
  <c r="G1171" i="1"/>
  <c r="D1172" i="1"/>
  <c r="G1172" i="1"/>
  <c r="D1173" i="1"/>
  <c r="G1173" i="1"/>
  <c r="D1174" i="1"/>
  <c r="G1174" i="1"/>
  <c r="D1175" i="1"/>
  <c r="G1175" i="1"/>
  <c r="D1176" i="1"/>
  <c r="G1176" i="1"/>
  <c r="D1177" i="1"/>
  <c r="G1177" i="1"/>
  <c r="D1178" i="1"/>
  <c r="G1178" i="1"/>
  <c r="D1179" i="1"/>
  <c r="G1179" i="1"/>
  <c r="D1180" i="1"/>
  <c r="G1180" i="1"/>
  <c r="D1181" i="1"/>
  <c r="G1181" i="1"/>
  <c r="D1182" i="1"/>
  <c r="G1182" i="1"/>
  <c r="D1183" i="1"/>
  <c r="G1183" i="1"/>
  <c r="D1184" i="1"/>
  <c r="G1184" i="1"/>
  <c r="D1185" i="1"/>
  <c r="G1185" i="1"/>
  <c r="D1186" i="1"/>
  <c r="G1186" i="1"/>
  <c r="D1187" i="1"/>
  <c r="G1187" i="1"/>
  <c r="D1188" i="1"/>
  <c r="G1188" i="1"/>
  <c r="D1189" i="1"/>
  <c r="G1189" i="1"/>
  <c r="D1190" i="1"/>
  <c r="G1190" i="1"/>
  <c r="D1191" i="1"/>
  <c r="G1191" i="1"/>
  <c r="D1192" i="1"/>
  <c r="G1192" i="1"/>
  <c r="D1193" i="1"/>
  <c r="G1193" i="1"/>
  <c r="D1194" i="1"/>
  <c r="G1194" i="1"/>
  <c r="D1195" i="1"/>
  <c r="G1195" i="1"/>
  <c r="D1196" i="1"/>
  <c r="G1196" i="1"/>
  <c r="D1197" i="1"/>
  <c r="G1197" i="1"/>
  <c r="D1198" i="1"/>
  <c r="G1198" i="1"/>
  <c r="D1199" i="1"/>
  <c r="G1199" i="1"/>
  <c r="D1200" i="1"/>
  <c r="G1200" i="1"/>
  <c r="D1201" i="1"/>
  <c r="G1201" i="1"/>
  <c r="D1202" i="1"/>
  <c r="G1202" i="1"/>
  <c r="D1203" i="1"/>
  <c r="G1203" i="1"/>
  <c r="D1204" i="1"/>
  <c r="G1204" i="1"/>
  <c r="D1205" i="1"/>
  <c r="G1205" i="1"/>
  <c r="D1206" i="1"/>
  <c r="G1206" i="1"/>
  <c r="D1207" i="1"/>
  <c r="G1207" i="1"/>
  <c r="D1208" i="1"/>
  <c r="G1208" i="1"/>
  <c r="D1209" i="1"/>
  <c r="G1209" i="1"/>
  <c r="D1210" i="1"/>
  <c r="G1210" i="1"/>
  <c r="D1211" i="1"/>
  <c r="G1211" i="1"/>
  <c r="D1212" i="1"/>
  <c r="G1212" i="1"/>
  <c r="D1213" i="1"/>
  <c r="G1213" i="1"/>
  <c r="D1214" i="1"/>
  <c r="G1214" i="1"/>
  <c r="D1215" i="1"/>
  <c r="G1215" i="1"/>
  <c r="D1216" i="1"/>
  <c r="G1216" i="1"/>
  <c r="D1217" i="1"/>
  <c r="G1217" i="1"/>
  <c r="D1218" i="1"/>
  <c r="G1218" i="1"/>
  <c r="D1219" i="1"/>
  <c r="G1219" i="1"/>
  <c r="D1220" i="1"/>
  <c r="G1220" i="1"/>
  <c r="D1221" i="1"/>
  <c r="G1221" i="1"/>
  <c r="D1222" i="1"/>
  <c r="G1222" i="1"/>
  <c r="D1223" i="1"/>
  <c r="G1223" i="1"/>
  <c r="D1224" i="1"/>
  <c r="G1224" i="1"/>
  <c r="D1225" i="1"/>
  <c r="G1225" i="1"/>
  <c r="D1226" i="1"/>
  <c r="G1226" i="1"/>
  <c r="D1227" i="1"/>
  <c r="G1227" i="1"/>
  <c r="D1228" i="1"/>
  <c r="G1228" i="1"/>
  <c r="D1229" i="1"/>
  <c r="G1229" i="1"/>
  <c r="D1230" i="1"/>
  <c r="G1230" i="1"/>
  <c r="D1231" i="1"/>
  <c r="G1231" i="1"/>
  <c r="D1232" i="1"/>
  <c r="G1232" i="1"/>
  <c r="D1233" i="1"/>
  <c r="G1233" i="1"/>
  <c r="D1234" i="1"/>
  <c r="G1234" i="1"/>
  <c r="D1235" i="1"/>
  <c r="G1235" i="1"/>
  <c r="D1236" i="1"/>
  <c r="G1236" i="1"/>
  <c r="D1237" i="1"/>
  <c r="G1237" i="1"/>
  <c r="D1238" i="1"/>
  <c r="G1238" i="1"/>
  <c r="D1239" i="1"/>
  <c r="G1239" i="1"/>
  <c r="D1240" i="1"/>
  <c r="G1240" i="1"/>
  <c r="D1241" i="1"/>
  <c r="G1241" i="1"/>
  <c r="D1242" i="1"/>
  <c r="G1242" i="1"/>
  <c r="D1243" i="1"/>
  <c r="G1243" i="1"/>
  <c r="D1244" i="1"/>
  <c r="G1244" i="1"/>
  <c r="D1245" i="1"/>
  <c r="G1245" i="1"/>
  <c r="D1246" i="1"/>
  <c r="G1246" i="1"/>
  <c r="D1247" i="1"/>
  <c r="G1247" i="1"/>
  <c r="D1248" i="1"/>
  <c r="G1248" i="1"/>
  <c r="D1249" i="1"/>
  <c r="G1249" i="1"/>
  <c r="D1250" i="1"/>
  <c r="G1250" i="1"/>
  <c r="D1251" i="1"/>
  <c r="G1251" i="1"/>
  <c r="D1252" i="1"/>
  <c r="G1252" i="1"/>
  <c r="D1253" i="1"/>
  <c r="G1253" i="1"/>
  <c r="D1254" i="1"/>
  <c r="G1254" i="1"/>
  <c r="D1255" i="1"/>
  <c r="G1255" i="1"/>
  <c r="D1256" i="1"/>
  <c r="G1256" i="1"/>
  <c r="D1257" i="1"/>
  <c r="G1257" i="1"/>
  <c r="D1258" i="1"/>
  <c r="G1258" i="1"/>
  <c r="D1259" i="1"/>
  <c r="G1259" i="1"/>
  <c r="D1260" i="1"/>
  <c r="G1260" i="1"/>
  <c r="D1261" i="1"/>
  <c r="G1261" i="1"/>
  <c r="D1262" i="1"/>
  <c r="G1262" i="1"/>
  <c r="D1263" i="1"/>
  <c r="G1263" i="1"/>
  <c r="D1264" i="1"/>
  <c r="G1264" i="1"/>
  <c r="D1265" i="1"/>
  <c r="G1265" i="1"/>
  <c r="D1266" i="1"/>
  <c r="G1266" i="1"/>
  <c r="D1267" i="1"/>
  <c r="G1267" i="1"/>
  <c r="D1268" i="1"/>
  <c r="G1268" i="1"/>
  <c r="D1269" i="1"/>
  <c r="G1269" i="1"/>
  <c r="D1270" i="1"/>
  <c r="G1270" i="1"/>
  <c r="D1271" i="1"/>
  <c r="G1271" i="1"/>
  <c r="D1272" i="1"/>
  <c r="G1272" i="1"/>
  <c r="D1273" i="1"/>
  <c r="G1273" i="1"/>
  <c r="D1274" i="1"/>
  <c r="G1274" i="1"/>
  <c r="D1275" i="1"/>
  <c r="G1275" i="1"/>
  <c r="D1276" i="1"/>
  <c r="G1276" i="1"/>
  <c r="D1277" i="1"/>
  <c r="G1277" i="1"/>
  <c r="D1278" i="1"/>
  <c r="G1278" i="1"/>
  <c r="D1279" i="1"/>
  <c r="G1279" i="1"/>
  <c r="D1280" i="1"/>
  <c r="G1280" i="1"/>
  <c r="D1281" i="1"/>
  <c r="G1281" i="1"/>
  <c r="D1282" i="1"/>
  <c r="G1282" i="1"/>
  <c r="D1283" i="1"/>
  <c r="G1283" i="1"/>
  <c r="D1284" i="1"/>
  <c r="G1284" i="1"/>
  <c r="D1285" i="1"/>
  <c r="G1285" i="1"/>
  <c r="D1286" i="1"/>
  <c r="G1286" i="1"/>
  <c r="D1287" i="1"/>
  <c r="G1287" i="1"/>
  <c r="D1288" i="1"/>
  <c r="G1288" i="1"/>
  <c r="D1289" i="1"/>
  <c r="G1289" i="1"/>
  <c r="D1290" i="1"/>
  <c r="G1290" i="1"/>
  <c r="D1291" i="1"/>
  <c r="G1291" i="1"/>
  <c r="D1292" i="1"/>
  <c r="G1292" i="1"/>
  <c r="D1293" i="1"/>
  <c r="G1293" i="1"/>
  <c r="D1294" i="1"/>
  <c r="G1294" i="1"/>
  <c r="D1295" i="1"/>
  <c r="G1295" i="1"/>
  <c r="D1296" i="1"/>
  <c r="G1296" i="1"/>
  <c r="D1297" i="1"/>
  <c r="G1297" i="1"/>
  <c r="D1298" i="1"/>
  <c r="G1298" i="1"/>
  <c r="D1299" i="1"/>
  <c r="G1299" i="1"/>
  <c r="D1300" i="1"/>
  <c r="G1300" i="1"/>
  <c r="D1301" i="1"/>
  <c r="G1301" i="1"/>
  <c r="D1302" i="1"/>
  <c r="G1302" i="1"/>
  <c r="D1303" i="1"/>
  <c r="G1303" i="1"/>
  <c r="D1304" i="1"/>
  <c r="G1304" i="1"/>
  <c r="D1305" i="1"/>
  <c r="G1305" i="1"/>
  <c r="D1306" i="1"/>
  <c r="G1306" i="1"/>
  <c r="D1307" i="1"/>
  <c r="G1307" i="1"/>
  <c r="D1308" i="1"/>
  <c r="G1308" i="1"/>
  <c r="D1309" i="1"/>
  <c r="G1309" i="1"/>
  <c r="D1310" i="1"/>
  <c r="G1310" i="1"/>
  <c r="D1311" i="1"/>
  <c r="G1311" i="1"/>
  <c r="D1312" i="1"/>
  <c r="G1312" i="1"/>
  <c r="D1313" i="1"/>
  <c r="G1313" i="1"/>
  <c r="D1314" i="1"/>
  <c r="G1314" i="1"/>
  <c r="D1315" i="1"/>
  <c r="G1315" i="1"/>
  <c r="D1316" i="1"/>
  <c r="G1316" i="1"/>
  <c r="D1317" i="1"/>
  <c r="G1317" i="1"/>
  <c r="D1318" i="1"/>
  <c r="G1318" i="1"/>
  <c r="D1319" i="1"/>
  <c r="G1319" i="1"/>
  <c r="D1320" i="1"/>
  <c r="G1320" i="1"/>
  <c r="D1321" i="1"/>
  <c r="G1321" i="1"/>
  <c r="D1322" i="1"/>
  <c r="G1322" i="1"/>
  <c r="D1323" i="1"/>
  <c r="G1323" i="1"/>
  <c r="D1324" i="1"/>
  <c r="G1324" i="1"/>
  <c r="D1325" i="1"/>
  <c r="G1325" i="1"/>
  <c r="D1326" i="1"/>
  <c r="G1326" i="1"/>
  <c r="D1327" i="1"/>
  <c r="G1327" i="1"/>
  <c r="D1328" i="1"/>
  <c r="G1328" i="1"/>
  <c r="D1329" i="1"/>
  <c r="G1329" i="1"/>
  <c r="D1330" i="1"/>
  <c r="G1330" i="1"/>
  <c r="D1331" i="1"/>
  <c r="G1331" i="1"/>
  <c r="D1332" i="1"/>
  <c r="G1332" i="1"/>
  <c r="D1333" i="1"/>
  <c r="G1333" i="1"/>
  <c r="D1334" i="1"/>
  <c r="G1334" i="1"/>
  <c r="D1335" i="1"/>
  <c r="G1335" i="1"/>
  <c r="D1336" i="1"/>
  <c r="G1336" i="1"/>
  <c r="D1337" i="1"/>
  <c r="G1337" i="1"/>
  <c r="D1338" i="1"/>
  <c r="G1338" i="1"/>
  <c r="D1339" i="1"/>
  <c r="G1339" i="1"/>
  <c r="D1340" i="1"/>
  <c r="G1340" i="1"/>
  <c r="D1341" i="1"/>
  <c r="G1341" i="1"/>
  <c r="D1342" i="1"/>
  <c r="G1342" i="1"/>
  <c r="D1343" i="1"/>
  <c r="G1343" i="1"/>
  <c r="D1344" i="1"/>
  <c r="G1344" i="1"/>
  <c r="D1345" i="1"/>
  <c r="G1345" i="1"/>
  <c r="D1346" i="1"/>
  <c r="G1346" i="1"/>
  <c r="D1347" i="1"/>
  <c r="G1347" i="1"/>
  <c r="D1348" i="1"/>
  <c r="G1348" i="1"/>
  <c r="D1349" i="1"/>
  <c r="G1349" i="1"/>
  <c r="D1350" i="1"/>
  <c r="G1350" i="1"/>
  <c r="D1351" i="1"/>
  <c r="G1351" i="1"/>
  <c r="D1352" i="1"/>
  <c r="G1352" i="1"/>
  <c r="D1353" i="1"/>
  <c r="G1353" i="1"/>
  <c r="D1354" i="1"/>
  <c r="G1354" i="1"/>
  <c r="D1355" i="1"/>
  <c r="G1355" i="1"/>
  <c r="D1356" i="1"/>
  <c r="G1356" i="1"/>
  <c r="D1357" i="1"/>
  <c r="G1357" i="1"/>
  <c r="D1358" i="1"/>
  <c r="G1358" i="1"/>
  <c r="D1359" i="1"/>
  <c r="G1359" i="1"/>
  <c r="D1360" i="1"/>
  <c r="G1360" i="1"/>
  <c r="D1361" i="1"/>
  <c r="G1361" i="1"/>
  <c r="D1362" i="1"/>
  <c r="G1362" i="1"/>
  <c r="D1363" i="1"/>
  <c r="G1363" i="1"/>
  <c r="D1364" i="1"/>
  <c r="G1364" i="1"/>
  <c r="D1365" i="1"/>
  <c r="G1365" i="1"/>
  <c r="D1366" i="1"/>
  <c r="G1366" i="1"/>
  <c r="D1367" i="1"/>
  <c r="G1367" i="1"/>
  <c r="D1368" i="1"/>
  <c r="G1368" i="1"/>
  <c r="D1369" i="1"/>
  <c r="G1369" i="1"/>
  <c r="D1370" i="1"/>
  <c r="G1370" i="1"/>
  <c r="D1371" i="1"/>
  <c r="G1371" i="1"/>
</calcChain>
</file>

<file path=xl/sharedStrings.xml><?xml version="1.0" encoding="utf-8"?>
<sst xmlns="http://schemas.openxmlformats.org/spreadsheetml/2006/main" count="5486" uniqueCount="810">
  <si>
    <t>Wisconsin Department of Revenue</t>
  </si>
  <si>
    <t>2019 Tax Incremental District (TID) Certification - School Districts</t>
  </si>
  <si>
    <t>School District</t>
  </si>
  <si>
    <t xml:space="preserve"> School Code</t>
  </si>
  <si>
    <t xml:space="preserve"> County</t>
  </si>
  <si>
    <t xml:space="preserve"> CoMun</t>
  </si>
  <si>
    <t xml:space="preserve"> TVC</t>
  </si>
  <si>
    <t xml:space="preserve"> Municipality</t>
  </si>
  <si>
    <t xml:space="preserve">SCH D OF ABBOTSFORD                     </t>
  </si>
  <si>
    <t xml:space="preserve">CLARK                    </t>
  </si>
  <si>
    <t xml:space="preserve">CITY OF        </t>
  </si>
  <si>
    <t xml:space="preserve">ABBOTSFORD               </t>
  </si>
  <si>
    <t xml:space="preserve">MARATHON                 </t>
  </si>
  <si>
    <t xml:space="preserve">SCH D OF ADAMS FRIENDSHIP AREA          </t>
  </si>
  <si>
    <t xml:space="preserve">ADAMS                    </t>
  </si>
  <si>
    <t xml:space="preserve">VILLAGE OF     </t>
  </si>
  <si>
    <t xml:space="preserve">FRIENDSHIP               </t>
  </si>
  <si>
    <t xml:space="preserve">TOWN OF        </t>
  </si>
  <si>
    <t xml:space="preserve">NEW CHESTER              </t>
  </si>
  <si>
    <t xml:space="preserve">SCH D OF ALGOMA                         </t>
  </si>
  <si>
    <t xml:space="preserve">KEWAUNEE                 </t>
  </si>
  <si>
    <t xml:space="preserve">ALGOMA                   </t>
  </si>
  <si>
    <t xml:space="preserve">SCH D OF ALMA                           </t>
  </si>
  <si>
    <t xml:space="preserve">BUFFALO                  </t>
  </si>
  <si>
    <t xml:space="preserve">ALMA                     </t>
  </si>
  <si>
    <t xml:space="preserve">SCH D OF ALMA CENTER                    </t>
  </si>
  <si>
    <t xml:space="preserve">JACKSON                  </t>
  </si>
  <si>
    <t xml:space="preserve">MERRILLAN                </t>
  </si>
  <si>
    <t xml:space="preserve">SCH D OF ALTOONA                        </t>
  </si>
  <si>
    <t xml:space="preserve">EAU CLAIRE               </t>
  </si>
  <si>
    <t xml:space="preserve">ALTOONA                  </t>
  </si>
  <si>
    <t xml:space="preserve">SCH D OF AMERY                          </t>
  </si>
  <si>
    <t xml:space="preserve">POLK                     </t>
  </si>
  <si>
    <t xml:space="preserve">AMERY                    </t>
  </si>
  <si>
    <t xml:space="preserve">SCH D OF ANTIGO                         </t>
  </si>
  <si>
    <t xml:space="preserve">LANGLADE                 </t>
  </si>
  <si>
    <t xml:space="preserve">ANTIGO                   </t>
  </si>
  <si>
    <t xml:space="preserve">SCH D OF APPLETON AREA                  </t>
  </si>
  <si>
    <t xml:space="preserve">CALUMET                  </t>
  </si>
  <si>
    <t xml:space="preserve">MENASHA                  </t>
  </si>
  <si>
    <t xml:space="preserve">OUTAGAMIE                </t>
  </si>
  <si>
    <t xml:space="preserve">APPLETON                 </t>
  </si>
  <si>
    <t xml:space="preserve">GRAND CHUTE              </t>
  </si>
  <si>
    <t xml:space="preserve">LITTLE CHUTE             </t>
  </si>
  <si>
    <t xml:space="preserve">SCH D OF ARCADIA                        </t>
  </si>
  <si>
    <t xml:space="preserve">TREMPEALEAU              </t>
  </si>
  <si>
    <t xml:space="preserve">ARCADIA                  </t>
  </si>
  <si>
    <t xml:space="preserve">SCH D OF ARGYLE                         </t>
  </si>
  <si>
    <t xml:space="preserve">LAFAYETTE                </t>
  </si>
  <si>
    <t xml:space="preserve">ARGYLE                   </t>
  </si>
  <si>
    <t xml:space="preserve">SCH D OF ASHLAND                        </t>
  </si>
  <si>
    <t xml:space="preserve">ASHLAND                  </t>
  </si>
  <si>
    <t xml:space="preserve">SCH D OF ASHWAUBENON                    </t>
  </si>
  <si>
    <t xml:space="preserve">BROWN                    </t>
  </si>
  <si>
    <t xml:space="preserve">ASHWAUBENON              </t>
  </si>
  <si>
    <t xml:space="preserve">SCH D OF ATHENS                         </t>
  </si>
  <si>
    <t xml:space="preserve">ATHENS                   </t>
  </si>
  <si>
    <t xml:space="preserve">SCH D OF AUBURNDALE                     </t>
  </si>
  <si>
    <t xml:space="preserve">WOOD                     </t>
  </si>
  <si>
    <t xml:space="preserve">AUBURNDALE               </t>
  </si>
  <si>
    <t xml:space="preserve">SCH D OF AUGUSTA                        </t>
  </si>
  <si>
    <t xml:space="preserve">AUGUSTA                  </t>
  </si>
  <si>
    <t xml:space="preserve">SCH D OF BALDWIN-WOODVILLE AREA         </t>
  </si>
  <si>
    <t xml:space="preserve">ST CROIX                 </t>
  </si>
  <si>
    <t xml:space="preserve">BALDWIN                  </t>
  </si>
  <si>
    <t xml:space="preserve">WOODVILLE                </t>
  </si>
  <si>
    <t xml:space="preserve">SCH D OF BANGOR                         </t>
  </si>
  <si>
    <t xml:space="preserve">LA CROSSE                </t>
  </si>
  <si>
    <t xml:space="preserve">BANGOR                   </t>
  </si>
  <si>
    <t xml:space="preserve">ROCKLAND                 </t>
  </si>
  <si>
    <t xml:space="preserve">MONROE                   </t>
  </si>
  <si>
    <t xml:space="preserve">SCH D OF BARABOO                        </t>
  </si>
  <si>
    <t xml:space="preserve">SAUK                     </t>
  </si>
  <si>
    <t xml:space="preserve">BARABOO                  </t>
  </si>
  <si>
    <t xml:space="preserve">NORTH FREEDOM            </t>
  </si>
  <si>
    <t xml:space="preserve">WEST BARABOO             </t>
  </si>
  <si>
    <t xml:space="preserve">SCH D OF BARNEVELD                      </t>
  </si>
  <si>
    <t xml:space="preserve">IOWA                     </t>
  </si>
  <si>
    <t xml:space="preserve">BARNEVELD                </t>
  </si>
  <si>
    <t xml:space="preserve">SCH D OF BARRON AREA                    </t>
  </si>
  <si>
    <t xml:space="preserve">BARRON                   </t>
  </si>
  <si>
    <t xml:space="preserve">ALMENA                   </t>
  </si>
  <si>
    <t xml:space="preserve">DALLAS                   </t>
  </si>
  <si>
    <t xml:space="preserve">DUNN                     </t>
  </si>
  <si>
    <t xml:space="preserve">RIDGELAND                </t>
  </si>
  <si>
    <t xml:space="preserve">SCH D OF BEAVER DAM                     </t>
  </si>
  <si>
    <t xml:space="preserve">DODGE                    </t>
  </si>
  <si>
    <t xml:space="preserve">BEAVER DAM               </t>
  </si>
  <si>
    <t xml:space="preserve">SCH D OF BELLEVILLE                     </t>
  </si>
  <si>
    <t xml:space="preserve">DANE                     </t>
  </si>
  <si>
    <t xml:space="preserve">BELLEVILLE               </t>
  </si>
  <si>
    <t xml:space="preserve">GREEN                    </t>
  </si>
  <si>
    <t xml:space="preserve">SCH D OF BELMONT COMMUNITY              </t>
  </si>
  <si>
    <t xml:space="preserve">BELMONT                  </t>
  </si>
  <si>
    <t xml:space="preserve">SCH D OF BELOIT                         </t>
  </si>
  <si>
    <t xml:space="preserve">ROCK                     </t>
  </si>
  <si>
    <t xml:space="preserve">BELOIT                   </t>
  </si>
  <si>
    <t xml:space="preserve">SCH D OF BELOIT TURNER                  </t>
  </si>
  <si>
    <t xml:space="preserve">SCH D OF BERLIN AREA                    </t>
  </si>
  <si>
    <t xml:space="preserve">GREEN LAKE               </t>
  </si>
  <si>
    <t xml:space="preserve">BERLIN                   </t>
  </si>
  <si>
    <t xml:space="preserve">WAUSHARA                 </t>
  </si>
  <si>
    <t xml:space="preserve">SCH D OF BIRCHWOOD                      </t>
  </si>
  <si>
    <t xml:space="preserve">WASHBURN                 </t>
  </si>
  <si>
    <t xml:space="preserve">BIRCHWOOD                </t>
  </si>
  <si>
    <t xml:space="preserve">SCH D OF BLACK HAWK (GRATIOT)           </t>
  </si>
  <si>
    <t xml:space="preserve">GRATIOT                  </t>
  </si>
  <si>
    <t xml:space="preserve">SCH D OF BLACK RIVER FALLS              </t>
  </si>
  <si>
    <t xml:space="preserve">BLACK RIVER FALLS        </t>
  </si>
  <si>
    <t xml:space="preserve">HIXTON                   </t>
  </si>
  <si>
    <t xml:space="preserve">SCH D OF BLAIR-TAYLOR                   </t>
  </si>
  <si>
    <t xml:space="preserve">TAYLOR                   </t>
  </si>
  <si>
    <t xml:space="preserve">BLAIR                    </t>
  </si>
  <si>
    <t xml:space="preserve">SCH D OF BLOOMER                        </t>
  </si>
  <si>
    <t xml:space="preserve">CHIPPEWA                 </t>
  </si>
  <si>
    <t xml:space="preserve">BLOOMER                  </t>
  </si>
  <si>
    <t xml:space="preserve">SCH D OF BONDUEL                        </t>
  </si>
  <si>
    <t xml:space="preserve">SHAWANO                  </t>
  </si>
  <si>
    <t xml:space="preserve">BONDUEL                  </t>
  </si>
  <si>
    <t xml:space="preserve">SCH D OF BOSCOBEL AREA                  </t>
  </si>
  <si>
    <t xml:space="preserve">GRANT                    </t>
  </si>
  <si>
    <t xml:space="preserve">BOSCOBEL                 </t>
  </si>
  <si>
    <t xml:space="preserve">SCH D OF BOWLER                         </t>
  </si>
  <si>
    <t xml:space="preserve">BOWLER                   </t>
  </si>
  <si>
    <t xml:space="preserve">SCH D OF BOYCEVILLE COMMUNITY           </t>
  </si>
  <si>
    <t xml:space="preserve">BOYCEVILLE               </t>
  </si>
  <si>
    <t xml:space="preserve">SCH D OF BRILLION                       </t>
  </si>
  <si>
    <t xml:space="preserve">BRILLION                 </t>
  </si>
  <si>
    <t xml:space="preserve">SCH D OF BRISTOL #1                     </t>
  </si>
  <si>
    <t xml:space="preserve">KENOSHA                  </t>
  </si>
  <si>
    <t xml:space="preserve">PLEASANT PRAIRIE         </t>
  </si>
  <si>
    <t xml:space="preserve">SCH D OF BRODHEAD                       </t>
  </si>
  <si>
    <t xml:space="preserve">BRODHEAD                 </t>
  </si>
  <si>
    <t xml:space="preserve">SCH D OF BROWN DEER                     </t>
  </si>
  <si>
    <t xml:space="preserve">MILWAUKEE                </t>
  </si>
  <si>
    <t xml:space="preserve">BROWN DEER               </t>
  </si>
  <si>
    <t xml:space="preserve">SCH D OF BRUCE                          </t>
  </si>
  <si>
    <t xml:space="preserve">RUSK                     </t>
  </si>
  <si>
    <t xml:space="preserve">BRUCE                    </t>
  </si>
  <si>
    <t xml:space="preserve">SCH D OF BURLINGTON AREA                </t>
  </si>
  <si>
    <t xml:space="preserve">WALWORTH                 </t>
  </si>
  <si>
    <t xml:space="preserve">BURLINGTON               </t>
  </si>
  <si>
    <t xml:space="preserve">SCH D OF CADOTT COMMUNITY               </t>
  </si>
  <si>
    <t xml:space="preserve">CADOTT                   </t>
  </si>
  <si>
    <t xml:space="preserve">SCH D OF CAMBRIA-FRIESLAND              </t>
  </si>
  <si>
    <t xml:space="preserve">COLUMBIA                 </t>
  </si>
  <si>
    <t xml:space="preserve">FRIESLAND                </t>
  </si>
  <si>
    <t xml:space="preserve">SCH D OF CAMBRIDGE                      </t>
  </si>
  <si>
    <t xml:space="preserve">CAMBRIDGE                </t>
  </si>
  <si>
    <t xml:space="preserve">SCH D OF CAMERON                        </t>
  </si>
  <si>
    <t xml:space="preserve">CAMERON                  </t>
  </si>
  <si>
    <t xml:space="preserve">SCH D OF CAMPBELLSPORT                  </t>
  </si>
  <si>
    <t xml:space="preserve">FOND DU LAC              </t>
  </si>
  <si>
    <t xml:space="preserve">CAMPBELLSPORT            </t>
  </si>
  <si>
    <t xml:space="preserve">SCH D OF CASHTON                        </t>
  </si>
  <si>
    <t xml:space="preserve">CASHTON                  </t>
  </si>
  <si>
    <t xml:space="preserve">SCH D OF CEDAR GROVE-BELGIUM AREA       </t>
  </si>
  <si>
    <t xml:space="preserve">OZAUKEE                  </t>
  </si>
  <si>
    <t xml:space="preserve">BELGIUM                  </t>
  </si>
  <si>
    <t xml:space="preserve">SHEBOYGAN                </t>
  </si>
  <si>
    <t xml:space="preserve">CEDAR GROVE              </t>
  </si>
  <si>
    <t xml:space="preserve">SCH D OF CEDARBURG                      </t>
  </si>
  <si>
    <t xml:space="preserve">CEDARBURG                </t>
  </si>
  <si>
    <t xml:space="preserve">SCH D OF CHEQUAMEGON                    </t>
  </si>
  <si>
    <t xml:space="preserve">PRICE                    </t>
  </si>
  <si>
    <t xml:space="preserve">PARK FALLS               </t>
  </si>
  <si>
    <t xml:space="preserve">SCH D OF CHETEK-WEYERHAEUSER AREA       </t>
  </si>
  <si>
    <t xml:space="preserve">CHETEK                   </t>
  </si>
  <si>
    <t xml:space="preserve">WEYERHAEUSER             </t>
  </si>
  <si>
    <t xml:space="preserve">SCH D OF CHILTON                        </t>
  </si>
  <si>
    <t xml:space="preserve">CHILTON                  </t>
  </si>
  <si>
    <t xml:space="preserve">SCH D OF CHIPPEWA FALLS AREA            </t>
  </si>
  <si>
    <t xml:space="preserve">CHIPPEWA FALLS           </t>
  </si>
  <si>
    <t xml:space="preserve">LAKE HALLIE              </t>
  </si>
  <si>
    <t xml:space="preserve">SCH D OF CLAYTON                        </t>
  </si>
  <si>
    <t xml:space="preserve">CLAYTON                  </t>
  </si>
  <si>
    <t xml:space="preserve">SCH D OF CLEAR LAKE                     </t>
  </si>
  <si>
    <t xml:space="preserve">CLEAR LAKE               </t>
  </si>
  <si>
    <t xml:space="preserve">SCH D OF CLINTON COMMUNITY              </t>
  </si>
  <si>
    <t xml:space="preserve">CLINTON                  </t>
  </si>
  <si>
    <t xml:space="preserve">SCH D OF CLINTONVILLE                   </t>
  </si>
  <si>
    <t xml:space="preserve">WAUPACA                  </t>
  </si>
  <si>
    <t xml:space="preserve">CLINTONVILLE             </t>
  </si>
  <si>
    <t xml:space="preserve">MATTESON                 </t>
  </si>
  <si>
    <t xml:space="preserve">SCH D OF COLBY                          </t>
  </si>
  <si>
    <t xml:space="preserve">COLBY                    </t>
  </si>
  <si>
    <t xml:space="preserve">DORCHESTER               </t>
  </si>
  <si>
    <t xml:space="preserve">UNITY                    </t>
  </si>
  <si>
    <t xml:space="preserve">SCH D OF COLEMAN                        </t>
  </si>
  <si>
    <t xml:space="preserve">MARINETTE                </t>
  </si>
  <si>
    <t xml:space="preserve">COLEMAN                  </t>
  </si>
  <si>
    <t xml:space="preserve">POUND                    </t>
  </si>
  <si>
    <t xml:space="preserve">SCH D OF COLFAX                         </t>
  </si>
  <si>
    <t xml:space="preserve">COLFAX                   </t>
  </si>
  <si>
    <t xml:space="preserve">SCH D OF COLUMBUS                       </t>
  </si>
  <si>
    <t xml:space="preserve">COLUMBUS                 </t>
  </si>
  <si>
    <t xml:space="preserve">ELBA                     </t>
  </si>
  <si>
    <t xml:space="preserve">SCH D OF CRANDON                        </t>
  </si>
  <si>
    <t xml:space="preserve">FOREST                   </t>
  </si>
  <si>
    <t xml:space="preserve">CRANDON                  </t>
  </si>
  <si>
    <t xml:space="preserve">SCH D OF CRIVITZ                        </t>
  </si>
  <si>
    <t xml:space="preserve">CRIVITZ                  </t>
  </si>
  <si>
    <t xml:space="preserve">SCH D OF CUBA CITY                      </t>
  </si>
  <si>
    <t xml:space="preserve">CUBA CITY                </t>
  </si>
  <si>
    <t xml:space="preserve">DICKEYVILLE              </t>
  </si>
  <si>
    <t xml:space="preserve">SCH D OF CUDAHY                         </t>
  </si>
  <si>
    <t xml:space="preserve">CUDAHY                   </t>
  </si>
  <si>
    <t xml:space="preserve">SCH D OF CUMBERLAND                     </t>
  </si>
  <si>
    <t xml:space="preserve">CUMBERLAND               </t>
  </si>
  <si>
    <t xml:space="preserve">SCH D OF D C EVEREST AREA (ROTHSCHILD)  </t>
  </si>
  <si>
    <t xml:space="preserve">HATLEY                   </t>
  </si>
  <si>
    <t xml:space="preserve">KRONENWETTER             </t>
  </si>
  <si>
    <t xml:space="preserve">ROTHSCHILD               </t>
  </si>
  <si>
    <t xml:space="preserve">SCHOFIELD                </t>
  </si>
  <si>
    <t xml:space="preserve">WESTON                   </t>
  </si>
  <si>
    <t xml:space="preserve">SCH D OF DARLINGTON COMMUNITY           </t>
  </si>
  <si>
    <t xml:space="preserve">DARLINGTON               </t>
  </si>
  <si>
    <t xml:space="preserve">SCH D OF DE PERE                        </t>
  </si>
  <si>
    <t xml:space="preserve">DE PERE                  </t>
  </si>
  <si>
    <t xml:space="preserve">LEDGEVIEW                </t>
  </si>
  <si>
    <t xml:space="preserve">SCH D OF DE SOTO AREA                   </t>
  </si>
  <si>
    <t xml:space="preserve">CRAWFORD                 </t>
  </si>
  <si>
    <t xml:space="preserve">DE SOTO                  </t>
  </si>
  <si>
    <t xml:space="preserve">FERRYVILLE               </t>
  </si>
  <si>
    <t xml:space="preserve">VERNON                   </t>
  </si>
  <si>
    <t xml:space="preserve">SCH D OF DEERFIELD COMMUNITY            </t>
  </si>
  <si>
    <t xml:space="preserve">DEERFIELD                </t>
  </si>
  <si>
    <t xml:space="preserve">SCH D OF DEFOREST AREA                  </t>
  </si>
  <si>
    <t xml:space="preserve">DEFOREST                 </t>
  </si>
  <si>
    <t xml:space="preserve">WINDSOR                  </t>
  </si>
  <si>
    <t xml:space="preserve">SCH D OF DELAVAN-DARIEN                 </t>
  </si>
  <si>
    <t xml:space="preserve">DARIEN                   </t>
  </si>
  <si>
    <t xml:space="preserve">DELAVAN                  </t>
  </si>
  <si>
    <t xml:space="preserve">SCH D OF DENMARK                        </t>
  </si>
  <si>
    <t xml:space="preserve">MANITOWOC                </t>
  </si>
  <si>
    <t xml:space="preserve">MARIBEL                  </t>
  </si>
  <si>
    <t xml:space="preserve">SCH D OF DODGELAND (JUNEAU)             </t>
  </si>
  <si>
    <t xml:space="preserve">JUNEAU                   </t>
  </si>
  <si>
    <t xml:space="preserve">REESEVILLE               </t>
  </si>
  <si>
    <t xml:space="preserve">SCH D OF DODGEVILLE                     </t>
  </si>
  <si>
    <t xml:space="preserve">DODGEVILLE               </t>
  </si>
  <si>
    <t xml:space="preserve">RIDGEWAY                 </t>
  </si>
  <si>
    <t xml:space="preserve">SCH D OF DRUMMOND                       </t>
  </si>
  <si>
    <t xml:space="preserve">BAYFIELD                 </t>
  </si>
  <si>
    <t xml:space="preserve">MASON                    </t>
  </si>
  <si>
    <t xml:space="preserve">SCH D OF DURAND                         </t>
  </si>
  <si>
    <t xml:space="preserve">PEPIN                    </t>
  </si>
  <si>
    <t xml:space="preserve">DURAND                   </t>
  </si>
  <si>
    <t xml:space="preserve">SCH D OF EAST TROY COMMUNITY            </t>
  </si>
  <si>
    <t xml:space="preserve">EAST TROY                </t>
  </si>
  <si>
    <t xml:space="preserve">SCH D OF EAU CLAIRE AREA                </t>
  </si>
  <si>
    <t xml:space="preserve">SCH D OF EDGAR                          </t>
  </si>
  <si>
    <t xml:space="preserve">EDGAR                    </t>
  </si>
  <si>
    <t xml:space="preserve">SCH D OF EDGERTON                       </t>
  </si>
  <si>
    <t xml:space="preserve">EDGERTON                 </t>
  </si>
  <si>
    <t xml:space="preserve">SCH D OF ELEVA-STRUM                    </t>
  </si>
  <si>
    <t xml:space="preserve">STRUM                    </t>
  </si>
  <si>
    <t xml:space="preserve">SCH D OF ELK MOUND AREA                 </t>
  </si>
  <si>
    <t xml:space="preserve">ELK MOUND                </t>
  </si>
  <si>
    <t xml:space="preserve">SCH D OF ELKHART LAKE-GLENBEULAH        </t>
  </si>
  <si>
    <t xml:space="preserve">ELKHART LAKE             </t>
  </si>
  <si>
    <t xml:space="preserve">GLENBEULAH               </t>
  </si>
  <si>
    <t xml:space="preserve">SCH D OF ELKHORN AREA                   </t>
  </si>
  <si>
    <t xml:space="preserve">ELKHORN                  </t>
  </si>
  <si>
    <t xml:space="preserve">SCH D OF ELLSWORTH COMMUNITY            </t>
  </si>
  <si>
    <t xml:space="preserve">PIERCE                   </t>
  </si>
  <si>
    <t xml:space="preserve">ELLSWORTH                </t>
  </si>
  <si>
    <t xml:space="preserve">SCH D OF ELMBROOK (BROOKFIELD)          </t>
  </si>
  <si>
    <t xml:space="preserve">WAUKESHA                 </t>
  </si>
  <si>
    <t xml:space="preserve">BROOKFIELD               </t>
  </si>
  <si>
    <t xml:space="preserve">ELM GROVE                </t>
  </si>
  <si>
    <t xml:space="preserve">SCH D OF ELMWOOD                        </t>
  </si>
  <si>
    <t xml:space="preserve">ELMWOOD                  </t>
  </si>
  <si>
    <t xml:space="preserve">SCH D OF EVANSVILLE COMMUNITY           </t>
  </si>
  <si>
    <t xml:space="preserve">EVANSVILLE               </t>
  </si>
  <si>
    <t xml:space="preserve">SCH D OF FALL CREEK                     </t>
  </si>
  <si>
    <t xml:space="preserve">FALL CREEK               </t>
  </si>
  <si>
    <t xml:space="preserve">SCH D OF FENNIMORE COMMUNITY            </t>
  </si>
  <si>
    <t xml:space="preserve">FENNIMORE                </t>
  </si>
  <si>
    <t xml:space="preserve">SCH D OF FLAMBEAU                       </t>
  </si>
  <si>
    <t xml:space="preserve">HAWKINS                  </t>
  </si>
  <si>
    <t xml:space="preserve">SCH D OF FLORENCE COUNTY                </t>
  </si>
  <si>
    <t xml:space="preserve">FLORENCE                 </t>
  </si>
  <si>
    <t xml:space="preserve">SCH D OF FOND DU LAC                    </t>
  </si>
  <si>
    <t xml:space="preserve">SCH D OF FONTANA J 8                    </t>
  </si>
  <si>
    <t xml:space="preserve">FONTANA                  </t>
  </si>
  <si>
    <t xml:space="preserve">SCH D OF FORT ATKINSON                  </t>
  </si>
  <si>
    <t xml:space="preserve">JEFFERSON                </t>
  </si>
  <si>
    <t xml:space="preserve">FORT ATKINSON            </t>
  </si>
  <si>
    <t xml:space="preserve">SCH D OF FRANKLIN PUBLIC                </t>
  </si>
  <si>
    <t xml:space="preserve">FRANKLIN                 </t>
  </si>
  <si>
    <t xml:space="preserve">SCH D OF FREDERIC                       </t>
  </si>
  <si>
    <t xml:space="preserve">FREDERIC                 </t>
  </si>
  <si>
    <t xml:space="preserve">SCH D OF FREEDOM AREA                   </t>
  </si>
  <si>
    <t xml:space="preserve">FREEDOM                  </t>
  </si>
  <si>
    <t xml:space="preserve">SCH D OF GALESVILLE-ETTRICK             </t>
  </si>
  <si>
    <t xml:space="preserve">GALESVILLE               </t>
  </si>
  <si>
    <t xml:space="preserve">SCH D OF GERMANTOWN                     </t>
  </si>
  <si>
    <t xml:space="preserve">WASHINGTON               </t>
  </si>
  <si>
    <t xml:space="preserve">GERMANTOWN               </t>
  </si>
  <si>
    <t xml:space="preserve">SCH D OF GIBRALTAR AREA                 </t>
  </si>
  <si>
    <t xml:space="preserve">DOOR                     </t>
  </si>
  <si>
    <t xml:space="preserve">SISTER BAY               </t>
  </si>
  <si>
    <t xml:space="preserve">SCH D OF GILLETT                        </t>
  </si>
  <si>
    <t xml:space="preserve">OCONTO                   </t>
  </si>
  <si>
    <t xml:space="preserve">GILLETT                  </t>
  </si>
  <si>
    <t xml:space="preserve">SCH D OF GLENDALE-RIVER HILLS           </t>
  </si>
  <si>
    <t xml:space="preserve">GLENDALE                 </t>
  </si>
  <si>
    <t xml:space="preserve">SCH D OF GRAFTON                        </t>
  </si>
  <si>
    <t xml:space="preserve">GRAFTON                  </t>
  </si>
  <si>
    <t xml:space="preserve">SCH D OF GRANTON AREA                   </t>
  </si>
  <si>
    <t xml:space="preserve">GRANTON                  </t>
  </si>
  <si>
    <t xml:space="preserve">SCH D OF GRANTSBURG                     </t>
  </si>
  <si>
    <t xml:space="preserve">BURNETT                  </t>
  </si>
  <si>
    <t xml:space="preserve">GRANTSBURG               </t>
  </si>
  <si>
    <t xml:space="preserve">SCH D OF GREEN BAY AREA                 </t>
  </si>
  <si>
    <t xml:space="preserve">ALLOUEZ                  </t>
  </si>
  <si>
    <t xml:space="preserve">BELLEVUE                 </t>
  </si>
  <si>
    <t xml:space="preserve">GREEN BAY                </t>
  </si>
  <si>
    <t xml:space="preserve">SCH D OF GREEN LAKE                     </t>
  </si>
  <si>
    <t xml:space="preserve">SCH D OF GREENDALE                      </t>
  </si>
  <si>
    <t xml:space="preserve">GREENDALE                </t>
  </si>
  <si>
    <t xml:space="preserve">SCH D OF GREENFIELD                     </t>
  </si>
  <si>
    <t xml:space="preserve">GREENFIELD               </t>
  </si>
  <si>
    <t xml:space="preserve">SCH D OF GREENWOOD                      </t>
  </si>
  <si>
    <t xml:space="preserve">GREENWOOD                </t>
  </si>
  <si>
    <t xml:space="preserve">SCH D OF GRESHAM                        </t>
  </si>
  <si>
    <t xml:space="preserve">GRESHAM                  </t>
  </si>
  <si>
    <t xml:space="preserve">SCH D OF HAMILTON (LISBON)              </t>
  </si>
  <si>
    <t xml:space="preserve">LANNON                   </t>
  </si>
  <si>
    <t xml:space="preserve">SUSSEX                   </t>
  </si>
  <si>
    <t xml:space="preserve">SCH D OF HARTFORD J 1                   </t>
  </si>
  <si>
    <t xml:space="preserve">HARTFORD                 </t>
  </si>
  <si>
    <t xml:space="preserve">SCH D OF HARTLAND-LAKESIDE J3           </t>
  </si>
  <si>
    <t xml:space="preserve">HARTLAND                 </t>
  </si>
  <si>
    <t xml:space="preserve">SCH D OF HAYWARD COMMUNITY              </t>
  </si>
  <si>
    <t xml:space="preserve">SAWYER                   </t>
  </si>
  <si>
    <t xml:space="preserve">HAYWARD                  </t>
  </si>
  <si>
    <t xml:space="preserve">SCH D OF HIGHLAND                       </t>
  </si>
  <si>
    <t xml:space="preserve">HIGHLAND                 </t>
  </si>
  <si>
    <t xml:space="preserve">SCH D OF HILBERT                        </t>
  </si>
  <si>
    <t xml:space="preserve">HILBERT                  </t>
  </si>
  <si>
    <t xml:space="preserve">SCH D OF HILLSBORO                      </t>
  </si>
  <si>
    <t xml:space="preserve">HILLSBORO                </t>
  </si>
  <si>
    <t xml:space="preserve">SCH D OF HOLMEN                         </t>
  </si>
  <si>
    <t xml:space="preserve">HOLMEN                   </t>
  </si>
  <si>
    <t xml:space="preserve">SCH D OF HORICON                        </t>
  </si>
  <si>
    <t xml:space="preserve">HORICON                  </t>
  </si>
  <si>
    <t xml:space="preserve">SCH D OF HORTONVILLE AREA               </t>
  </si>
  <si>
    <t xml:space="preserve">GREENVILLE               </t>
  </si>
  <si>
    <t xml:space="preserve">HORTONVILLE              </t>
  </si>
  <si>
    <t xml:space="preserve">SCH D OF HOWARD-SUAMICO                 </t>
  </si>
  <si>
    <t xml:space="preserve">HOWARD                   </t>
  </si>
  <si>
    <t xml:space="preserve">SUAMICO                  </t>
  </si>
  <si>
    <t xml:space="preserve">SCH D OF HOWARDS GROVE                  </t>
  </si>
  <si>
    <t xml:space="preserve">HOWARDS GROVE            </t>
  </si>
  <si>
    <t xml:space="preserve">SCH D OF HUDSON                         </t>
  </si>
  <si>
    <t xml:space="preserve">HUDSON                   </t>
  </si>
  <si>
    <t xml:space="preserve">SCH D OF HURLEY                         </t>
  </si>
  <si>
    <t xml:space="preserve">IRON                     </t>
  </si>
  <si>
    <t xml:space="preserve">HURLEY                   </t>
  </si>
  <si>
    <t xml:space="preserve">SCH D OF HUSTISFORD                     </t>
  </si>
  <si>
    <t xml:space="preserve">HUSTISFORD               </t>
  </si>
  <si>
    <t xml:space="preserve">SCH D OF INDEPENDENCE                   </t>
  </si>
  <si>
    <t xml:space="preserve">INDEPENDENCE             </t>
  </si>
  <si>
    <t xml:space="preserve">WHITEHALL                </t>
  </si>
  <si>
    <t xml:space="preserve">SCH D OF IOWA-GRANT                     </t>
  </si>
  <si>
    <t xml:space="preserve">LIVINGSTON               </t>
  </si>
  <si>
    <t xml:space="preserve">MONTFORT                 </t>
  </si>
  <si>
    <t xml:space="preserve">SCH D OF JANESVILLE                     </t>
  </si>
  <si>
    <t xml:space="preserve">JANESVILLE               </t>
  </si>
  <si>
    <t xml:space="preserve">SCH D OF JEFFERSON                      </t>
  </si>
  <si>
    <t xml:space="preserve">SCH D OF JOHNSON CREEK                  </t>
  </si>
  <si>
    <t xml:space="preserve">JOHNSON CREEK            </t>
  </si>
  <si>
    <t xml:space="preserve">SCH D OF KAUKAUNA AREA                  </t>
  </si>
  <si>
    <t xml:space="preserve">SHERWOOD                 </t>
  </si>
  <si>
    <t xml:space="preserve">KAUKAUNA                 </t>
  </si>
  <si>
    <t xml:space="preserve">SCH D OF KENOSHA                        </t>
  </si>
  <si>
    <t xml:space="preserve">SOMERS                   </t>
  </si>
  <si>
    <t xml:space="preserve">SCH D OF KETTLE MORAINE (DELAFIELD)     </t>
  </si>
  <si>
    <t xml:space="preserve">DELAFIELD                </t>
  </si>
  <si>
    <t xml:space="preserve">WALES                    </t>
  </si>
  <si>
    <t xml:space="preserve">SCH D OF KEWASKUM                       </t>
  </si>
  <si>
    <t xml:space="preserve">KEWASKUM                 </t>
  </si>
  <si>
    <t xml:space="preserve">SCH D OF KEWAUNEE                       </t>
  </si>
  <si>
    <t xml:space="preserve">SCH D OF KICKAPOO AREA (VIOLA)          </t>
  </si>
  <si>
    <t xml:space="preserve">RICHLAND                 </t>
  </si>
  <si>
    <t xml:space="preserve">VIOLA                    </t>
  </si>
  <si>
    <t xml:space="preserve">SCH D OF KIEL AREA                      </t>
  </si>
  <si>
    <t xml:space="preserve">KIEL                     </t>
  </si>
  <si>
    <t xml:space="preserve">SCH D OF KIMBERLY AREA                  </t>
  </si>
  <si>
    <t xml:space="preserve">HARRISON                 </t>
  </si>
  <si>
    <t xml:space="preserve">COMBINED LOCKS           </t>
  </si>
  <si>
    <t xml:space="preserve">KIMBERLY                 </t>
  </si>
  <si>
    <t xml:space="preserve">SCH D OF LA CROSSE                      </t>
  </si>
  <si>
    <t xml:space="preserve">SCH D OF LA FARGE                       </t>
  </si>
  <si>
    <t xml:space="preserve">LA FARGE                 </t>
  </si>
  <si>
    <t xml:space="preserve">SCH D OF LADYSMITH                      </t>
  </si>
  <si>
    <t xml:space="preserve">LADYSMITH                </t>
  </si>
  <si>
    <t xml:space="preserve">SCH D OF LAKE COUNTRY                   </t>
  </si>
  <si>
    <t xml:space="preserve">SCH D OF LAKE MILLS AREA                </t>
  </si>
  <si>
    <t xml:space="preserve">LAKE MILLS               </t>
  </si>
  <si>
    <t xml:space="preserve">SCH D OF LANCASTER COMMUNITY            </t>
  </si>
  <si>
    <t xml:space="preserve">LANCASTER                </t>
  </si>
  <si>
    <t xml:space="preserve">SCH D OF LITTLE CHUTE AREA              </t>
  </si>
  <si>
    <t xml:space="preserve">SCH D OF LODI                           </t>
  </si>
  <si>
    <t xml:space="preserve">LODI                     </t>
  </si>
  <si>
    <t xml:space="preserve">SCH D OF LOMIRA                         </t>
  </si>
  <si>
    <t xml:space="preserve">LOMIRA                   </t>
  </si>
  <si>
    <t xml:space="preserve">SCH D OF LOYAL                          </t>
  </si>
  <si>
    <t xml:space="preserve">LOYAL                    </t>
  </si>
  <si>
    <t xml:space="preserve">SCH D OF LUCK                           </t>
  </si>
  <si>
    <t xml:space="preserve">LUCK                     </t>
  </si>
  <si>
    <t xml:space="preserve">SCH D OF LUXEMBURG-CASCO                </t>
  </si>
  <si>
    <t xml:space="preserve">LUXEMBURG                </t>
  </si>
  <si>
    <t xml:space="preserve">SCH D OF MADISON METROPOLITAN           </t>
  </si>
  <si>
    <t xml:space="preserve">FITCHBURG                </t>
  </si>
  <si>
    <t xml:space="preserve">MADISON                  </t>
  </si>
  <si>
    <t xml:space="preserve">MAPLE BLUFF              </t>
  </si>
  <si>
    <t xml:space="preserve">SHOREWOOD HILLS          </t>
  </si>
  <si>
    <t xml:space="preserve">SCH D OF MANAWA                         </t>
  </si>
  <si>
    <t xml:space="preserve">MANAWA                   </t>
  </si>
  <si>
    <t xml:space="preserve">SCH D OF MANITOWOC                      </t>
  </si>
  <si>
    <t xml:space="preserve">SCH D OF MARATHON CITY                  </t>
  </si>
  <si>
    <t xml:space="preserve">SCH D OF MARINETTE                      </t>
  </si>
  <si>
    <t xml:space="preserve">SCH D OF MARION                         </t>
  </si>
  <si>
    <t xml:space="preserve">MARION                   </t>
  </si>
  <si>
    <t xml:space="preserve">SCH D OF MARKESAN                       </t>
  </si>
  <si>
    <t xml:space="preserve">FAIRWATER                </t>
  </si>
  <si>
    <t xml:space="preserve">MARKESAN                 </t>
  </si>
  <si>
    <t xml:space="preserve">SCH D OF MARSHALL                       </t>
  </si>
  <si>
    <t xml:space="preserve">MARSHALL                 </t>
  </si>
  <si>
    <t xml:space="preserve">SCH D OF MARSHFIELD                     </t>
  </si>
  <si>
    <t xml:space="preserve">MARSHFIELD               </t>
  </si>
  <si>
    <t xml:space="preserve">SCH D OF MAUSTON                        </t>
  </si>
  <si>
    <t xml:space="preserve">MAUSTON                  </t>
  </si>
  <si>
    <t xml:space="preserve">SCH D OF MAYVILLE                       </t>
  </si>
  <si>
    <t xml:space="preserve">MAYVILLE                 </t>
  </si>
  <si>
    <t xml:space="preserve">SCH D OF MCFARLAND                      </t>
  </si>
  <si>
    <t xml:space="preserve">MCFARLAND                </t>
  </si>
  <si>
    <t xml:space="preserve">SCH D OF MEDFORD AREA                   </t>
  </si>
  <si>
    <t xml:space="preserve">MEDFORD                  </t>
  </si>
  <si>
    <t xml:space="preserve">STETSONVILLE             </t>
  </si>
  <si>
    <t xml:space="preserve">SCH D OF MENASHA                        </t>
  </si>
  <si>
    <t xml:space="preserve">WINNEBAGO                </t>
  </si>
  <si>
    <t xml:space="preserve">SCH D OF MENOMONEE FALLS                </t>
  </si>
  <si>
    <t xml:space="preserve">MENOMONEE FALLS          </t>
  </si>
  <si>
    <t xml:space="preserve">SCH D OF MENOMONIE AREA                 </t>
  </si>
  <si>
    <t xml:space="preserve">KNAPP                    </t>
  </si>
  <si>
    <t xml:space="preserve">MENOMONIE                </t>
  </si>
  <si>
    <t xml:space="preserve">SCH D OF MEQUON-THIENSVILLE             </t>
  </si>
  <si>
    <t xml:space="preserve">MEQUON                   </t>
  </si>
  <si>
    <t xml:space="preserve">SCH D OF MERRILL AREA                   </t>
  </si>
  <si>
    <t xml:space="preserve">LINCOLN                  </t>
  </si>
  <si>
    <t xml:space="preserve">MERRILL                  </t>
  </si>
  <si>
    <t xml:space="preserve">SCH D OF MIDDLETON-CROSS PLAINS         </t>
  </si>
  <si>
    <t xml:space="preserve">CROSS PLAINS             </t>
  </si>
  <si>
    <t xml:space="preserve">MIDDLETON                </t>
  </si>
  <si>
    <t xml:space="preserve">SPRINGFIELD              </t>
  </si>
  <si>
    <t xml:space="preserve">SCH D OF MILTON                         </t>
  </si>
  <si>
    <t xml:space="preserve">MILTON                   </t>
  </si>
  <si>
    <t xml:space="preserve">SCH D OF MILWAUKEE                      </t>
  </si>
  <si>
    <t xml:space="preserve">SCH D OF MISHICOT                       </t>
  </si>
  <si>
    <t xml:space="preserve">FRANCIS CREEK            </t>
  </si>
  <si>
    <t xml:space="preserve">SCH D OF MONDOVI                        </t>
  </si>
  <si>
    <t xml:space="preserve">MONDOVI                  </t>
  </si>
  <si>
    <t xml:space="preserve">SCH D OF MONONA GROVE                   </t>
  </si>
  <si>
    <t xml:space="preserve">COTTAGE GROVE            </t>
  </si>
  <si>
    <t xml:space="preserve">MONONA                   </t>
  </si>
  <si>
    <t xml:space="preserve">SCH D OF MONROE                         </t>
  </si>
  <si>
    <t xml:space="preserve">SCH D OF MOSINEE                        </t>
  </si>
  <si>
    <t xml:space="preserve">MOSINEE                  </t>
  </si>
  <si>
    <t xml:space="preserve">SCH D OF MOUNT HOREB AREA               </t>
  </si>
  <si>
    <t xml:space="preserve">MOUNT HOREB              </t>
  </si>
  <si>
    <t xml:space="preserve">SCH D OF MUKWONAGO                      </t>
  </si>
  <si>
    <t xml:space="preserve">MUKWONAGO                </t>
  </si>
  <si>
    <t xml:space="preserve">BIG BEND                 </t>
  </si>
  <si>
    <t xml:space="preserve">SCH D OF MUSKEGO-NORWAY                 </t>
  </si>
  <si>
    <t xml:space="preserve">MUSKEGO                  </t>
  </si>
  <si>
    <t xml:space="preserve">SCH D OF NECEDAH AREA                   </t>
  </si>
  <si>
    <t xml:space="preserve">NECEDAH                  </t>
  </si>
  <si>
    <t xml:space="preserve">SCH D OF NEENAH                         </t>
  </si>
  <si>
    <t xml:space="preserve">FOX CROSSING             </t>
  </si>
  <si>
    <t xml:space="preserve">NEENAH                   </t>
  </si>
  <si>
    <t xml:space="preserve">SCH D OF NEILLSVILLE                    </t>
  </si>
  <si>
    <t xml:space="preserve">NEILLSVILLE              </t>
  </si>
  <si>
    <t xml:space="preserve">SCH D OF NEKOOSA                        </t>
  </si>
  <si>
    <t xml:space="preserve">ROME                     </t>
  </si>
  <si>
    <t xml:space="preserve">NEKOOSA                  </t>
  </si>
  <si>
    <t xml:space="preserve">SCH D OF NEW AUBURN                     </t>
  </si>
  <si>
    <t xml:space="preserve">NEW AUBURN               </t>
  </si>
  <si>
    <t xml:space="preserve">SCH D OF NEW BERLIN                     </t>
  </si>
  <si>
    <t xml:space="preserve">NEW BERLIN               </t>
  </si>
  <si>
    <t xml:space="preserve">SCH D OF NEW GLARUS                     </t>
  </si>
  <si>
    <t xml:space="preserve">NEW GLARUS               </t>
  </si>
  <si>
    <t xml:space="preserve">SCH D OF NEW HOLSTEIN                   </t>
  </si>
  <si>
    <t xml:space="preserve">NEW HOLSTEIN             </t>
  </si>
  <si>
    <t xml:space="preserve">SCH D OF NEW LISBON                     </t>
  </si>
  <si>
    <t xml:space="preserve">NEW LISBON               </t>
  </si>
  <si>
    <t xml:space="preserve">SCH D OF NEW LONDON                     </t>
  </si>
  <si>
    <t xml:space="preserve">NEW LONDON               </t>
  </si>
  <si>
    <t xml:space="preserve">SCH D OF NEW RICHMOND                   </t>
  </si>
  <si>
    <t xml:space="preserve">NEW RICHMOND             </t>
  </si>
  <si>
    <t xml:space="preserve">SCH D OF NIAGARA                        </t>
  </si>
  <si>
    <t xml:space="preserve">NIAGARA                  </t>
  </si>
  <si>
    <t xml:space="preserve">SCH D OF NORTH CRAWFORD                 </t>
  </si>
  <si>
    <t xml:space="preserve">GAYS MILLS               </t>
  </si>
  <si>
    <t xml:space="preserve">SCH D OF NORTH FOND DU LAC              </t>
  </si>
  <si>
    <t xml:space="preserve">NORTH FOND DU LAC        </t>
  </si>
  <si>
    <t xml:space="preserve">SCH D OF NORTHLAND PINES (EAGLE RIVER)  </t>
  </si>
  <si>
    <t xml:space="preserve">VILAS                    </t>
  </si>
  <si>
    <t xml:space="preserve">EAGLE RIVER              </t>
  </si>
  <si>
    <t xml:space="preserve">SCH D OF NORTHWOOD (MINONG)             </t>
  </si>
  <si>
    <t xml:space="preserve">MINONG                   </t>
  </si>
  <si>
    <t xml:space="preserve">SCH D OF NORWALK-ONTARIO-WILTON         </t>
  </si>
  <si>
    <t xml:space="preserve">WILTON                   </t>
  </si>
  <si>
    <t xml:space="preserve">ONTARIO                  </t>
  </si>
  <si>
    <t xml:space="preserve">SCH D OF OAK CREEK-FRANKLIN             </t>
  </si>
  <si>
    <t xml:space="preserve">OAK CREEK                </t>
  </si>
  <si>
    <t xml:space="preserve">SCH D OF OAKFIELD                       </t>
  </si>
  <si>
    <t xml:space="preserve">OAKFIELD                 </t>
  </si>
  <si>
    <t xml:space="preserve">SCH D OF OCONOMOWOC AREA                </t>
  </si>
  <si>
    <t xml:space="preserve">OCONOMOWOC               </t>
  </si>
  <si>
    <t xml:space="preserve">SCH D OF OCONTO                         </t>
  </si>
  <si>
    <t xml:space="preserve">SCH D OF OMRO                           </t>
  </si>
  <si>
    <t xml:space="preserve">OMRO                     </t>
  </si>
  <si>
    <t xml:space="preserve">SCH D OF OOSTBURG                       </t>
  </si>
  <si>
    <t xml:space="preserve">OOSTBURG                 </t>
  </si>
  <si>
    <t xml:space="preserve">SCH D OF OREGON                         </t>
  </si>
  <si>
    <t xml:space="preserve">BROOKLYN                 </t>
  </si>
  <si>
    <t xml:space="preserve">OREGON                   </t>
  </si>
  <si>
    <t xml:space="preserve">SCH D OF OSCEOLA                        </t>
  </si>
  <si>
    <t xml:space="preserve">OSCEOLA                  </t>
  </si>
  <si>
    <t xml:space="preserve">SCH D OF OSHKOSH AREA                   </t>
  </si>
  <si>
    <t xml:space="preserve">OSHKOSH                  </t>
  </si>
  <si>
    <t xml:space="preserve">SCH D OF OSSEO-FAIRCHILD                </t>
  </si>
  <si>
    <t xml:space="preserve">OSSEO                    </t>
  </si>
  <si>
    <t xml:space="preserve">SCH D OF OWEN-WITHEE                    </t>
  </si>
  <si>
    <t xml:space="preserve">OWEN                     </t>
  </si>
  <si>
    <t xml:space="preserve">WITHEE                   </t>
  </si>
  <si>
    <t xml:space="preserve">SCH D OF PALMYRA-EAGLE AREA             </t>
  </si>
  <si>
    <t xml:space="preserve">PALMYRA                  </t>
  </si>
  <si>
    <t xml:space="preserve">SCH D OF PARIS J 1                      </t>
  </si>
  <si>
    <t xml:space="preserve">SCH D OF PARKVIEW (ORFORDVILLE)         </t>
  </si>
  <si>
    <t xml:space="preserve">FOOTVILLE                </t>
  </si>
  <si>
    <t xml:space="preserve">ORFORDVILLE              </t>
  </si>
  <si>
    <t xml:space="preserve">SCH D OF PEPIN AREA                     </t>
  </si>
  <si>
    <t xml:space="preserve">SCH D OF PEWAUKEE                       </t>
  </si>
  <si>
    <t xml:space="preserve">PEWAUKEE                 </t>
  </si>
  <si>
    <t xml:space="preserve">SCH D OF PHILLIPS                       </t>
  </si>
  <si>
    <t xml:space="preserve">PHILLIPS                 </t>
  </si>
  <si>
    <t xml:space="preserve">SCH D OF PITTSVILLE                     </t>
  </si>
  <si>
    <t xml:space="preserve">PITTSVILLE               </t>
  </si>
  <si>
    <t xml:space="preserve">SCH D OF PLATTEVILLE                    </t>
  </si>
  <si>
    <t xml:space="preserve">PLATTEVILLE              </t>
  </si>
  <si>
    <t xml:space="preserve">SCH D OF PLYMOUTH                       </t>
  </si>
  <si>
    <t xml:space="preserve">CASCADE                  </t>
  </si>
  <si>
    <t xml:space="preserve">PLYMOUTH                 </t>
  </si>
  <si>
    <t xml:space="preserve">SCH D OF PORT EDWARDS                   </t>
  </si>
  <si>
    <t xml:space="preserve">PORT EDWARDS             </t>
  </si>
  <si>
    <t xml:space="preserve">SCH D OF PORT WASHINGTON-SAUKVILLE      </t>
  </si>
  <si>
    <t xml:space="preserve">PORT WASHINGTON          </t>
  </si>
  <si>
    <t xml:space="preserve">SAUKVILLE                </t>
  </si>
  <si>
    <t xml:space="preserve">SCH D OF PORTAGE COMMUNITY              </t>
  </si>
  <si>
    <t xml:space="preserve">PORTAGE                  </t>
  </si>
  <si>
    <t xml:space="preserve">MARQUETTE                </t>
  </si>
  <si>
    <t xml:space="preserve">ENDEAVOR                 </t>
  </si>
  <si>
    <t xml:space="preserve">SCH D OF POYNETTE                       </t>
  </si>
  <si>
    <t xml:space="preserve">ARLINGTON                </t>
  </si>
  <si>
    <t xml:space="preserve">SCH D OF PRAIRIE DU CHIEN AREA          </t>
  </si>
  <si>
    <t xml:space="preserve">PRAIRIE DU CHIEN         </t>
  </si>
  <si>
    <t xml:space="preserve">SCH D OF PRAIRIE FARM                   </t>
  </si>
  <si>
    <t xml:space="preserve">PRAIRIE FARM             </t>
  </si>
  <si>
    <t xml:space="preserve">SCH D OF PRENTICE                       </t>
  </si>
  <si>
    <t xml:space="preserve">PRENTICE                 </t>
  </si>
  <si>
    <t xml:space="preserve">SCH D OF PRESCOTT                       </t>
  </si>
  <si>
    <t xml:space="preserve">PRESCOTT                 </t>
  </si>
  <si>
    <t xml:space="preserve">SCH D OF PRINCETON                      </t>
  </si>
  <si>
    <t xml:space="preserve">PRINCETON                </t>
  </si>
  <si>
    <t xml:space="preserve">SCH D OF PULASKI COMMUNITY              </t>
  </si>
  <si>
    <t xml:space="preserve">HOBART                   </t>
  </si>
  <si>
    <t xml:space="preserve">PULASKI                  </t>
  </si>
  <si>
    <t xml:space="preserve">SCH D OF RACINE                         </t>
  </si>
  <si>
    <t xml:space="preserve">RACINE                   </t>
  </si>
  <si>
    <t xml:space="preserve">CALEDONIA                </t>
  </si>
  <si>
    <t xml:space="preserve">MOUNT PLEASANT           </t>
  </si>
  <si>
    <t xml:space="preserve">STURTEVANT               </t>
  </si>
  <si>
    <t xml:space="preserve">SCH D OF RANDALL J 1                    </t>
  </si>
  <si>
    <t xml:space="preserve">TWIN LAKES               </t>
  </si>
  <si>
    <t xml:space="preserve">SCH D OF RANDOLPH                       </t>
  </si>
  <si>
    <t xml:space="preserve">RANDOLPH                 </t>
  </si>
  <si>
    <t xml:space="preserve">SCH D OF RANDOM LAKE                    </t>
  </si>
  <si>
    <t xml:space="preserve">RANDOM LAKE              </t>
  </si>
  <si>
    <t xml:space="preserve">SCH D OF REEDSBURG                      </t>
  </si>
  <si>
    <t xml:space="preserve">LOGANVILLE               </t>
  </si>
  <si>
    <t xml:space="preserve">REEDSBURG                </t>
  </si>
  <si>
    <t xml:space="preserve">SCH D OF REEDSVILLE                     </t>
  </si>
  <si>
    <t xml:space="preserve">KELLNERSVILLE            </t>
  </si>
  <si>
    <t xml:space="preserve">SCH D OF RHINELANDER                    </t>
  </si>
  <si>
    <t xml:space="preserve">ONEIDA                   </t>
  </si>
  <si>
    <t xml:space="preserve">RHINELANDER              </t>
  </si>
  <si>
    <t xml:space="preserve">SCH D OF RIB LAKE                       </t>
  </si>
  <si>
    <t xml:space="preserve">RIB LAKE                 </t>
  </si>
  <si>
    <t xml:space="preserve">SCH D OF RICE LAKE AREA                 </t>
  </si>
  <si>
    <t xml:space="preserve">RICE LAKE                </t>
  </si>
  <si>
    <t xml:space="preserve">SCH D OF RICHLAND                       </t>
  </si>
  <si>
    <t xml:space="preserve">RICHLAND CENTER          </t>
  </si>
  <si>
    <t xml:space="preserve">SCH D OF RICHMOND                       </t>
  </si>
  <si>
    <t xml:space="preserve">SCH D OF RIO COMMUNITY                  </t>
  </si>
  <si>
    <t xml:space="preserve">RIO                      </t>
  </si>
  <si>
    <t xml:space="preserve">SCH D OF RIPON AREA                     </t>
  </si>
  <si>
    <t xml:space="preserve">RIPON                    </t>
  </si>
  <si>
    <t xml:space="preserve">SCH D OF RIVER FALLS                    </t>
  </si>
  <si>
    <t xml:space="preserve">RIVER FALLS              </t>
  </si>
  <si>
    <t xml:space="preserve">SCH D OF RIVER VALLEY (SPRING GREEN)    </t>
  </si>
  <si>
    <t xml:space="preserve">ARENA                    </t>
  </si>
  <si>
    <t xml:space="preserve">PLAIN                    </t>
  </si>
  <si>
    <t xml:space="preserve">SPRING GREEN             </t>
  </si>
  <si>
    <t xml:space="preserve">SCH D OF RIVERDALE (MUSCODA)            </t>
  </si>
  <si>
    <t xml:space="preserve">MUSCODA                  </t>
  </si>
  <si>
    <t xml:space="preserve">AVOCA                    </t>
  </si>
  <si>
    <t xml:space="preserve">SCH D OF ROSENDALE-BRANDON              </t>
  </si>
  <si>
    <t xml:space="preserve">ROSENDALE                </t>
  </si>
  <si>
    <t xml:space="preserve">SCH D OF ROYALL                         </t>
  </si>
  <si>
    <t xml:space="preserve">ELROY                    </t>
  </si>
  <si>
    <t xml:space="preserve">SCH D OF SAINT CROIX CENTRAL (HAMMOND)  </t>
  </si>
  <si>
    <t xml:space="preserve">HAMMOND                  </t>
  </si>
  <si>
    <t xml:space="preserve">ROBERTS                  </t>
  </si>
  <si>
    <t xml:space="preserve">SCH D OF SAINT CROIX FALLS              </t>
  </si>
  <si>
    <t xml:space="preserve">SAINT CROIX FALLS        </t>
  </si>
  <si>
    <t xml:space="preserve">SCH D OF SAINT FRANCIS                  </t>
  </si>
  <si>
    <t xml:space="preserve">SAINT FRANCIS            </t>
  </si>
  <si>
    <t xml:space="preserve">SCH D OF SALEM                          </t>
  </si>
  <si>
    <t xml:space="preserve">PADDOCK LAKE             </t>
  </si>
  <si>
    <t xml:space="preserve">SCH D OF SAUK PRAIRIE                   </t>
  </si>
  <si>
    <t xml:space="preserve">PRAIRIE DU SAC           </t>
  </si>
  <si>
    <t xml:space="preserve">SAUK CITY                </t>
  </si>
  <si>
    <t xml:space="preserve">SCH D OF SEYMOUR COMMUNITY              </t>
  </si>
  <si>
    <t xml:space="preserve">BLACK CREEK              </t>
  </si>
  <si>
    <t xml:space="preserve">SEYMOUR                  </t>
  </si>
  <si>
    <t xml:space="preserve">SCH D OF SHARON J 11                    </t>
  </si>
  <si>
    <t xml:space="preserve">SHARON                   </t>
  </si>
  <si>
    <t xml:space="preserve">SCH D OF SHAWANO                        </t>
  </si>
  <si>
    <t xml:space="preserve">SCH D OF SHEBOYGAN AREA                 </t>
  </si>
  <si>
    <t xml:space="preserve">SCH D OF SHEBOYGAN FALLS                </t>
  </si>
  <si>
    <t xml:space="preserve">SHEBOYGAN FALLS          </t>
  </si>
  <si>
    <t xml:space="preserve">SCH D OF SHELL LAKE                     </t>
  </si>
  <si>
    <t xml:space="preserve">SHELL LAKE               </t>
  </si>
  <si>
    <t xml:space="preserve">SCH D OF SHOREWOOD                      </t>
  </si>
  <si>
    <t xml:space="preserve">SHOREWOOD                </t>
  </si>
  <si>
    <t xml:space="preserve">SCH D OF SHULLSBURG                     </t>
  </si>
  <si>
    <t xml:space="preserve">SHULLSBURG               </t>
  </si>
  <si>
    <t xml:space="preserve">SCH D OF SIREN                          </t>
  </si>
  <si>
    <t xml:space="preserve">SIREN                    </t>
  </si>
  <si>
    <t xml:space="preserve">SCH D OF SLINGER                        </t>
  </si>
  <si>
    <t xml:space="preserve">SLINGER                  </t>
  </si>
  <si>
    <t xml:space="preserve">SCH D OF SOLON SPRINGS                  </t>
  </si>
  <si>
    <t xml:space="preserve">DOUGLAS                  </t>
  </si>
  <si>
    <t xml:space="preserve">SOLON SPRINGS            </t>
  </si>
  <si>
    <t xml:space="preserve">SCH D OF SOMERSET                       </t>
  </si>
  <si>
    <t xml:space="preserve">SOMERSET                 </t>
  </si>
  <si>
    <t xml:space="preserve">SCH D OF SOUTH MILWAUKEE                </t>
  </si>
  <si>
    <t xml:space="preserve">SOUTH MILWAUKEE          </t>
  </si>
  <si>
    <t xml:space="preserve">SCH D OF SOUTHWESTERN WISCONSIN (HZ GR) </t>
  </si>
  <si>
    <t xml:space="preserve">HAZEL GREEN              </t>
  </si>
  <si>
    <t xml:space="preserve">SCH D OF SPARTA AREA                    </t>
  </si>
  <si>
    <t xml:space="preserve">SPARTA                   </t>
  </si>
  <si>
    <t xml:space="preserve">SCH D OF SPENCER                        </t>
  </si>
  <si>
    <t xml:space="preserve">SPENCER                  </t>
  </si>
  <si>
    <t xml:space="preserve">SCH D OF SPOONER                        </t>
  </si>
  <si>
    <t xml:space="preserve">SPOONER                  </t>
  </si>
  <si>
    <t xml:space="preserve">SCH D OF SPRING VALLEY                  </t>
  </si>
  <si>
    <t xml:space="preserve">SPRING VALLEY            </t>
  </si>
  <si>
    <t xml:space="preserve">SCH D OF STANLEY-BOYD AREA              </t>
  </si>
  <si>
    <t xml:space="preserve">STANLEY                  </t>
  </si>
  <si>
    <t xml:space="preserve">SCH D OF STEVENS POINT AREA             </t>
  </si>
  <si>
    <t xml:space="preserve">JUNCTION CITY            </t>
  </si>
  <si>
    <t xml:space="preserve">PLOVER                   </t>
  </si>
  <si>
    <t xml:space="preserve">STEVENS POINT            </t>
  </si>
  <si>
    <t xml:space="preserve">WHITING                  </t>
  </si>
  <si>
    <t xml:space="preserve">SCH D OF STOUGHTON AREA                 </t>
  </si>
  <si>
    <t xml:space="preserve">STOUGHTON                </t>
  </si>
  <si>
    <t xml:space="preserve">SCH D OF STRATFORD                      </t>
  </si>
  <si>
    <t xml:space="preserve">STRATFORD                </t>
  </si>
  <si>
    <t xml:space="preserve">SCH D OF STURGEON BAY                   </t>
  </si>
  <si>
    <t xml:space="preserve">STURGEON BAY             </t>
  </si>
  <si>
    <t xml:space="preserve">SCH D OF SUN PRAIRIE AREA               </t>
  </si>
  <si>
    <t xml:space="preserve">SUN PRAIRIE              </t>
  </si>
  <si>
    <t xml:space="preserve">SCH D OF SUPERIOR                       </t>
  </si>
  <si>
    <t xml:space="preserve">SUPERIOR                 </t>
  </si>
  <si>
    <t xml:space="preserve">SCH D OF SURING                         </t>
  </si>
  <si>
    <t xml:space="preserve">SURING                   </t>
  </si>
  <si>
    <t xml:space="preserve">SCH D OF THORP                          </t>
  </si>
  <si>
    <t xml:space="preserve">THORP                    </t>
  </si>
  <si>
    <t xml:space="preserve">SCH D OF TIGERTON                       </t>
  </si>
  <si>
    <t xml:space="preserve">TIGERTON                 </t>
  </si>
  <si>
    <t xml:space="preserve">SCH D OF TOMAH AREA                     </t>
  </si>
  <si>
    <t xml:space="preserve">CAMP DOUGLAS             </t>
  </si>
  <si>
    <t xml:space="preserve">TOMAH                    </t>
  </si>
  <si>
    <t xml:space="preserve">WARRENS                  </t>
  </si>
  <si>
    <t xml:space="preserve">SCH D OF TOMAHAWK                       </t>
  </si>
  <si>
    <t xml:space="preserve">TOMAHAWK                 </t>
  </si>
  <si>
    <t xml:space="preserve">SCH D OF TOMORROW RIVER (AMHERST)       </t>
  </si>
  <si>
    <t xml:space="preserve">AMHERST                  </t>
  </si>
  <si>
    <t xml:space="preserve">SCH D OF TREVOR-WILMOT CONSOLIDATED     </t>
  </si>
  <si>
    <t xml:space="preserve">SALEM LAKES              </t>
  </si>
  <si>
    <t xml:space="preserve">SCH D OF TRI-COUNTY AREA (PLAINFIELD)   </t>
  </si>
  <si>
    <t xml:space="preserve">HANCOCK                  </t>
  </si>
  <si>
    <t xml:space="preserve">PLAINFIELD               </t>
  </si>
  <si>
    <t xml:space="preserve">SCH D OF TURTLE LAKE                    </t>
  </si>
  <si>
    <t xml:space="preserve">TURTLE LAKE              </t>
  </si>
  <si>
    <t xml:space="preserve">SCH D OF TWIN LAKES #4                  </t>
  </si>
  <si>
    <t xml:space="preserve">SCH D OF TWO RIVERS                     </t>
  </si>
  <si>
    <t xml:space="preserve">TWO RIVERS               </t>
  </si>
  <si>
    <t xml:space="preserve">SCH D OF UNION GROVE J 1                </t>
  </si>
  <si>
    <t xml:space="preserve">UNION GROVE              </t>
  </si>
  <si>
    <t xml:space="preserve">SCH D OF UNITY (MILLTOWN)               </t>
  </si>
  <si>
    <t xml:space="preserve">BALSAM LAKE              </t>
  </si>
  <si>
    <t xml:space="preserve">CENTURIA                 </t>
  </si>
  <si>
    <t xml:space="preserve">MILLTOWN                 </t>
  </si>
  <si>
    <t xml:space="preserve">SCH D OF VALDERS AREA                   </t>
  </si>
  <si>
    <t xml:space="preserve">VALDERS                  </t>
  </si>
  <si>
    <t xml:space="preserve">WHITELAW                 </t>
  </si>
  <si>
    <t xml:space="preserve">SCH D OF VERONA AREA                    </t>
  </si>
  <si>
    <t xml:space="preserve">VERONA                   </t>
  </si>
  <si>
    <t xml:space="preserve">SCH D OF VIROQUA AREA                   </t>
  </si>
  <si>
    <t xml:space="preserve">VIROQUA                  </t>
  </si>
  <si>
    <t xml:space="preserve">SCH D OF WALWORTH J 1                   </t>
  </si>
  <si>
    <t xml:space="preserve">SCH D OF WASHBURN                       </t>
  </si>
  <si>
    <t xml:space="preserve">SCH D OF WATERFORD GRADED J 1 (V)       </t>
  </si>
  <si>
    <t xml:space="preserve">WATERFORD                </t>
  </si>
  <si>
    <t xml:space="preserve">SCH D OF WATERLOO                       </t>
  </si>
  <si>
    <t xml:space="preserve">WATERLOO                 </t>
  </si>
  <si>
    <t xml:space="preserve">SCH D OF WATERTOWN                      </t>
  </si>
  <si>
    <t xml:space="preserve">WATERTOWN                </t>
  </si>
  <si>
    <t xml:space="preserve">SCH D OF WAUKESHA                       </t>
  </si>
  <si>
    <t xml:space="preserve">SCH D OF WAUNAKEE COMMUNITY             </t>
  </si>
  <si>
    <t xml:space="preserve">WAUNAKEE                 </t>
  </si>
  <si>
    <t xml:space="preserve">SCH D OF WAUPACA                        </t>
  </si>
  <si>
    <t xml:space="preserve">SCH D OF WAUPUN                         </t>
  </si>
  <si>
    <t xml:space="preserve">FOX LAKE                 </t>
  </si>
  <si>
    <t xml:space="preserve">WAUPUN                   </t>
  </si>
  <si>
    <t xml:space="preserve">SCH D OF WAUSAU                         </t>
  </si>
  <si>
    <t xml:space="preserve">MAINE                    </t>
  </si>
  <si>
    <t xml:space="preserve">WAUSAU                   </t>
  </si>
  <si>
    <t xml:space="preserve">SCH D OF WAUTOMA AREA                   </t>
  </si>
  <si>
    <t xml:space="preserve">REDGRANITE               </t>
  </si>
  <si>
    <t xml:space="preserve">WAUTOMA                  </t>
  </si>
  <si>
    <t xml:space="preserve">SCH D OF WAUWATOSA                      </t>
  </si>
  <si>
    <t xml:space="preserve">WAUWATOSA                </t>
  </si>
  <si>
    <t xml:space="preserve">SCH D OF WAUZEKA-STEUBEN                </t>
  </si>
  <si>
    <t xml:space="preserve">WAUZEKA                  </t>
  </si>
  <si>
    <t xml:space="preserve">SCH D OF WEBSTER                        </t>
  </si>
  <si>
    <t xml:space="preserve">WEBSTER                  </t>
  </si>
  <si>
    <t xml:space="preserve">SCH D OF WEST ALLIS                     </t>
  </si>
  <si>
    <t xml:space="preserve">WEST ALLIS               </t>
  </si>
  <si>
    <t xml:space="preserve">WEST MILWAUKEE           </t>
  </si>
  <si>
    <t xml:space="preserve">SCH D OF WEST BEND                      </t>
  </si>
  <si>
    <t xml:space="preserve">WEST BEND                </t>
  </si>
  <si>
    <t xml:space="preserve">SCH D OF WEST DE PERE                   </t>
  </si>
  <si>
    <t xml:space="preserve">LAWRENCE                 </t>
  </si>
  <si>
    <t xml:space="preserve">SCH D OF WEST SALEM                     </t>
  </si>
  <si>
    <t xml:space="preserve">WEST SALEM               </t>
  </si>
  <si>
    <t xml:space="preserve">SCH D OF WESTBY AREA                    </t>
  </si>
  <si>
    <t xml:space="preserve">WESTBY                   </t>
  </si>
  <si>
    <t xml:space="preserve">SCH D OF WESTFIELD                      </t>
  </si>
  <si>
    <t xml:space="preserve">WESTFIELD                </t>
  </si>
  <si>
    <t xml:space="preserve">COLOMA                   </t>
  </si>
  <si>
    <t xml:space="preserve">SCH D OF WEYAUWEGA-FREMONT              </t>
  </si>
  <si>
    <t xml:space="preserve">WEYAUWEGA                </t>
  </si>
  <si>
    <t xml:space="preserve">SCH D OF WHITEFISH BAY                  </t>
  </si>
  <si>
    <t xml:space="preserve">WHITEFISH BAY            </t>
  </si>
  <si>
    <t xml:space="preserve">SCH D OF WHITEHALL                      </t>
  </si>
  <si>
    <t xml:space="preserve">SCH D OF WHITEWATER                     </t>
  </si>
  <si>
    <t xml:space="preserve">WHITEWATER               </t>
  </si>
  <si>
    <t xml:space="preserve">SCH D OF WHITNALL                       </t>
  </si>
  <si>
    <t xml:space="preserve">HALES CORNERS            </t>
  </si>
  <si>
    <t xml:space="preserve">SCH D OF WILD ROSE                      </t>
  </si>
  <si>
    <t xml:space="preserve">WILD ROSE                </t>
  </si>
  <si>
    <t xml:space="preserve">SCH D OF WINNECONNE COMMUNITY           </t>
  </si>
  <si>
    <t xml:space="preserve">WINNECONNE               </t>
  </si>
  <si>
    <t xml:space="preserve">SCH D OF WISCONSIN DELLS                </t>
  </si>
  <si>
    <t xml:space="preserve">WISCONSIN DELLS          </t>
  </si>
  <si>
    <t xml:space="preserve">LAKE DELTON              </t>
  </si>
  <si>
    <t xml:space="preserve">SCH D OF WISCONSIN HEIGHTS (BLK EARTH)  </t>
  </si>
  <si>
    <t xml:space="preserve">BLACK EARTH              </t>
  </si>
  <si>
    <t xml:space="preserve">MAZOMANIE                </t>
  </si>
  <si>
    <t xml:space="preserve">SCH D OF WISCONSIN RAPIDS               </t>
  </si>
  <si>
    <t xml:space="preserve">BIRON                    </t>
  </si>
  <si>
    <t xml:space="preserve">VESPER                   </t>
  </si>
  <si>
    <t xml:space="preserve">WISCONSIN RAPIDS         </t>
  </si>
  <si>
    <t xml:space="preserve">SCH D OF WITTENBERG-BIRNAMWOOD          </t>
  </si>
  <si>
    <t xml:space="preserve">BIRNAMWOOD               </t>
  </si>
  <si>
    <t xml:space="preserve">WITTENBERG               </t>
  </si>
  <si>
    <t xml:space="preserve">SCH D OF WRIGHTSTOWN COMMUNITY          </t>
  </si>
  <si>
    <t xml:space="preserve">WRIGHTSTOWN              </t>
  </si>
  <si>
    <t xml:space="preserve">UHS D OF ARROWHEAD UNION HIGH           </t>
  </si>
  <si>
    <t xml:space="preserve">UHS D OF BIGFOOT UNION HIGH             </t>
  </si>
  <si>
    <t xml:space="preserve">UHS D OF CENTRAL-WESTOSHA UNION HIGH    </t>
  </si>
  <si>
    <t xml:space="preserve">UHS D OF HARTFORD UNION HIGH            </t>
  </si>
  <si>
    <t xml:space="preserve">UHS D OF NICOLET UNION HIGH             </t>
  </si>
  <si>
    <t xml:space="preserve">UHS D OF UNION GROVE UNION HIGH         </t>
  </si>
  <si>
    <t xml:space="preserve">UHS D OF WATERFORD UNION HIGH           </t>
  </si>
  <si>
    <t xml:space="preserve">UHS D OF WILMOT (SALEM) UNION HIGH      </t>
  </si>
  <si>
    <t>TID #</t>
  </si>
  <si>
    <t>Base Year</t>
  </si>
  <si>
    <t>Current Value</t>
  </si>
  <si>
    <t>Base Value</t>
  </si>
  <si>
    <t>Increment</t>
  </si>
  <si>
    <t>Net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</si>
</sst>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wrapText="1"/>
    </xf>
    <xf numFmtId="0" fontId="16" fillId="0" borderId="10" xfId="0" applyFont="1" applyBorder="1" applyAlignment="1">
      <alignment horizontal="center" wrapText="1"/>
    </xf>
    <xf numFmtId="0" fontId="16" fillId="0" borderId="10" xfId="0" applyFont="1" applyBorder="1" applyAlignment="1">
      <alignment horizontal="right" wrapText="1"/>
    </xf>
    <xf numFmtId="164" fontId="0" fillId="0" borderId="0" xfId="0" applyNumberFormat="1" applyAlignment="1">
      <alignment horizontal="center"/>
    </xf>
    <xf numFmtId="3" fontId="0" fillId="0" borderId="0" xfId="1" applyNumberFormat="1" applyFont="1"/>
    <xf numFmtId="3" fontId="0" fillId="0" borderId="0" xfId="0" applyNumberFormat="1"/>
    <xf numFmtId="0" fontId="18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1"/>
  <sheetViews>
    <sheetView tabSelected="1" workbookViewId="0">
      <selection activeCell="A2" sqref="A2:L2"/>
    </sheetView>
  </sheetViews>
  <sheetFormatPr defaultRowHeight="15" x14ac:dyDescent="0.25"/>
  <cols>
    <col min="1" max="1" width="41.42578125" customWidth="1"/>
    <col min="2" max="2" width="8.28515625" customWidth="1"/>
    <col min="3" max="3" width="20.7109375" customWidth="1"/>
    <col min="4" max="4" width="8.28515625" style="1" customWidth="1"/>
    <col min="5" max="5" width="13.7109375" customWidth="1"/>
    <col min="6" max="6" width="23.7109375" customWidth="1"/>
    <col min="7" max="8" width="5.7109375" style="1" customWidth="1"/>
    <col min="9" max="9" width="14.7109375" customWidth="1"/>
    <col min="10" max="12" width="13.28515625" customWidth="1"/>
  </cols>
  <sheetData>
    <row r="1" spans="1:12" ht="18.75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8.75" x14ac:dyDescent="0.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30" x14ac:dyDescent="0.25">
      <c r="A3" s="2" t="s">
        <v>2</v>
      </c>
      <c r="B3" s="3" t="s">
        <v>3</v>
      </c>
      <c r="C3" s="2" t="s">
        <v>4</v>
      </c>
      <c r="D3" s="3" t="s">
        <v>5</v>
      </c>
      <c r="E3" s="2" t="s">
        <v>6</v>
      </c>
      <c r="F3" s="2" t="s">
        <v>7</v>
      </c>
      <c r="G3" s="3" t="s">
        <v>804</v>
      </c>
      <c r="H3" s="3" t="s">
        <v>805</v>
      </c>
      <c r="I3" s="4" t="s">
        <v>806</v>
      </c>
      <c r="J3" s="4" t="s">
        <v>807</v>
      </c>
      <c r="K3" s="4" t="s">
        <v>808</v>
      </c>
      <c r="L3" s="3" t="s">
        <v>809</v>
      </c>
    </row>
    <row r="4" spans="1:12" x14ac:dyDescent="0.25">
      <c r="A4" t="s">
        <v>8</v>
      </c>
      <c r="B4" s="5">
        <v>100007</v>
      </c>
      <c r="C4" t="s">
        <v>9</v>
      </c>
      <c r="D4" s="1" t="str">
        <f>"10201"</f>
        <v>10201</v>
      </c>
      <c r="E4" t="s">
        <v>10</v>
      </c>
      <c r="F4" t="s">
        <v>11</v>
      </c>
      <c r="G4" s="1" t="str">
        <f>"005"</f>
        <v>005</v>
      </c>
      <c r="H4" s="1">
        <v>2008</v>
      </c>
      <c r="I4" s="6">
        <v>563200</v>
      </c>
      <c r="J4" s="6">
        <v>458800</v>
      </c>
      <c r="K4" s="6">
        <v>104400</v>
      </c>
      <c r="L4" s="7"/>
    </row>
    <row r="5" spans="1:12" x14ac:dyDescent="0.25">
      <c r="A5" t="s">
        <v>8</v>
      </c>
      <c r="B5" s="5">
        <v>100007</v>
      </c>
      <c r="C5" t="s">
        <v>9</v>
      </c>
      <c r="D5" s="1" t="str">
        <f>"10201"</f>
        <v>10201</v>
      </c>
      <c r="E5" t="s">
        <v>10</v>
      </c>
      <c r="F5" t="s">
        <v>11</v>
      </c>
      <c r="G5" s="1" t="str">
        <f>"006"</f>
        <v>006</v>
      </c>
      <c r="H5" s="1">
        <v>2016</v>
      </c>
      <c r="I5" s="6">
        <v>4771600</v>
      </c>
      <c r="J5" s="6">
        <v>2947100</v>
      </c>
      <c r="K5" s="6">
        <v>1824500</v>
      </c>
      <c r="L5" s="7"/>
    </row>
    <row r="6" spans="1:12" x14ac:dyDescent="0.25">
      <c r="A6" t="s">
        <v>8</v>
      </c>
      <c r="B6" s="5">
        <v>100007</v>
      </c>
      <c r="C6" t="s">
        <v>9</v>
      </c>
      <c r="D6" s="1" t="str">
        <f>"10201"</f>
        <v>10201</v>
      </c>
      <c r="E6" t="s">
        <v>10</v>
      </c>
      <c r="F6" t="s">
        <v>11</v>
      </c>
      <c r="G6" s="1" t="str">
        <f>"007"</f>
        <v>007</v>
      </c>
      <c r="H6" s="1">
        <v>2016</v>
      </c>
      <c r="I6" s="6">
        <v>2094400</v>
      </c>
      <c r="J6" s="6">
        <v>1619500</v>
      </c>
      <c r="K6" s="6">
        <v>474900</v>
      </c>
      <c r="L6" s="7"/>
    </row>
    <row r="7" spans="1:12" x14ac:dyDescent="0.25">
      <c r="A7" t="s">
        <v>8</v>
      </c>
      <c r="B7" s="5">
        <v>100007</v>
      </c>
      <c r="C7" t="s">
        <v>12</v>
      </c>
      <c r="D7" s="1" t="str">
        <f>"37201"</f>
        <v>37201</v>
      </c>
      <c r="E7" t="s">
        <v>10</v>
      </c>
      <c r="F7" t="s">
        <v>11</v>
      </c>
      <c r="G7" s="1" t="str">
        <f>"005"</f>
        <v>005</v>
      </c>
      <c r="H7" s="1">
        <v>2008</v>
      </c>
      <c r="I7" s="6">
        <v>13569700</v>
      </c>
      <c r="J7" s="6">
        <v>11954100</v>
      </c>
      <c r="K7" s="6">
        <v>1615600</v>
      </c>
      <c r="L7" s="7"/>
    </row>
    <row r="8" spans="1:12" x14ac:dyDescent="0.25">
      <c r="A8" t="s">
        <v>8</v>
      </c>
      <c r="B8" s="5">
        <v>100007</v>
      </c>
      <c r="C8" t="s">
        <v>12</v>
      </c>
      <c r="D8" s="1" t="str">
        <f>"37201"</f>
        <v>37201</v>
      </c>
      <c r="E8" t="s">
        <v>10</v>
      </c>
      <c r="F8" t="s">
        <v>11</v>
      </c>
      <c r="G8" s="1" t="str">
        <f>"006"</f>
        <v>006</v>
      </c>
      <c r="H8" s="1">
        <v>2016</v>
      </c>
      <c r="I8" s="6">
        <v>19004400</v>
      </c>
      <c r="J8" s="6">
        <v>4955100</v>
      </c>
      <c r="K8" s="6">
        <v>14049300</v>
      </c>
      <c r="L8" s="7"/>
    </row>
    <row r="9" spans="1:12" x14ac:dyDescent="0.25">
      <c r="A9" t="s">
        <v>13</v>
      </c>
      <c r="B9" s="5">
        <v>10014</v>
      </c>
      <c r="C9" t="s">
        <v>14</v>
      </c>
      <c r="D9" s="1" t="str">
        <f>"01201"</f>
        <v>01201</v>
      </c>
      <c r="E9" t="s">
        <v>10</v>
      </c>
      <c r="F9" t="s">
        <v>14</v>
      </c>
      <c r="G9" s="1" t="str">
        <f>"002"</f>
        <v>002</v>
      </c>
      <c r="H9" s="1">
        <v>1996</v>
      </c>
      <c r="I9" s="6">
        <v>18318000</v>
      </c>
      <c r="J9" s="6">
        <v>9585200</v>
      </c>
      <c r="K9" s="6">
        <v>8732800</v>
      </c>
      <c r="L9" s="7"/>
    </row>
    <row r="10" spans="1:12" x14ac:dyDescent="0.25">
      <c r="A10" t="s">
        <v>13</v>
      </c>
      <c r="B10" s="5">
        <v>10014</v>
      </c>
      <c r="C10" t="s">
        <v>14</v>
      </c>
      <c r="D10" s="1" t="str">
        <f>"01201"</f>
        <v>01201</v>
      </c>
      <c r="E10" t="s">
        <v>10</v>
      </c>
      <c r="F10" t="s">
        <v>14</v>
      </c>
      <c r="G10" s="1" t="str">
        <f>"003"</f>
        <v>003</v>
      </c>
      <c r="H10" s="1">
        <v>1996</v>
      </c>
      <c r="I10" s="6">
        <v>16567500</v>
      </c>
      <c r="J10" s="6">
        <v>5169700</v>
      </c>
      <c r="K10" s="6">
        <v>11397800</v>
      </c>
      <c r="L10" s="7"/>
    </row>
    <row r="11" spans="1:12" x14ac:dyDescent="0.25">
      <c r="A11" t="s">
        <v>13</v>
      </c>
      <c r="B11" s="5">
        <v>10014</v>
      </c>
      <c r="C11" t="s">
        <v>14</v>
      </c>
      <c r="D11" s="1" t="str">
        <f>"01126"</f>
        <v>01126</v>
      </c>
      <c r="E11" t="s">
        <v>15</v>
      </c>
      <c r="F11" t="s">
        <v>16</v>
      </c>
      <c r="G11" s="1" t="str">
        <f>"001"</f>
        <v>001</v>
      </c>
      <c r="H11" s="1">
        <v>1997</v>
      </c>
      <c r="I11" s="6">
        <v>6902300</v>
      </c>
      <c r="J11" s="6">
        <v>2696300</v>
      </c>
      <c r="K11" s="6">
        <v>4206000</v>
      </c>
      <c r="L11" s="7"/>
    </row>
    <row r="12" spans="1:12" x14ac:dyDescent="0.25">
      <c r="A12" t="s">
        <v>13</v>
      </c>
      <c r="B12" s="5">
        <v>10014</v>
      </c>
      <c r="C12" t="s">
        <v>14</v>
      </c>
      <c r="D12" s="1" t="str">
        <f>"01126"</f>
        <v>01126</v>
      </c>
      <c r="E12" t="s">
        <v>15</v>
      </c>
      <c r="F12" t="s">
        <v>16</v>
      </c>
      <c r="G12" s="1" t="str">
        <f>"002"</f>
        <v>002</v>
      </c>
      <c r="H12" s="1">
        <v>2000</v>
      </c>
      <c r="I12" s="6">
        <v>206300</v>
      </c>
      <c r="J12" s="6">
        <v>148000</v>
      </c>
      <c r="K12" s="6">
        <v>58300</v>
      </c>
      <c r="L12" s="7"/>
    </row>
    <row r="13" spans="1:12" x14ac:dyDescent="0.25">
      <c r="A13" t="s">
        <v>13</v>
      </c>
      <c r="B13" s="5">
        <v>10014</v>
      </c>
      <c r="C13" t="s">
        <v>14</v>
      </c>
      <c r="D13" s="1" t="str">
        <f>"01020"</f>
        <v>01020</v>
      </c>
      <c r="E13" t="s">
        <v>17</v>
      </c>
      <c r="F13" t="s">
        <v>18</v>
      </c>
      <c r="G13" s="1" t="str">
        <f>"001T"</f>
        <v>001T</v>
      </c>
      <c r="H13" s="1">
        <v>2012</v>
      </c>
      <c r="I13" s="6">
        <v>13640800</v>
      </c>
      <c r="J13" s="6">
        <v>4971600</v>
      </c>
      <c r="K13" s="6">
        <v>8669200</v>
      </c>
      <c r="L13" s="7"/>
    </row>
    <row r="14" spans="1:12" x14ac:dyDescent="0.25">
      <c r="A14" t="s">
        <v>19</v>
      </c>
      <c r="B14" s="5">
        <v>310070</v>
      </c>
      <c r="C14" t="s">
        <v>20</v>
      </c>
      <c r="D14" s="1" t="str">
        <f>"31201"</f>
        <v>31201</v>
      </c>
      <c r="E14" t="s">
        <v>10</v>
      </c>
      <c r="F14" t="s">
        <v>21</v>
      </c>
      <c r="G14" s="1" t="str">
        <f>"001"</f>
        <v>001</v>
      </c>
      <c r="H14" s="1">
        <v>2005</v>
      </c>
      <c r="I14" s="6">
        <v>8028200</v>
      </c>
      <c r="J14" s="6">
        <v>7899200</v>
      </c>
      <c r="K14" s="6">
        <v>129000</v>
      </c>
      <c r="L14" s="7"/>
    </row>
    <row r="15" spans="1:12" x14ac:dyDescent="0.25">
      <c r="A15" t="s">
        <v>19</v>
      </c>
      <c r="B15" s="5">
        <v>310070</v>
      </c>
      <c r="C15" t="s">
        <v>20</v>
      </c>
      <c r="D15" s="1" t="str">
        <f>"31201"</f>
        <v>31201</v>
      </c>
      <c r="E15" t="s">
        <v>10</v>
      </c>
      <c r="F15" t="s">
        <v>21</v>
      </c>
      <c r="G15" s="1" t="str">
        <f>"002"</f>
        <v>002</v>
      </c>
      <c r="H15" s="1">
        <v>2006</v>
      </c>
      <c r="I15" s="6">
        <v>6619800</v>
      </c>
      <c r="J15" s="6">
        <v>1910700</v>
      </c>
      <c r="K15" s="6">
        <v>4709100</v>
      </c>
      <c r="L15" s="7"/>
    </row>
    <row r="16" spans="1:12" x14ac:dyDescent="0.25">
      <c r="A16" t="s">
        <v>22</v>
      </c>
      <c r="B16" s="5">
        <v>60084</v>
      </c>
      <c r="C16" t="s">
        <v>23</v>
      </c>
      <c r="D16" s="1" t="str">
        <f>"06201"</f>
        <v>06201</v>
      </c>
      <c r="E16" t="s">
        <v>10</v>
      </c>
      <c r="F16" t="s">
        <v>24</v>
      </c>
      <c r="G16" s="1" t="str">
        <f>"001"</f>
        <v>001</v>
      </c>
      <c r="H16" s="1">
        <v>1994</v>
      </c>
      <c r="I16" s="6">
        <v>4215300</v>
      </c>
      <c r="J16" s="6">
        <v>769100</v>
      </c>
      <c r="K16" s="6">
        <v>3446200</v>
      </c>
      <c r="L16" s="7"/>
    </row>
    <row r="17" spans="1:12" x14ac:dyDescent="0.25">
      <c r="A17" t="s">
        <v>25</v>
      </c>
      <c r="B17" s="5">
        <v>270091</v>
      </c>
      <c r="C17" t="s">
        <v>26</v>
      </c>
      <c r="D17" s="1" t="str">
        <f>"27152"</f>
        <v>27152</v>
      </c>
      <c r="E17" t="s">
        <v>15</v>
      </c>
      <c r="F17" t="s">
        <v>27</v>
      </c>
      <c r="G17" s="1" t="str">
        <f>"001"</f>
        <v>001</v>
      </c>
      <c r="H17" s="1">
        <v>2018</v>
      </c>
      <c r="I17" s="6">
        <v>3702700</v>
      </c>
      <c r="J17" s="6">
        <v>2520600</v>
      </c>
      <c r="K17" s="6">
        <v>1182100</v>
      </c>
      <c r="L17" s="7"/>
    </row>
    <row r="18" spans="1:12" x14ac:dyDescent="0.25">
      <c r="A18" t="s">
        <v>28</v>
      </c>
      <c r="B18" s="5">
        <v>180112</v>
      </c>
      <c r="C18" t="s">
        <v>29</v>
      </c>
      <c r="D18" s="1" t="str">
        <f>"18201"</f>
        <v>18201</v>
      </c>
      <c r="E18" t="s">
        <v>10</v>
      </c>
      <c r="F18" t="s">
        <v>30</v>
      </c>
      <c r="G18" s="1" t="str">
        <f>"002"</f>
        <v>002</v>
      </c>
      <c r="H18" s="1">
        <v>2000</v>
      </c>
      <c r="I18" s="6">
        <v>13002100</v>
      </c>
      <c r="J18" s="6">
        <v>1194900</v>
      </c>
      <c r="K18" s="6">
        <v>11807200</v>
      </c>
      <c r="L18" s="7"/>
    </row>
    <row r="19" spans="1:12" x14ac:dyDescent="0.25">
      <c r="A19" t="s">
        <v>28</v>
      </c>
      <c r="B19" s="5">
        <v>180112</v>
      </c>
      <c r="C19" t="s">
        <v>29</v>
      </c>
      <c r="D19" s="1" t="str">
        <f>"18201"</f>
        <v>18201</v>
      </c>
      <c r="E19" t="s">
        <v>10</v>
      </c>
      <c r="F19" t="s">
        <v>30</v>
      </c>
      <c r="G19" s="1" t="str">
        <f>"003"</f>
        <v>003</v>
      </c>
      <c r="H19" s="1">
        <v>2001</v>
      </c>
      <c r="I19" s="6">
        <v>208945500</v>
      </c>
      <c r="J19" s="6">
        <v>4837300</v>
      </c>
      <c r="K19" s="6">
        <v>204108200</v>
      </c>
      <c r="L19" s="7"/>
    </row>
    <row r="20" spans="1:12" x14ac:dyDescent="0.25">
      <c r="A20" t="s">
        <v>28</v>
      </c>
      <c r="B20" s="5">
        <v>180112</v>
      </c>
      <c r="C20" t="s">
        <v>29</v>
      </c>
      <c r="D20" s="1" t="str">
        <f>"18201"</f>
        <v>18201</v>
      </c>
      <c r="E20" t="s">
        <v>10</v>
      </c>
      <c r="F20" t="s">
        <v>30</v>
      </c>
      <c r="G20" s="1" t="str">
        <f>"004"</f>
        <v>004</v>
      </c>
      <c r="H20" s="1">
        <v>2008</v>
      </c>
      <c r="I20" s="6">
        <v>19688600</v>
      </c>
      <c r="J20" s="6">
        <v>7665200</v>
      </c>
      <c r="K20" s="6">
        <v>12023400</v>
      </c>
      <c r="L20" s="7"/>
    </row>
    <row r="21" spans="1:12" x14ac:dyDescent="0.25">
      <c r="A21" t="s">
        <v>31</v>
      </c>
      <c r="B21" s="5">
        <v>480119</v>
      </c>
      <c r="C21" t="s">
        <v>32</v>
      </c>
      <c r="D21" s="1" t="str">
        <f>"48201"</f>
        <v>48201</v>
      </c>
      <c r="E21" t="s">
        <v>10</v>
      </c>
      <c r="F21" t="s">
        <v>33</v>
      </c>
      <c r="G21" s="1" t="str">
        <f>"006"</f>
        <v>006</v>
      </c>
      <c r="H21" s="1">
        <v>2004</v>
      </c>
      <c r="I21" s="6">
        <v>26450600</v>
      </c>
      <c r="J21" s="6">
        <v>14440900</v>
      </c>
      <c r="K21" s="6">
        <v>12009700</v>
      </c>
      <c r="L21" s="7"/>
    </row>
    <row r="22" spans="1:12" x14ac:dyDescent="0.25">
      <c r="A22" t="s">
        <v>31</v>
      </c>
      <c r="B22" s="5">
        <v>480119</v>
      </c>
      <c r="C22" t="s">
        <v>32</v>
      </c>
      <c r="D22" s="1" t="str">
        <f>"48201"</f>
        <v>48201</v>
      </c>
      <c r="E22" t="s">
        <v>10</v>
      </c>
      <c r="F22" t="s">
        <v>33</v>
      </c>
      <c r="G22" s="1" t="str">
        <f>"007"</f>
        <v>007</v>
      </c>
      <c r="H22" s="1">
        <v>2010</v>
      </c>
      <c r="I22" s="6">
        <v>5574200</v>
      </c>
      <c r="J22" s="6">
        <v>3318500</v>
      </c>
      <c r="K22" s="6">
        <v>2255700</v>
      </c>
      <c r="L22" s="7"/>
    </row>
    <row r="23" spans="1:12" x14ac:dyDescent="0.25">
      <c r="A23" t="s">
        <v>31</v>
      </c>
      <c r="B23" s="5">
        <v>480119</v>
      </c>
      <c r="C23" t="s">
        <v>32</v>
      </c>
      <c r="D23" s="1" t="str">
        <f>"48201"</f>
        <v>48201</v>
      </c>
      <c r="E23" t="s">
        <v>10</v>
      </c>
      <c r="F23" t="s">
        <v>33</v>
      </c>
      <c r="G23" s="1" t="str">
        <f>"008"</f>
        <v>008</v>
      </c>
      <c r="H23" s="1">
        <v>2016</v>
      </c>
      <c r="I23" s="6">
        <v>5514900</v>
      </c>
      <c r="J23" s="6">
        <v>5044600</v>
      </c>
      <c r="K23" s="6">
        <v>470300</v>
      </c>
      <c r="L23" s="7"/>
    </row>
    <row r="24" spans="1:12" x14ac:dyDescent="0.25">
      <c r="A24" t="s">
        <v>34</v>
      </c>
      <c r="B24" s="5">
        <v>340140</v>
      </c>
      <c r="C24" t="s">
        <v>35</v>
      </c>
      <c r="D24" s="1" t="str">
        <f>"34201"</f>
        <v>34201</v>
      </c>
      <c r="E24" t="s">
        <v>10</v>
      </c>
      <c r="F24" t="s">
        <v>36</v>
      </c>
      <c r="G24" s="1" t="str">
        <f>"003"</f>
        <v>003</v>
      </c>
      <c r="H24" s="1">
        <v>1999</v>
      </c>
      <c r="I24" s="6">
        <v>7008400</v>
      </c>
      <c r="J24" s="6">
        <v>5166000</v>
      </c>
      <c r="K24" s="6">
        <v>1842400</v>
      </c>
      <c r="L24" s="7"/>
    </row>
    <row r="25" spans="1:12" x14ac:dyDescent="0.25">
      <c r="A25" t="s">
        <v>34</v>
      </c>
      <c r="B25" s="5">
        <v>340140</v>
      </c>
      <c r="C25" t="s">
        <v>35</v>
      </c>
      <c r="D25" s="1" t="str">
        <f>"34201"</f>
        <v>34201</v>
      </c>
      <c r="E25" t="s">
        <v>10</v>
      </c>
      <c r="F25" t="s">
        <v>36</v>
      </c>
      <c r="G25" s="1" t="str">
        <f>"004"</f>
        <v>004</v>
      </c>
      <c r="H25" s="1">
        <v>1999</v>
      </c>
      <c r="I25" s="6">
        <v>25343900</v>
      </c>
      <c r="J25" s="6">
        <v>18324000</v>
      </c>
      <c r="K25" s="6">
        <v>7019900</v>
      </c>
      <c r="L25" s="7"/>
    </row>
    <row r="26" spans="1:12" x14ac:dyDescent="0.25">
      <c r="A26" t="s">
        <v>34</v>
      </c>
      <c r="B26" s="5">
        <v>340140</v>
      </c>
      <c r="C26" t="s">
        <v>35</v>
      </c>
      <c r="D26" s="1" t="str">
        <f>"34201"</f>
        <v>34201</v>
      </c>
      <c r="E26" t="s">
        <v>10</v>
      </c>
      <c r="F26" t="s">
        <v>36</v>
      </c>
      <c r="G26" s="1" t="str">
        <f>"005"</f>
        <v>005</v>
      </c>
      <c r="H26" s="1">
        <v>2001</v>
      </c>
      <c r="I26" s="6">
        <v>13497500</v>
      </c>
      <c r="J26" s="6">
        <v>9304200</v>
      </c>
      <c r="K26" s="6">
        <v>4193300</v>
      </c>
      <c r="L26" s="7"/>
    </row>
    <row r="27" spans="1:12" x14ac:dyDescent="0.25">
      <c r="A27" t="s">
        <v>34</v>
      </c>
      <c r="B27" s="5">
        <v>340140</v>
      </c>
      <c r="C27" t="s">
        <v>35</v>
      </c>
      <c r="D27" s="1" t="str">
        <f>"34201"</f>
        <v>34201</v>
      </c>
      <c r="E27" t="s">
        <v>10</v>
      </c>
      <c r="F27" t="s">
        <v>36</v>
      </c>
      <c r="G27" s="1" t="str">
        <f>"006"</f>
        <v>006</v>
      </c>
      <c r="H27" s="1">
        <v>2008</v>
      </c>
      <c r="I27" s="6">
        <v>8419000</v>
      </c>
      <c r="J27" s="6">
        <v>629800</v>
      </c>
      <c r="K27" s="6">
        <v>7789200</v>
      </c>
      <c r="L27" s="7"/>
    </row>
    <row r="28" spans="1:12" x14ac:dyDescent="0.25">
      <c r="A28" t="s">
        <v>34</v>
      </c>
      <c r="B28" s="5">
        <v>340140</v>
      </c>
      <c r="C28" t="s">
        <v>35</v>
      </c>
      <c r="D28" s="1" t="str">
        <f>"34201"</f>
        <v>34201</v>
      </c>
      <c r="E28" t="s">
        <v>10</v>
      </c>
      <c r="F28" t="s">
        <v>36</v>
      </c>
      <c r="G28" s="1" t="str">
        <f>"007"</f>
        <v>007</v>
      </c>
      <c r="H28" s="1">
        <v>2010</v>
      </c>
      <c r="I28" s="6">
        <v>5812100</v>
      </c>
      <c r="J28" s="6">
        <v>6258200</v>
      </c>
      <c r="K28" s="6">
        <v>-446100</v>
      </c>
      <c r="L28" s="7"/>
    </row>
    <row r="29" spans="1:12" x14ac:dyDescent="0.25">
      <c r="A29" t="s">
        <v>37</v>
      </c>
      <c r="B29" s="5">
        <v>440147</v>
      </c>
      <c r="C29" t="s">
        <v>38</v>
      </c>
      <c r="D29" s="1" t="str">
        <f>"08251"</f>
        <v>08251</v>
      </c>
      <c r="E29" t="s">
        <v>10</v>
      </c>
      <c r="F29" t="s">
        <v>39</v>
      </c>
      <c r="G29" s="1" t="str">
        <f>"009"</f>
        <v>009</v>
      </c>
      <c r="H29" s="1">
        <v>2005</v>
      </c>
      <c r="I29" s="6">
        <v>25831100</v>
      </c>
      <c r="J29" s="6">
        <v>1885100</v>
      </c>
      <c r="K29" s="6">
        <v>23946000</v>
      </c>
      <c r="L29" s="7"/>
    </row>
    <row r="30" spans="1:12" x14ac:dyDescent="0.25">
      <c r="A30" t="s">
        <v>37</v>
      </c>
      <c r="B30" s="5">
        <v>440147</v>
      </c>
      <c r="C30" t="s">
        <v>38</v>
      </c>
      <c r="D30" s="1" t="str">
        <f>"08251"</f>
        <v>08251</v>
      </c>
      <c r="E30" t="s">
        <v>10</v>
      </c>
      <c r="F30" t="s">
        <v>39</v>
      </c>
      <c r="G30" s="1" t="str">
        <f>"012"</f>
        <v>012</v>
      </c>
      <c r="H30" s="1">
        <v>2011</v>
      </c>
      <c r="I30" s="6">
        <v>62258300</v>
      </c>
      <c r="J30" s="6">
        <v>21715600</v>
      </c>
      <c r="K30" s="6">
        <v>40542700</v>
      </c>
      <c r="L30" s="7"/>
    </row>
    <row r="31" spans="1:12" x14ac:dyDescent="0.25">
      <c r="A31" t="s">
        <v>37</v>
      </c>
      <c r="B31" s="5">
        <v>440147</v>
      </c>
      <c r="C31" t="s">
        <v>40</v>
      </c>
      <c r="D31" s="1" t="str">
        <f t="shared" ref="D31:D36" si="0">"44201"</f>
        <v>44201</v>
      </c>
      <c r="E31" t="s">
        <v>10</v>
      </c>
      <c r="F31" t="s">
        <v>41</v>
      </c>
      <c r="G31" s="1" t="str">
        <f>"003"</f>
        <v>003</v>
      </c>
      <c r="H31" s="1">
        <v>1993</v>
      </c>
      <c r="I31" s="6">
        <v>70899500</v>
      </c>
      <c r="J31" s="6">
        <v>18940800</v>
      </c>
      <c r="K31" s="6">
        <v>51958700</v>
      </c>
      <c r="L31" s="7"/>
    </row>
    <row r="32" spans="1:12" x14ac:dyDescent="0.25">
      <c r="A32" t="s">
        <v>37</v>
      </c>
      <c r="B32" s="5">
        <v>440147</v>
      </c>
      <c r="C32" t="s">
        <v>40</v>
      </c>
      <c r="D32" s="1" t="str">
        <f t="shared" si="0"/>
        <v>44201</v>
      </c>
      <c r="E32" t="s">
        <v>10</v>
      </c>
      <c r="F32" t="s">
        <v>41</v>
      </c>
      <c r="G32" s="1" t="str">
        <f>"008"</f>
        <v>008</v>
      </c>
      <c r="H32" s="1">
        <v>2009</v>
      </c>
      <c r="I32" s="6">
        <v>56920500</v>
      </c>
      <c r="J32" s="6">
        <v>6135100</v>
      </c>
      <c r="K32" s="6">
        <v>50785400</v>
      </c>
      <c r="L32" s="7"/>
    </row>
    <row r="33" spans="1:12" x14ac:dyDescent="0.25">
      <c r="A33" t="s">
        <v>37</v>
      </c>
      <c r="B33" s="5">
        <v>440147</v>
      </c>
      <c r="C33" t="s">
        <v>40</v>
      </c>
      <c r="D33" s="1" t="str">
        <f t="shared" si="0"/>
        <v>44201</v>
      </c>
      <c r="E33" t="s">
        <v>10</v>
      </c>
      <c r="F33" t="s">
        <v>41</v>
      </c>
      <c r="G33" s="1" t="str">
        <f>"009"</f>
        <v>009</v>
      </c>
      <c r="H33" s="1">
        <v>2013</v>
      </c>
      <c r="I33" s="6">
        <v>20537900</v>
      </c>
      <c r="J33" s="6">
        <v>21512900</v>
      </c>
      <c r="K33" s="6">
        <v>-975000</v>
      </c>
      <c r="L33" s="7"/>
    </row>
    <row r="34" spans="1:12" x14ac:dyDescent="0.25">
      <c r="A34" t="s">
        <v>37</v>
      </c>
      <c r="B34" s="5">
        <v>440147</v>
      </c>
      <c r="C34" t="s">
        <v>40</v>
      </c>
      <c r="D34" s="1" t="str">
        <f t="shared" si="0"/>
        <v>44201</v>
      </c>
      <c r="E34" t="s">
        <v>10</v>
      </c>
      <c r="F34" t="s">
        <v>41</v>
      </c>
      <c r="G34" s="1" t="str">
        <f>"010"</f>
        <v>010</v>
      </c>
      <c r="H34" s="1">
        <v>2013</v>
      </c>
      <c r="I34" s="6">
        <v>18183800</v>
      </c>
      <c r="J34" s="6">
        <v>24543900</v>
      </c>
      <c r="K34" s="6">
        <v>-6360100</v>
      </c>
      <c r="L34" s="7"/>
    </row>
    <row r="35" spans="1:12" x14ac:dyDescent="0.25">
      <c r="A35" t="s">
        <v>37</v>
      </c>
      <c r="B35" s="5">
        <v>440147</v>
      </c>
      <c r="C35" t="s">
        <v>40</v>
      </c>
      <c r="D35" s="1" t="str">
        <f t="shared" si="0"/>
        <v>44201</v>
      </c>
      <c r="E35" t="s">
        <v>10</v>
      </c>
      <c r="F35" t="s">
        <v>41</v>
      </c>
      <c r="G35" s="1" t="str">
        <f>"011"</f>
        <v>011</v>
      </c>
      <c r="H35" s="1">
        <v>2017</v>
      </c>
      <c r="I35" s="6">
        <v>84702900</v>
      </c>
      <c r="J35" s="6">
        <v>83099200</v>
      </c>
      <c r="K35" s="6">
        <v>1603700</v>
      </c>
      <c r="L35" s="7"/>
    </row>
    <row r="36" spans="1:12" x14ac:dyDescent="0.25">
      <c r="A36" t="s">
        <v>37</v>
      </c>
      <c r="B36" s="5">
        <v>440147</v>
      </c>
      <c r="C36" t="s">
        <v>40</v>
      </c>
      <c r="D36" s="1" t="str">
        <f t="shared" si="0"/>
        <v>44201</v>
      </c>
      <c r="E36" t="s">
        <v>10</v>
      </c>
      <c r="F36" t="s">
        <v>41</v>
      </c>
      <c r="G36" s="1" t="str">
        <f>"012"</f>
        <v>012</v>
      </c>
      <c r="H36" s="1">
        <v>2017</v>
      </c>
      <c r="I36" s="6">
        <v>24144800</v>
      </c>
      <c r="J36" s="6">
        <v>22974900</v>
      </c>
      <c r="K36" s="6">
        <v>1169900</v>
      </c>
      <c r="L36" s="7"/>
    </row>
    <row r="37" spans="1:12" x14ac:dyDescent="0.25">
      <c r="A37" t="s">
        <v>37</v>
      </c>
      <c r="B37" s="5">
        <v>440147</v>
      </c>
      <c r="C37" t="s">
        <v>40</v>
      </c>
      <c r="D37" s="1" t="str">
        <f>"44020"</f>
        <v>44020</v>
      </c>
      <c r="E37" t="s">
        <v>17</v>
      </c>
      <c r="F37" t="s">
        <v>42</v>
      </c>
      <c r="G37" s="1" t="str">
        <f>"001A"</f>
        <v>001A</v>
      </c>
      <c r="H37" s="1">
        <v>2015</v>
      </c>
      <c r="I37" s="6">
        <v>17538700</v>
      </c>
      <c r="J37" s="6">
        <v>7700</v>
      </c>
      <c r="K37" s="6">
        <v>17531000</v>
      </c>
      <c r="L37" s="7"/>
    </row>
    <row r="38" spans="1:12" x14ac:dyDescent="0.25">
      <c r="A38" t="s">
        <v>37</v>
      </c>
      <c r="B38" s="5">
        <v>440147</v>
      </c>
      <c r="C38" t="s">
        <v>40</v>
      </c>
      <c r="D38" s="1" t="str">
        <f>"44020"</f>
        <v>44020</v>
      </c>
      <c r="E38" t="s">
        <v>17</v>
      </c>
      <c r="F38" t="s">
        <v>42</v>
      </c>
      <c r="G38" s="1" t="str">
        <f>"002A"</f>
        <v>002A</v>
      </c>
      <c r="H38" s="1">
        <v>2016</v>
      </c>
      <c r="I38" s="6">
        <v>54686600</v>
      </c>
      <c r="J38" s="6">
        <v>17214400</v>
      </c>
      <c r="K38" s="6">
        <v>37472200</v>
      </c>
      <c r="L38" s="7"/>
    </row>
    <row r="39" spans="1:12" x14ac:dyDescent="0.25">
      <c r="A39" t="s">
        <v>37</v>
      </c>
      <c r="B39" s="5">
        <v>440147</v>
      </c>
      <c r="C39" t="s">
        <v>40</v>
      </c>
      <c r="D39" s="1" t="str">
        <f>"44020"</f>
        <v>44020</v>
      </c>
      <c r="E39" t="s">
        <v>17</v>
      </c>
      <c r="F39" t="s">
        <v>42</v>
      </c>
      <c r="G39" s="1" t="str">
        <f>"003A"</f>
        <v>003A</v>
      </c>
      <c r="H39" s="1">
        <v>2017</v>
      </c>
      <c r="I39" s="6">
        <v>20426900</v>
      </c>
      <c r="J39" s="6">
        <v>14733400</v>
      </c>
      <c r="K39" s="6">
        <v>5693500</v>
      </c>
      <c r="L39" s="7"/>
    </row>
    <row r="40" spans="1:12" x14ac:dyDescent="0.25">
      <c r="A40" t="s">
        <v>37</v>
      </c>
      <c r="B40" s="5">
        <v>440147</v>
      </c>
      <c r="C40" t="s">
        <v>40</v>
      </c>
      <c r="D40" s="1" t="str">
        <f>"44020"</f>
        <v>44020</v>
      </c>
      <c r="E40" t="s">
        <v>17</v>
      </c>
      <c r="F40" t="s">
        <v>42</v>
      </c>
      <c r="G40" s="1" t="str">
        <f>"004A"</f>
        <v>004A</v>
      </c>
      <c r="H40" s="1">
        <v>2018</v>
      </c>
      <c r="I40" s="6">
        <v>7131700</v>
      </c>
      <c r="J40" s="6">
        <v>3676100</v>
      </c>
      <c r="K40" s="6">
        <v>3455600</v>
      </c>
      <c r="L40" s="7"/>
    </row>
    <row r="41" spans="1:12" x14ac:dyDescent="0.25">
      <c r="A41" t="s">
        <v>37</v>
      </c>
      <c r="B41" s="5">
        <v>440147</v>
      </c>
      <c r="C41" t="s">
        <v>40</v>
      </c>
      <c r="D41" s="1" t="str">
        <f>"44146"</f>
        <v>44146</v>
      </c>
      <c r="E41" t="s">
        <v>15</v>
      </c>
      <c r="F41" t="s">
        <v>43</v>
      </c>
      <c r="G41" s="1" t="str">
        <f>"004"</f>
        <v>004</v>
      </c>
      <c r="H41" s="1">
        <v>2007</v>
      </c>
      <c r="I41" s="6">
        <v>71986500</v>
      </c>
      <c r="J41" s="6">
        <v>3229800</v>
      </c>
      <c r="K41" s="6">
        <v>68756700</v>
      </c>
      <c r="L41" s="6">
        <v>68654700</v>
      </c>
    </row>
    <row r="42" spans="1:12" x14ac:dyDescent="0.25">
      <c r="A42" t="s">
        <v>44</v>
      </c>
      <c r="B42" s="5">
        <v>610154</v>
      </c>
      <c r="C42" t="s">
        <v>45</v>
      </c>
      <c r="D42" s="1" t="str">
        <f>"61201"</f>
        <v>61201</v>
      </c>
      <c r="E42" t="s">
        <v>10</v>
      </c>
      <c r="F42" t="s">
        <v>46</v>
      </c>
      <c r="G42" s="1" t="str">
        <f>"003"</f>
        <v>003</v>
      </c>
      <c r="H42" s="1">
        <v>1994</v>
      </c>
      <c r="I42" s="6">
        <v>18920600</v>
      </c>
      <c r="J42" s="6">
        <v>180100</v>
      </c>
      <c r="K42" s="6">
        <v>18740500</v>
      </c>
      <c r="L42" s="7"/>
    </row>
    <row r="43" spans="1:12" x14ac:dyDescent="0.25">
      <c r="A43" t="s">
        <v>44</v>
      </c>
      <c r="B43" s="5">
        <v>610154</v>
      </c>
      <c r="C43" t="s">
        <v>45</v>
      </c>
      <c r="D43" s="1" t="str">
        <f>"61201"</f>
        <v>61201</v>
      </c>
      <c r="E43" t="s">
        <v>10</v>
      </c>
      <c r="F43" t="s">
        <v>46</v>
      </c>
      <c r="G43" s="1" t="str">
        <f>"004"</f>
        <v>004</v>
      </c>
      <c r="H43" s="1">
        <v>1994</v>
      </c>
      <c r="I43" s="6">
        <v>25446000</v>
      </c>
      <c r="J43" s="6">
        <v>587100</v>
      </c>
      <c r="K43" s="6">
        <v>24858900</v>
      </c>
      <c r="L43" s="7"/>
    </row>
    <row r="44" spans="1:12" x14ac:dyDescent="0.25">
      <c r="A44" t="s">
        <v>47</v>
      </c>
      <c r="B44" s="5">
        <v>330161</v>
      </c>
      <c r="C44" t="s">
        <v>48</v>
      </c>
      <c r="D44" s="1" t="str">
        <f>"33101"</f>
        <v>33101</v>
      </c>
      <c r="E44" t="s">
        <v>15</v>
      </c>
      <c r="F44" t="s">
        <v>49</v>
      </c>
      <c r="G44" s="1" t="str">
        <f>"003"</f>
        <v>003</v>
      </c>
      <c r="H44" s="1">
        <v>2012</v>
      </c>
      <c r="I44" s="6">
        <v>1761700</v>
      </c>
      <c r="J44" s="6">
        <v>1751500</v>
      </c>
      <c r="K44" s="6">
        <v>10200</v>
      </c>
      <c r="L44" s="7"/>
    </row>
    <row r="45" spans="1:12" x14ac:dyDescent="0.25">
      <c r="A45" t="s">
        <v>50</v>
      </c>
      <c r="B45" s="5">
        <v>20170</v>
      </c>
      <c r="C45" t="s">
        <v>51</v>
      </c>
      <c r="D45" s="1" t="str">
        <f>"02201"</f>
        <v>02201</v>
      </c>
      <c r="E45" t="s">
        <v>10</v>
      </c>
      <c r="F45" t="s">
        <v>51</v>
      </c>
      <c r="G45" s="1" t="str">
        <f>"006"</f>
        <v>006</v>
      </c>
      <c r="H45" s="1">
        <v>1994</v>
      </c>
      <c r="I45" s="6">
        <v>18859700</v>
      </c>
      <c r="J45" s="6">
        <v>5659600</v>
      </c>
      <c r="K45" s="6">
        <v>13200100</v>
      </c>
      <c r="L45" s="7"/>
    </row>
    <row r="46" spans="1:12" x14ac:dyDescent="0.25">
      <c r="A46" t="s">
        <v>50</v>
      </c>
      <c r="B46" s="5">
        <v>20170</v>
      </c>
      <c r="C46" t="s">
        <v>51</v>
      </c>
      <c r="D46" s="1" t="str">
        <f>"02201"</f>
        <v>02201</v>
      </c>
      <c r="E46" t="s">
        <v>10</v>
      </c>
      <c r="F46" t="s">
        <v>51</v>
      </c>
      <c r="G46" s="1" t="str">
        <f>"009"</f>
        <v>009</v>
      </c>
      <c r="H46" s="1">
        <v>2006</v>
      </c>
      <c r="I46" s="6">
        <v>11934300</v>
      </c>
      <c r="J46" s="6">
        <v>2359600</v>
      </c>
      <c r="K46" s="6">
        <v>9574700</v>
      </c>
      <c r="L46" s="7"/>
    </row>
    <row r="47" spans="1:12" x14ac:dyDescent="0.25">
      <c r="A47" t="s">
        <v>50</v>
      </c>
      <c r="B47" s="5">
        <v>20170</v>
      </c>
      <c r="C47" t="s">
        <v>51</v>
      </c>
      <c r="D47" s="1" t="str">
        <f>"02201"</f>
        <v>02201</v>
      </c>
      <c r="E47" t="s">
        <v>10</v>
      </c>
      <c r="F47" t="s">
        <v>51</v>
      </c>
      <c r="G47" s="1" t="str">
        <f>"010"</f>
        <v>010</v>
      </c>
      <c r="H47" s="1">
        <v>2017</v>
      </c>
      <c r="I47" s="6">
        <v>6782300</v>
      </c>
      <c r="J47" s="6">
        <v>2709200</v>
      </c>
      <c r="K47" s="6">
        <v>4073100</v>
      </c>
      <c r="L47" s="7"/>
    </row>
    <row r="48" spans="1:12" x14ac:dyDescent="0.25">
      <c r="A48" t="s">
        <v>52</v>
      </c>
      <c r="B48" s="5">
        <v>50182</v>
      </c>
      <c r="C48" t="s">
        <v>53</v>
      </c>
      <c r="D48" s="1" t="str">
        <f>"05104"</f>
        <v>05104</v>
      </c>
      <c r="E48" t="s">
        <v>15</v>
      </c>
      <c r="F48" t="s">
        <v>54</v>
      </c>
      <c r="G48" s="1" t="str">
        <f>"003"</f>
        <v>003</v>
      </c>
      <c r="H48" s="1">
        <v>2008</v>
      </c>
      <c r="I48" s="6">
        <v>526765400</v>
      </c>
      <c r="J48" s="6">
        <v>349253900</v>
      </c>
      <c r="K48" s="6">
        <v>177511500</v>
      </c>
      <c r="L48" s="7"/>
    </row>
    <row r="49" spans="1:12" x14ac:dyDescent="0.25">
      <c r="A49" t="s">
        <v>52</v>
      </c>
      <c r="B49" s="5">
        <v>50182</v>
      </c>
      <c r="C49" t="s">
        <v>53</v>
      </c>
      <c r="D49" s="1" t="str">
        <f>"05104"</f>
        <v>05104</v>
      </c>
      <c r="E49" t="s">
        <v>15</v>
      </c>
      <c r="F49" t="s">
        <v>54</v>
      </c>
      <c r="G49" s="1" t="str">
        <f>"004"</f>
        <v>004</v>
      </c>
      <c r="H49" s="1">
        <v>2008</v>
      </c>
      <c r="I49" s="6">
        <v>27768300</v>
      </c>
      <c r="J49" s="6">
        <v>1040700</v>
      </c>
      <c r="K49" s="6">
        <v>26727600</v>
      </c>
      <c r="L49" s="7"/>
    </row>
    <row r="50" spans="1:12" x14ac:dyDescent="0.25">
      <c r="A50" t="s">
        <v>52</v>
      </c>
      <c r="B50" s="5">
        <v>50182</v>
      </c>
      <c r="C50" t="s">
        <v>53</v>
      </c>
      <c r="D50" s="1" t="str">
        <f>"05104"</f>
        <v>05104</v>
      </c>
      <c r="E50" t="s">
        <v>15</v>
      </c>
      <c r="F50" t="s">
        <v>54</v>
      </c>
      <c r="G50" s="1" t="str">
        <f>"005"</f>
        <v>005</v>
      </c>
      <c r="H50" s="1">
        <v>2014</v>
      </c>
      <c r="I50" s="6">
        <v>77429600</v>
      </c>
      <c r="J50" s="6">
        <v>62012600</v>
      </c>
      <c r="K50" s="6">
        <v>15417000</v>
      </c>
      <c r="L50" s="7"/>
    </row>
    <row r="51" spans="1:12" x14ac:dyDescent="0.25">
      <c r="A51" t="s">
        <v>55</v>
      </c>
      <c r="B51" s="5">
        <v>370196</v>
      </c>
      <c r="C51" t="s">
        <v>12</v>
      </c>
      <c r="D51" s="1" t="str">
        <f>"37102"</f>
        <v>37102</v>
      </c>
      <c r="E51" t="s">
        <v>15</v>
      </c>
      <c r="F51" t="s">
        <v>56</v>
      </c>
      <c r="G51" s="1" t="str">
        <f>"001"</f>
        <v>001</v>
      </c>
      <c r="H51" s="1">
        <v>1995</v>
      </c>
      <c r="I51" s="6">
        <v>4209200</v>
      </c>
      <c r="J51" s="6">
        <v>44500</v>
      </c>
      <c r="K51" s="6">
        <v>4164700</v>
      </c>
      <c r="L51" s="7"/>
    </row>
    <row r="52" spans="1:12" x14ac:dyDescent="0.25">
      <c r="A52" t="s">
        <v>55</v>
      </c>
      <c r="B52" s="5">
        <v>370196</v>
      </c>
      <c r="C52" t="s">
        <v>12</v>
      </c>
      <c r="D52" s="1" t="str">
        <f>"37102"</f>
        <v>37102</v>
      </c>
      <c r="E52" t="s">
        <v>15</v>
      </c>
      <c r="F52" t="s">
        <v>56</v>
      </c>
      <c r="G52" s="1" t="str">
        <f>"002"</f>
        <v>002</v>
      </c>
      <c r="H52" s="1">
        <v>2007</v>
      </c>
      <c r="I52" s="6">
        <v>6499000</v>
      </c>
      <c r="J52" s="6">
        <v>1889500</v>
      </c>
      <c r="K52" s="6">
        <v>4609500</v>
      </c>
      <c r="L52" s="7"/>
    </row>
    <row r="53" spans="1:12" x14ac:dyDescent="0.25">
      <c r="A53" t="s">
        <v>57</v>
      </c>
      <c r="B53" s="5">
        <v>710203</v>
      </c>
      <c r="C53" t="s">
        <v>58</v>
      </c>
      <c r="D53" s="1" t="str">
        <f>"71101"</f>
        <v>71101</v>
      </c>
      <c r="E53" t="s">
        <v>15</v>
      </c>
      <c r="F53" t="s">
        <v>59</v>
      </c>
      <c r="G53" s="1" t="str">
        <f>"001"</f>
        <v>001</v>
      </c>
      <c r="H53" s="1">
        <v>2006</v>
      </c>
      <c r="I53" s="6">
        <v>3775300</v>
      </c>
      <c r="J53" s="6">
        <v>2073000</v>
      </c>
      <c r="K53" s="6">
        <v>1702300</v>
      </c>
      <c r="L53" s="7"/>
    </row>
    <row r="54" spans="1:12" x14ac:dyDescent="0.25">
      <c r="A54" t="s">
        <v>57</v>
      </c>
      <c r="B54" s="5">
        <v>710203</v>
      </c>
      <c r="C54" t="s">
        <v>58</v>
      </c>
      <c r="D54" s="1" t="str">
        <f>"71101"</f>
        <v>71101</v>
      </c>
      <c r="E54" t="s">
        <v>15</v>
      </c>
      <c r="F54" t="s">
        <v>59</v>
      </c>
      <c r="G54" s="1" t="str">
        <f>"002"</f>
        <v>002</v>
      </c>
      <c r="H54" s="1">
        <v>2015</v>
      </c>
      <c r="I54" s="6">
        <v>2502000</v>
      </c>
      <c r="J54" s="6">
        <v>1800400</v>
      </c>
      <c r="K54" s="6">
        <v>701600</v>
      </c>
      <c r="L54" s="7"/>
    </row>
    <row r="55" spans="1:12" x14ac:dyDescent="0.25">
      <c r="A55" t="s">
        <v>60</v>
      </c>
      <c r="B55" s="5">
        <v>180217</v>
      </c>
      <c r="C55" t="s">
        <v>29</v>
      </c>
      <c r="D55" s="1" t="str">
        <f>"18202"</f>
        <v>18202</v>
      </c>
      <c r="E55" t="s">
        <v>10</v>
      </c>
      <c r="F55" t="s">
        <v>61</v>
      </c>
      <c r="G55" s="1" t="str">
        <f>"004"</f>
        <v>004</v>
      </c>
      <c r="H55" s="1">
        <v>2005</v>
      </c>
      <c r="I55" s="6">
        <v>20025000</v>
      </c>
      <c r="J55" s="6">
        <v>3955700</v>
      </c>
      <c r="K55" s="6">
        <v>16069300</v>
      </c>
      <c r="L55" s="7"/>
    </row>
    <row r="56" spans="1:12" x14ac:dyDescent="0.25">
      <c r="A56" t="s">
        <v>62</v>
      </c>
      <c r="B56" s="5">
        <v>550231</v>
      </c>
      <c r="C56" t="s">
        <v>63</v>
      </c>
      <c r="D56" s="1" t="str">
        <f>"55106"</f>
        <v>55106</v>
      </c>
      <c r="E56" t="s">
        <v>15</v>
      </c>
      <c r="F56" t="s">
        <v>64</v>
      </c>
      <c r="G56" s="1" t="str">
        <f>"005"</f>
        <v>005</v>
      </c>
      <c r="H56" s="1">
        <v>1995</v>
      </c>
      <c r="I56" s="6">
        <v>3071500</v>
      </c>
      <c r="J56" s="6">
        <v>22500</v>
      </c>
      <c r="K56" s="6">
        <v>3049000</v>
      </c>
      <c r="L56" s="7"/>
    </row>
    <row r="57" spans="1:12" x14ac:dyDescent="0.25">
      <c r="A57" t="s">
        <v>62</v>
      </c>
      <c r="B57" s="5">
        <v>550231</v>
      </c>
      <c r="C57" t="s">
        <v>63</v>
      </c>
      <c r="D57" s="1" t="str">
        <f>"55106"</f>
        <v>55106</v>
      </c>
      <c r="E57" t="s">
        <v>15</v>
      </c>
      <c r="F57" t="s">
        <v>64</v>
      </c>
      <c r="G57" s="1" t="str">
        <f>"006"</f>
        <v>006</v>
      </c>
      <c r="H57" s="1">
        <v>2005</v>
      </c>
      <c r="I57" s="6">
        <v>13544700</v>
      </c>
      <c r="J57" s="6">
        <v>12224500</v>
      </c>
      <c r="K57" s="6">
        <v>1320200</v>
      </c>
      <c r="L57" s="7"/>
    </row>
    <row r="58" spans="1:12" x14ac:dyDescent="0.25">
      <c r="A58" t="s">
        <v>62</v>
      </c>
      <c r="B58" s="5">
        <v>550231</v>
      </c>
      <c r="C58" t="s">
        <v>63</v>
      </c>
      <c r="D58" s="1" t="str">
        <f>"55106"</f>
        <v>55106</v>
      </c>
      <c r="E58" t="s">
        <v>15</v>
      </c>
      <c r="F58" t="s">
        <v>64</v>
      </c>
      <c r="G58" s="1" t="str">
        <f>"007"</f>
        <v>007</v>
      </c>
      <c r="H58" s="1">
        <v>2007</v>
      </c>
      <c r="I58" s="6">
        <v>11410400</v>
      </c>
      <c r="J58" s="6">
        <v>5002200</v>
      </c>
      <c r="K58" s="6">
        <v>6408200</v>
      </c>
      <c r="L58" s="7"/>
    </row>
    <row r="59" spans="1:12" x14ac:dyDescent="0.25">
      <c r="A59" t="s">
        <v>62</v>
      </c>
      <c r="B59" s="5">
        <v>550231</v>
      </c>
      <c r="C59" t="s">
        <v>63</v>
      </c>
      <c r="D59" s="1" t="str">
        <f>"55192"</f>
        <v>55192</v>
      </c>
      <c r="E59" t="s">
        <v>15</v>
      </c>
      <c r="F59" t="s">
        <v>65</v>
      </c>
      <c r="G59" s="1" t="str">
        <f>"003"</f>
        <v>003</v>
      </c>
      <c r="H59" s="1">
        <v>1995</v>
      </c>
      <c r="I59" s="6">
        <v>25248500</v>
      </c>
      <c r="J59" s="6">
        <v>1001000</v>
      </c>
      <c r="K59" s="6">
        <v>24247500</v>
      </c>
      <c r="L59" s="7"/>
    </row>
    <row r="60" spans="1:12" x14ac:dyDescent="0.25">
      <c r="A60" t="s">
        <v>62</v>
      </c>
      <c r="B60" s="5">
        <v>550231</v>
      </c>
      <c r="C60" t="s">
        <v>63</v>
      </c>
      <c r="D60" s="1" t="str">
        <f>"55192"</f>
        <v>55192</v>
      </c>
      <c r="E60" t="s">
        <v>15</v>
      </c>
      <c r="F60" t="s">
        <v>65</v>
      </c>
      <c r="G60" s="1" t="str">
        <f>"004"</f>
        <v>004</v>
      </c>
      <c r="H60" s="1">
        <v>2005</v>
      </c>
      <c r="I60" s="6">
        <v>842200</v>
      </c>
      <c r="J60" s="6">
        <v>193600</v>
      </c>
      <c r="K60" s="6">
        <v>648600</v>
      </c>
      <c r="L60" s="7"/>
    </row>
    <row r="61" spans="1:12" x14ac:dyDescent="0.25">
      <c r="A61" t="s">
        <v>66</v>
      </c>
      <c r="B61" s="5">
        <v>320245</v>
      </c>
      <c r="C61" t="s">
        <v>67</v>
      </c>
      <c r="D61" s="1" t="str">
        <f>"32106"</f>
        <v>32106</v>
      </c>
      <c r="E61" t="s">
        <v>15</v>
      </c>
      <c r="F61" t="s">
        <v>68</v>
      </c>
      <c r="G61" s="1" t="str">
        <f>"001"</f>
        <v>001</v>
      </c>
      <c r="H61" s="1">
        <v>2008</v>
      </c>
      <c r="I61" s="6">
        <v>368400</v>
      </c>
      <c r="J61" s="6">
        <v>484800</v>
      </c>
      <c r="K61" s="6">
        <v>-116400</v>
      </c>
      <c r="L61" s="7"/>
    </row>
    <row r="62" spans="1:12" x14ac:dyDescent="0.25">
      <c r="A62" t="s">
        <v>66</v>
      </c>
      <c r="B62" s="5">
        <v>320245</v>
      </c>
      <c r="C62" t="s">
        <v>67</v>
      </c>
      <c r="D62" s="1" t="str">
        <f>"32106"</f>
        <v>32106</v>
      </c>
      <c r="E62" t="s">
        <v>15</v>
      </c>
      <c r="F62" t="s">
        <v>68</v>
      </c>
      <c r="G62" s="1" t="str">
        <f>"002"</f>
        <v>002</v>
      </c>
      <c r="H62" s="1">
        <v>2015</v>
      </c>
      <c r="I62" s="6">
        <v>2308800</v>
      </c>
      <c r="J62" s="6">
        <v>620500</v>
      </c>
      <c r="K62" s="6">
        <v>1688300</v>
      </c>
      <c r="L62" s="7"/>
    </row>
    <row r="63" spans="1:12" x14ac:dyDescent="0.25">
      <c r="A63" t="s">
        <v>66</v>
      </c>
      <c r="B63" s="5">
        <v>320245</v>
      </c>
      <c r="C63" t="s">
        <v>67</v>
      </c>
      <c r="D63" s="1" t="str">
        <f>"32176"</f>
        <v>32176</v>
      </c>
      <c r="E63" t="s">
        <v>15</v>
      </c>
      <c r="F63" t="s">
        <v>69</v>
      </c>
      <c r="G63" s="1" t="str">
        <f>"001"</f>
        <v>001</v>
      </c>
      <c r="H63" s="1">
        <v>2010</v>
      </c>
      <c r="I63" s="6">
        <v>5789400</v>
      </c>
      <c r="J63" s="6">
        <v>1176300</v>
      </c>
      <c r="K63" s="6">
        <v>4613100</v>
      </c>
      <c r="L63" s="7"/>
    </row>
    <row r="64" spans="1:12" x14ac:dyDescent="0.25">
      <c r="A64" t="s">
        <v>66</v>
      </c>
      <c r="B64" s="5">
        <v>320245</v>
      </c>
      <c r="C64" t="s">
        <v>70</v>
      </c>
      <c r="D64" s="1" t="str">
        <f>"41176"</f>
        <v>41176</v>
      </c>
      <c r="E64" t="s">
        <v>15</v>
      </c>
      <c r="F64" t="s">
        <v>69</v>
      </c>
      <c r="G64" s="1" t="str">
        <f>"001"</f>
        <v>001</v>
      </c>
      <c r="H64" s="1">
        <v>2010</v>
      </c>
      <c r="I64" s="6">
        <v>3853200</v>
      </c>
      <c r="J64" s="6">
        <v>1837400</v>
      </c>
      <c r="K64" s="6">
        <v>2015800</v>
      </c>
      <c r="L64" s="7"/>
    </row>
    <row r="65" spans="1:12" x14ac:dyDescent="0.25">
      <c r="A65" t="s">
        <v>71</v>
      </c>
      <c r="B65" s="5">
        <v>560280</v>
      </c>
      <c r="C65" t="s">
        <v>72</v>
      </c>
      <c r="D65" s="1" t="str">
        <f>"56206"</f>
        <v>56206</v>
      </c>
      <c r="E65" t="s">
        <v>10</v>
      </c>
      <c r="F65" t="s">
        <v>73</v>
      </c>
      <c r="G65" s="1" t="str">
        <f>"006"</f>
        <v>006</v>
      </c>
      <c r="H65" s="1">
        <v>1999</v>
      </c>
      <c r="I65" s="6">
        <v>37854800</v>
      </c>
      <c r="J65" s="6">
        <v>8158000</v>
      </c>
      <c r="K65" s="6">
        <v>29696800</v>
      </c>
      <c r="L65" s="7"/>
    </row>
    <row r="66" spans="1:12" x14ac:dyDescent="0.25">
      <c r="A66" t="s">
        <v>71</v>
      </c>
      <c r="B66" s="5">
        <v>560280</v>
      </c>
      <c r="C66" t="s">
        <v>72</v>
      </c>
      <c r="D66" s="1" t="str">
        <f>"56206"</f>
        <v>56206</v>
      </c>
      <c r="E66" t="s">
        <v>10</v>
      </c>
      <c r="F66" t="s">
        <v>73</v>
      </c>
      <c r="G66" s="1" t="str">
        <f>"007"</f>
        <v>007</v>
      </c>
      <c r="H66" s="1">
        <v>2006</v>
      </c>
      <c r="I66" s="6">
        <v>9005100</v>
      </c>
      <c r="J66" s="6">
        <v>248300</v>
      </c>
      <c r="K66" s="6">
        <v>8756800</v>
      </c>
      <c r="L66" s="7"/>
    </row>
    <row r="67" spans="1:12" x14ac:dyDescent="0.25">
      <c r="A67" t="s">
        <v>71</v>
      </c>
      <c r="B67" s="5">
        <v>560280</v>
      </c>
      <c r="C67" t="s">
        <v>72</v>
      </c>
      <c r="D67" s="1" t="str">
        <f>"56206"</f>
        <v>56206</v>
      </c>
      <c r="E67" t="s">
        <v>10</v>
      </c>
      <c r="F67" t="s">
        <v>73</v>
      </c>
      <c r="G67" s="1" t="str">
        <f>"008"</f>
        <v>008</v>
      </c>
      <c r="H67" s="1">
        <v>2006</v>
      </c>
      <c r="I67" s="6">
        <v>19273700</v>
      </c>
      <c r="J67" s="6">
        <v>17516600</v>
      </c>
      <c r="K67" s="6">
        <v>1757100</v>
      </c>
      <c r="L67" s="7"/>
    </row>
    <row r="68" spans="1:12" x14ac:dyDescent="0.25">
      <c r="A68" t="s">
        <v>71</v>
      </c>
      <c r="B68" s="5">
        <v>560280</v>
      </c>
      <c r="C68" t="s">
        <v>72</v>
      </c>
      <c r="D68" s="1" t="str">
        <f>"56206"</f>
        <v>56206</v>
      </c>
      <c r="E68" t="s">
        <v>10</v>
      </c>
      <c r="F68" t="s">
        <v>73</v>
      </c>
      <c r="G68" s="1" t="str">
        <f>"009"</f>
        <v>009</v>
      </c>
      <c r="H68" s="1">
        <v>2008</v>
      </c>
      <c r="I68" s="6">
        <v>0</v>
      </c>
      <c r="J68" s="6">
        <v>344100</v>
      </c>
      <c r="K68" s="6">
        <v>-344100</v>
      </c>
      <c r="L68" s="7"/>
    </row>
    <row r="69" spans="1:12" x14ac:dyDescent="0.25">
      <c r="A69" t="s">
        <v>71</v>
      </c>
      <c r="B69" s="5">
        <v>560280</v>
      </c>
      <c r="C69" t="s">
        <v>72</v>
      </c>
      <c r="D69" s="1" t="str">
        <f>"56161"</f>
        <v>56161</v>
      </c>
      <c r="E69" t="s">
        <v>15</v>
      </c>
      <c r="F69" t="s">
        <v>74</v>
      </c>
      <c r="G69" s="1" t="str">
        <f>"001"</f>
        <v>001</v>
      </c>
      <c r="H69" s="1">
        <v>1997</v>
      </c>
      <c r="I69" s="6">
        <v>5366500</v>
      </c>
      <c r="J69" s="6">
        <v>3027800</v>
      </c>
      <c r="K69" s="6">
        <v>2338700</v>
      </c>
      <c r="L69" s="7"/>
    </row>
    <row r="70" spans="1:12" x14ac:dyDescent="0.25">
      <c r="A70" t="s">
        <v>71</v>
      </c>
      <c r="B70" s="5">
        <v>560280</v>
      </c>
      <c r="C70" t="s">
        <v>72</v>
      </c>
      <c r="D70" s="1" t="str">
        <f>"56191"</f>
        <v>56191</v>
      </c>
      <c r="E70" t="s">
        <v>15</v>
      </c>
      <c r="F70" t="s">
        <v>75</v>
      </c>
      <c r="G70" s="1" t="str">
        <f>"002"</f>
        <v>002</v>
      </c>
      <c r="H70" s="1">
        <v>1997</v>
      </c>
      <c r="I70" s="6">
        <v>36126400</v>
      </c>
      <c r="J70" s="6">
        <v>15081600</v>
      </c>
      <c r="K70" s="6">
        <v>21044800</v>
      </c>
      <c r="L70" s="7"/>
    </row>
    <row r="71" spans="1:12" x14ac:dyDescent="0.25">
      <c r="A71" t="s">
        <v>71</v>
      </c>
      <c r="B71" s="5">
        <v>560280</v>
      </c>
      <c r="C71" t="s">
        <v>72</v>
      </c>
      <c r="D71" s="1" t="str">
        <f>"56191"</f>
        <v>56191</v>
      </c>
      <c r="E71" t="s">
        <v>15</v>
      </c>
      <c r="F71" t="s">
        <v>75</v>
      </c>
      <c r="G71" s="1" t="str">
        <f>"003"</f>
        <v>003</v>
      </c>
      <c r="H71" s="1">
        <v>2018</v>
      </c>
      <c r="I71" s="6">
        <v>20772000</v>
      </c>
      <c r="J71" s="6">
        <v>10611600</v>
      </c>
      <c r="K71" s="6">
        <v>10160400</v>
      </c>
      <c r="L71" s="7"/>
    </row>
    <row r="72" spans="1:12" x14ac:dyDescent="0.25">
      <c r="A72" t="s">
        <v>76</v>
      </c>
      <c r="B72" s="5">
        <v>250287</v>
      </c>
      <c r="C72" t="s">
        <v>77</v>
      </c>
      <c r="D72" s="1" t="str">
        <f>"25106"</f>
        <v>25106</v>
      </c>
      <c r="E72" t="s">
        <v>15</v>
      </c>
      <c r="F72" t="s">
        <v>78</v>
      </c>
      <c r="G72" s="1" t="str">
        <f>"001"</f>
        <v>001</v>
      </c>
      <c r="H72" s="1">
        <v>2002</v>
      </c>
      <c r="I72" s="6">
        <v>9567200</v>
      </c>
      <c r="J72" s="6">
        <v>1732300</v>
      </c>
      <c r="K72" s="6">
        <v>7834900</v>
      </c>
      <c r="L72" s="7"/>
    </row>
    <row r="73" spans="1:12" x14ac:dyDescent="0.25">
      <c r="A73" t="s">
        <v>76</v>
      </c>
      <c r="B73" s="5">
        <v>250287</v>
      </c>
      <c r="C73" t="s">
        <v>77</v>
      </c>
      <c r="D73" s="1" t="str">
        <f>"25106"</f>
        <v>25106</v>
      </c>
      <c r="E73" t="s">
        <v>15</v>
      </c>
      <c r="F73" t="s">
        <v>78</v>
      </c>
      <c r="G73" s="1" t="str">
        <f>"002"</f>
        <v>002</v>
      </c>
      <c r="H73" s="1">
        <v>2015</v>
      </c>
      <c r="I73" s="6">
        <v>37255800</v>
      </c>
      <c r="J73" s="6">
        <v>232000</v>
      </c>
      <c r="K73" s="6">
        <v>37023800</v>
      </c>
      <c r="L73" s="7"/>
    </row>
    <row r="74" spans="1:12" x14ac:dyDescent="0.25">
      <c r="A74" t="s">
        <v>79</v>
      </c>
      <c r="B74" s="5">
        <v>30308</v>
      </c>
      <c r="C74" t="s">
        <v>80</v>
      </c>
      <c r="D74" s="1" t="str">
        <f>"03101"</f>
        <v>03101</v>
      </c>
      <c r="E74" t="s">
        <v>15</v>
      </c>
      <c r="F74" t="s">
        <v>81</v>
      </c>
      <c r="G74" s="1" t="str">
        <f>"001"</f>
        <v>001</v>
      </c>
      <c r="H74" s="1">
        <v>1990</v>
      </c>
      <c r="I74" s="6">
        <v>7026900</v>
      </c>
      <c r="J74" s="6">
        <v>288300</v>
      </c>
      <c r="K74" s="6">
        <v>6738600</v>
      </c>
      <c r="L74" s="7"/>
    </row>
    <row r="75" spans="1:12" x14ac:dyDescent="0.25">
      <c r="A75" t="s">
        <v>79</v>
      </c>
      <c r="B75" s="5">
        <v>30308</v>
      </c>
      <c r="C75" t="s">
        <v>80</v>
      </c>
      <c r="D75" s="1" t="str">
        <f>"03101"</f>
        <v>03101</v>
      </c>
      <c r="E75" t="s">
        <v>15</v>
      </c>
      <c r="F75" t="s">
        <v>81</v>
      </c>
      <c r="G75" s="1" t="str">
        <f>"002"</f>
        <v>002</v>
      </c>
      <c r="H75" s="1">
        <v>1992</v>
      </c>
      <c r="I75" s="6">
        <v>1630300</v>
      </c>
      <c r="J75" s="6">
        <v>146700</v>
      </c>
      <c r="K75" s="6">
        <v>1483600</v>
      </c>
      <c r="L75" s="7"/>
    </row>
    <row r="76" spans="1:12" x14ac:dyDescent="0.25">
      <c r="A76" t="s">
        <v>79</v>
      </c>
      <c r="B76" s="5">
        <v>30308</v>
      </c>
      <c r="C76" t="s">
        <v>80</v>
      </c>
      <c r="D76" s="1" t="str">
        <f>"03206"</f>
        <v>03206</v>
      </c>
      <c r="E76" t="s">
        <v>10</v>
      </c>
      <c r="F76" t="s">
        <v>80</v>
      </c>
      <c r="G76" s="1" t="str">
        <f>"002"</f>
        <v>002</v>
      </c>
      <c r="H76" s="1">
        <v>2000</v>
      </c>
      <c r="I76" s="6">
        <v>3385900</v>
      </c>
      <c r="J76" s="6">
        <v>1991400</v>
      </c>
      <c r="K76" s="6">
        <v>1394500</v>
      </c>
      <c r="L76" s="7"/>
    </row>
    <row r="77" spans="1:12" x14ac:dyDescent="0.25">
      <c r="A77" t="s">
        <v>79</v>
      </c>
      <c r="B77" s="5">
        <v>30308</v>
      </c>
      <c r="C77" t="s">
        <v>80</v>
      </c>
      <c r="D77" s="1" t="str">
        <f>"03206"</f>
        <v>03206</v>
      </c>
      <c r="E77" t="s">
        <v>10</v>
      </c>
      <c r="F77" t="s">
        <v>80</v>
      </c>
      <c r="G77" s="1" t="str">
        <f>"003"</f>
        <v>003</v>
      </c>
      <c r="H77" s="1">
        <v>2005</v>
      </c>
      <c r="I77" s="6">
        <v>10988300</v>
      </c>
      <c r="J77" s="6">
        <v>9825400</v>
      </c>
      <c r="K77" s="6">
        <v>1162900</v>
      </c>
      <c r="L77" s="7"/>
    </row>
    <row r="78" spans="1:12" x14ac:dyDescent="0.25">
      <c r="A78" t="s">
        <v>79</v>
      </c>
      <c r="B78" s="5">
        <v>30308</v>
      </c>
      <c r="C78" t="s">
        <v>80</v>
      </c>
      <c r="D78" s="1" t="str">
        <f>"03206"</f>
        <v>03206</v>
      </c>
      <c r="E78" t="s">
        <v>10</v>
      </c>
      <c r="F78" t="s">
        <v>80</v>
      </c>
      <c r="G78" s="1" t="str">
        <f>"004"</f>
        <v>004</v>
      </c>
      <c r="H78" s="1">
        <v>2007</v>
      </c>
      <c r="I78" s="6">
        <v>14236600</v>
      </c>
      <c r="J78" s="6">
        <v>12527200</v>
      </c>
      <c r="K78" s="6">
        <v>1709400</v>
      </c>
      <c r="L78" s="7"/>
    </row>
    <row r="79" spans="1:12" x14ac:dyDescent="0.25">
      <c r="A79" t="s">
        <v>79</v>
      </c>
      <c r="B79" s="5">
        <v>30308</v>
      </c>
      <c r="C79" t="s">
        <v>80</v>
      </c>
      <c r="D79" s="1" t="str">
        <f>"03206"</f>
        <v>03206</v>
      </c>
      <c r="E79" t="s">
        <v>10</v>
      </c>
      <c r="F79" t="s">
        <v>80</v>
      </c>
      <c r="G79" s="1" t="str">
        <f>"005"</f>
        <v>005</v>
      </c>
      <c r="H79" s="1">
        <v>2010</v>
      </c>
      <c r="I79" s="6">
        <v>6623000</v>
      </c>
      <c r="J79" s="6">
        <v>5696200</v>
      </c>
      <c r="K79" s="6">
        <v>926800</v>
      </c>
      <c r="L79" s="7"/>
    </row>
    <row r="80" spans="1:12" x14ac:dyDescent="0.25">
      <c r="A80" t="s">
        <v>79</v>
      </c>
      <c r="B80" s="5">
        <v>30308</v>
      </c>
      <c r="C80" t="s">
        <v>80</v>
      </c>
      <c r="D80" s="1" t="str">
        <f>"03206"</f>
        <v>03206</v>
      </c>
      <c r="E80" t="s">
        <v>10</v>
      </c>
      <c r="F80" t="s">
        <v>80</v>
      </c>
      <c r="G80" s="1" t="str">
        <f>"006"</f>
        <v>006</v>
      </c>
      <c r="H80" s="1">
        <v>2015</v>
      </c>
      <c r="I80" s="6">
        <v>6840400</v>
      </c>
      <c r="J80" s="6">
        <v>4803300</v>
      </c>
      <c r="K80" s="6">
        <v>2037100</v>
      </c>
      <c r="L80" s="7"/>
    </row>
    <row r="81" spans="1:12" x14ac:dyDescent="0.25">
      <c r="A81" t="s">
        <v>79</v>
      </c>
      <c r="B81" s="5">
        <v>30308</v>
      </c>
      <c r="C81" t="s">
        <v>80</v>
      </c>
      <c r="D81" s="1" t="str">
        <f>"03116"</f>
        <v>03116</v>
      </c>
      <c r="E81" t="s">
        <v>15</v>
      </c>
      <c r="F81" t="s">
        <v>82</v>
      </c>
      <c r="G81" s="1" t="str">
        <f>"002"</f>
        <v>002</v>
      </c>
      <c r="H81" s="1">
        <v>2001</v>
      </c>
      <c r="I81" s="6">
        <v>1235700</v>
      </c>
      <c r="J81" s="6">
        <v>29900</v>
      </c>
      <c r="K81" s="6">
        <v>1205800</v>
      </c>
      <c r="L81" s="7"/>
    </row>
    <row r="82" spans="1:12" x14ac:dyDescent="0.25">
      <c r="A82" t="s">
        <v>79</v>
      </c>
      <c r="B82" s="5">
        <v>30308</v>
      </c>
      <c r="C82" t="s">
        <v>83</v>
      </c>
      <c r="D82" s="1" t="str">
        <f>"17176"</f>
        <v>17176</v>
      </c>
      <c r="E82" t="s">
        <v>15</v>
      </c>
      <c r="F82" t="s">
        <v>84</v>
      </c>
      <c r="G82" s="1" t="str">
        <f>"001"</f>
        <v>001</v>
      </c>
      <c r="H82" s="1">
        <v>2006</v>
      </c>
      <c r="I82" s="6">
        <v>2791100</v>
      </c>
      <c r="J82" s="6">
        <v>1614000</v>
      </c>
      <c r="K82" s="6">
        <v>1177100</v>
      </c>
      <c r="L82" s="7"/>
    </row>
    <row r="83" spans="1:12" x14ac:dyDescent="0.25">
      <c r="A83" t="s">
        <v>85</v>
      </c>
      <c r="B83" s="5">
        <v>140336</v>
      </c>
      <c r="C83" t="s">
        <v>86</v>
      </c>
      <c r="D83" s="1" t="str">
        <f>"14206"</f>
        <v>14206</v>
      </c>
      <c r="E83" t="s">
        <v>10</v>
      </c>
      <c r="F83" t="s">
        <v>87</v>
      </c>
      <c r="G83" s="1" t="str">
        <f>"004"</f>
        <v>004</v>
      </c>
      <c r="H83" s="1">
        <v>1994</v>
      </c>
      <c r="I83" s="6">
        <v>80922600</v>
      </c>
      <c r="J83" s="6">
        <v>10065100</v>
      </c>
      <c r="K83" s="6">
        <v>70857500</v>
      </c>
      <c r="L83" s="7"/>
    </row>
    <row r="84" spans="1:12" x14ac:dyDescent="0.25">
      <c r="A84" t="s">
        <v>85</v>
      </c>
      <c r="B84" s="5">
        <v>140336</v>
      </c>
      <c r="C84" t="s">
        <v>86</v>
      </c>
      <c r="D84" s="1" t="str">
        <f>"14206"</f>
        <v>14206</v>
      </c>
      <c r="E84" t="s">
        <v>10</v>
      </c>
      <c r="F84" t="s">
        <v>87</v>
      </c>
      <c r="G84" s="1" t="str">
        <f>"006"</f>
        <v>006</v>
      </c>
      <c r="H84" s="1">
        <v>2009</v>
      </c>
      <c r="I84" s="6">
        <v>7027800</v>
      </c>
      <c r="J84" s="6">
        <v>832700</v>
      </c>
      <c r="K84" s="6">
        <v>6195100</v>
      </c>
      <c r="L84" s="7"/>
    </row>
    <row r="85" spans="1:12" x14ac:dyDescent="0.25">
      <c r="A85" t="s">
        <v>85</v>
      </c>
      <c r="B85" s="5">
        <v>140336</v>
      </c>
      <c r="C85" t="s">
        <v>86</v>
      </c>
      <c r="D85" s="1" t="str">
        <f>"14206"</f>
        <v>14206</v>
      </c>
      <c r="E85" t="s">
        <v>10</v>
      </c>
      <c r="F85" t="s">
        <v>87</v>
      </c>
      <c r="G85" s="1" t="str">
        <f>"007"</f>
        <v>007</v>
      </c>
      <c r="H85" s="1">
        <v>2016</v>
      </c>
      <c r="I85" s="6">
        <v>21978000</v>
      </c>
      <c r="J85" s="6">
        <v>0</v>
      </c>
      <c r="K85" s="6">
        <v>21978000</v>
      </c>
      <c r="L85" s="7"/>
    </row>
    <row r="86" spans="1:12" x14ac:dyDescent="0.25">
      <c r="A86" t="s">
        <v>85</v>
      </c>
      <c r="B86" s="5">
        <v>140336</v>
      </c>
      <c r="C86" t="s">
        <v>86</v>
      </c>
      <c r="D86" s="1" t="str">
        <f>"14206"</f>
        <v>14206</v>
      </c>
      <c r="E86" t="s">
        <v>10</v>
      </c>
      <c r="F86" t="s">
        <v>87</v>
      </c>
      <c r="G86" s="1" t="str">
        <f>"008"</f>
        <v>008</v>
      </c>
      <c r="H86" s="1">
        <v>2018</v>
      </c>
      <c r="I86" s="6">
        <v>6999100</v>
      </c>
      <c r="J86" s="6">
        <v>7192000</v>
      </c>
      <c r="K86" s="6">
        <v>-192900</v>
      </c>
      <c r="L86" s="7"/>
    </row>
    <row r="87" spans="1:12" x14ac:dyDescent="0.25">
      <c r="A87" t="s">
        <v>88</v>
      </c>
      <c r="B87" s="5">
        <v>130350</v>
      </c>
      <c r="C87" t="s">
        <v>89</v>
      </c>
      <c r="D87" s="1" t="str">
        <f>"13106"</f>
        <v>13106</v>
      </c>
      <c r="E87" t="s">
        <v>15</v>
      </c>
      <c r="F87" t="s">
        <v>90</v>
      </c>
      <c r="G87" s="1" t="str">
        <f>"003"</f>
        <v>003</v>
      </c>
      <c r="H87" s="1">
        <v>2009</v>
      </c>
      <c r="I87" s="6">
        <v>5120200</v>
      </c>
      <c r="J87" s="6">
        <v>162400</v>
      </c>
      <c r="K87" s="6">
        <v>4957800</v>
      </c>
      <c r="L87" s="7"/>
    </row>
    <row r="88" spans="1:12" x14ac:dyDescent="0.25">
      <c r="A88" t="s">
        <v>88</v>
      </c>
      <c r="B88" s="5">
        <v>130350</v>
      </c>
      <c r="C88" t="s">
        <v>89</v>
      </c>
      <c r="D88" s="1" t="str">
        <f>"13106"</f>
        <v>13106</v>
      </c>
      <c r="E88" t="s">
        <v>15</v>
      </c>
      <c r="F88" t="s">
        <v>90</v>
      </c>
      <c r="G88" s="1" t="str">
        <f>"004"</f>
        <v>004</v>
      </c>
      <c r="H88" s="1">
        <v>2009</v>
      </c>
      <c r="I88" s="6">
        <v>1741900</v>
      </c>
      <c r="J88" s="6">
        <v>2331600</v>
      </c>
      <c r="K88" s="6">
        <v>-589700</v>
      </c>
      <c r="L88" s="7"/>
    </row>
    <row r="89" spans="1:12" x14ac:dyDescent="0.25">
      <c r="A89" t="s">
        <v>88</v>
      </c>
      <c r="B89" s="5">
        <v>130350</v>
      </c>
      <c r="C89" t="s">
        <v>89</v>
      </c>
      <c r="D89" s="1" t="str">
        <f>"13106"</f>
        <v>13106</v>
      </c>
      <c r="E89" t="s">
        <v>15</v>
      </c>
      <c r="F89" t="s">
        <v>90</v>
      </c>
      <c r="G89" s="1" t="str">
        <f>"005"</f>
        <v>005</v>
      </c>
      <c r="H89" s="1">
        <v>2009</v>
      </c>
      <c r="I89" s="6">
        <v>6157900</v>
      </c>
      <c r="J89" s="6">
        <v>6990200</v>
      </c>
      <c r="K89" s="6">
        <v>-832300</v>
      </c>
      <c r="L89" s="7"/>
    </row>
    <row r="90" spans="1:12" x14ac:dyDescent="0.25">
      <c r="A90" t="s">
        <v>88</v>
      </c>
      <c r="B90" s="5">
        <v>130350</v>
      </c>
      <c r="C90" t="s">
        <v>91</v>
      </c>
      <c r="D90" s="1" t="str">
        <f>"23106"</f>
        <v>23106</v>
      </c>
      <c r="E90" t="s">
        <v>15</v>
      </c>
      <c r="F90" t="s">
        <v>90</v>
      </c>
      <c r="G90" s="1" t="str">
        <f>"005"</f>
        <v>005</v>
      </c>
      <c r="H90" s="1">
        <v>2009</v>
      </c>
      <c r="I90" s="6">
        <v>374000</v>
      </c>
      <c r="J90" s="6">
        <v>368800</v>
      </c>
      <c r="K90" s="6">
        <v>5200</v>
      </c>
      <c r="L90" s="7"/>
    </row>
    <row r="91" spans="1:12" x14ac:dyDescent="0.25">
      <c r="A91" t="s">
        <v>92</v>
      </c>
      <c r="B91" s="5">
        <v>330364</v>
      </c>
      <c r="C91" t="s">
        <v>48</v>
      </c>
      <c r="D91" s="1" t="str">
        <f>"33106"</f>
        <v>33106</v>
      </c>
      <c r="E91" t="s">
        <v>15</v>
      </c>
      <c r="F91" t="s">
        <v>93</v>
      </c>
      <c r="G91" s="1" t="str">
        <f>"001"</f>
        <v>001</v>
      </c>
      <c r="H91" s="1">
        <v>2004</v>
      </c>
      <c r="I91" s="6">
        <v>7078900</v>
      </c>
      <c r="J91" s="6">
        <v>56000</v>
      </c>
      <c r="K91" s="6">
        <v>7022900</v>
      </c>
      <c r="L91" s="7"/>
    </row>
    <row r="92" spans="1:12" x14ac:dyDescent="0.25">
      <c r="A92" t="s">
        <v>94</v>
      </c>
      <c r="B92" s="5">
        <v>530413</v>
      </c>
      <c r="C92" t="s">
        <v>95</v>
      </c>
      <c r="D92" s="1" t="str">
        <f t="shared" ref="D92:D99" si="1">"53206"</f>
        <v>53206</v>
      </c>
      <c r="E92" t="s">
        <v>10</v>
      </c>
      <c r="F92" t="s">
        <v>96</v>
      </c>
      <c r="G92" s="1" t="str">
        <f>"008"</f>
        <v>008</v>
      </c>
      <c r="H92" s="1">
        <v>1995</v>
      </c>
      <c r="I92" s="6">
        <v>16348900</v>
      </c>
      <c r="J92" s="6">
        <v>1646300</v>
      </c>
      <c r="K92" s="6">
        <v>14702600</v>
      </c>
      <c r="L92" s="7"/>
    </row>
    <row r="93" spans="1:12" x14ac:dyDescent="0.25">
      <c r="A93" t="s">
        <v>94</v>
      </c>
      <c r="B93" s="5">
        <v>530413</v>
      </c>
      <c r="C93" t="s">
        <v>95</v>
      </c>
      <c r="D93" s="1" t="str">
        <f t="shared" si="1"/>
        <v>53206</v>
      </c>
      <c r="E93" t="s">
        <v>10</v>
      </c>
      <c r="F93" t="s">
        <v>96</v>
      </c>
      <c r="G93" s="1" t="str">
        <f>"009"</f>
        <v>009</v>
      </c>
      <c r="H93" s="1">
        <v>1998</v>
      </c>
      <c r="I93" s="6">
        <v>9695400</v>
      </c>
      <c r="J93" s="6">
        <v>3666300</v>
      </c>
      <c r="K93" s="6">
        <v>6029100</v>
      </c>
      <c r="L93" s="7"/>
    </row>
    <row r="94" spans="1:12" x14ac:dyDescent="0.25">
      <c r="A94" t="s">
        <v>94</v>
      </c>
      <c r="B94" s="5">
        <v>530413</v>
      </c>
      <c r="C94" t="s">
        <v>95</v>
      </c>
      <c r="D94" s="1" t="str">
        <f t="shared" si="1"/>
        <v>53206</v>
      </c>
      <c r="E94" t="s">
        <v>10</v>
      </c>
      <c r="F94" t="s">
        <v>96</v>
      </c>
      <c r="G94" s="1" t="str">
        <f>"010"</f>
        <v>010</v>
      </c>
      <c r="H94" s="1">
        <v>2001</v>
      </c>
      <c r="I94" s="6">
        <v>85661100</v>
      </c>
      <c r="J94" s="6">
        <v>1291100</v>
      </c>
      <c r="K94" s="6">
        <v>84370000</v>
      </c>
      <c r="L94" s="7"/>
    </row>
    <row r="95" spans="1:12" x14ac:dyDescent="0.25">
      <c r="A95" t="s">
        <v>94</v>
      </c>
      <c r="B95" s="5">
        <v>530413</v>
      </c>
      <c r="C95" t="s">
        <v>95</v>
      </c>
      <c r="D95" s="1" t="str">
        <f t="shared" si="1"/>
        <v>53206</v>
      </c>
      <c r="E95" t="s">
        <v>10</v>
      </c>
      <c r="F95" t="s">
        <v>96</v>
      </c>
      <c r="G95" s="1" t="str">
        <f>"011"</f>
        <v>011</v>
      </c>
      <c r="H95" s="1">
        <v>2002</v>
      </c>
      <c r="I95" s="6">
        <v>9484600</v>
      </c>
      <c r="J95" s="6">
        <v>1963200</v>
      </c>
      <c r="K95" s="6">
        <v>7521400</v>
      </c>
      <c r="L95" s="7"/>
    </row>
    <row r="96" spans="1:12" x14ac:dyDescent="0.25">
      <c r="A96" t="s">
        <v>94</v>
      </c>
      <c r="B96" s="5">
        <v>530413</v>
      </c>
      <c r="C96" t="s">
        <v>95</v>
      </c>
      <c r="D96" s="1" t="str">
        <f t="shared" si="1"/>
        <v>53206</v>
      </c>
      <c r="E96" t="s">
        <v>10</v>
      </c>
      <c r="F96" t="s">
        <v>96</v>
      </c>
      <c r="G96" s="1" t="str">
        <f>"012"</f>
        <v>012</v>
      </c>
      <c r="H96" s="1">
        <v>2003</v>
      </c>
      <c r="I96" s="6">
        <v>2154300</v>
      </c>
      <c r="J96" s="6">
        <v>795300</v>
      </c>
      <c r="K96" s="6">
        <v>1359000</v>
      </c>
      <c r="L96" s="7"/>
    </row>
    <row r="97" spans="1:12" x14ac:dyDescent="0.25">
      <c r="A97" t="s">
        <v>94</v>
      </c>
      <c r="B97" s="5">
        <v>530413</v>
      </c>
      <c r="C97" t="s">
        <v>95</v>
      </c>
      <c r="D97" s="1" t="str">
        <f t="shared" si="1"/>
        <v>53206</v>
      </c>
      <c r="E97" t="s">
        <v>10</v>
      </c>
      <c r="F97" t="s">
        <v>96</v>
      </c>
      <c r="G97" s="1" t="str">
        <f>"013"</f>
        <v>013</v>
      </c>
      <c r="H97" s="1">
        <v>2005</v>
      </c>
      <c r="I97" s="6">
        <v>51977300</v>
      </c>
      <c r="J97" s="6">
        <v>23854500</v>
      </c>
      <c r="K97" s="6">
        <v>28122800</v>
      </c>
      <c r="L97" s="7"/>
    </row>
    <row r="98" spans="1:12" x14ac:dyDescent="0.25">
      <c r="A98" t="s">
        <v>94</v>
      </c>
      <c r="B98" s="5">
        <v>530413</v>
      </c>
      <c r="C98" t="s">
        <v>95</v>
      </c>
      <c r="D98" s="1" t="str">
        <f t="shared" si="1"/>
        <v>53206</v>
      </c>
      <c r="E98" t="s">
        <v>10</v>
      </c>
      <c r="F98" t="s">
        <v>96</v>
      </c>
      <c r="G98" s="1" t="str">
        <f>"014"</f>
        <v>014</v>
      </c>
      <c r="H98" s="1">
        <v>2007</v>
      </c>
      <c r="I98" s="6">
        <v>13420800</v>
      </c>
      <c r="J98" s="6">
        <v>10510700</v>
      </c>
      <c r="K98" s="6">
        <v>2910100</v>
      </c>
      <c r="L98" s="7"/>
    </row>
    <row r="99" spans="1:12" x14ac:dyDescent="0.25">
      <c r="A99" t="s">
        <v>97</v>
      </c>
      <c r="B99" s="5">
        <v>530422</v>
      </c>
      <c r="C99" t="s">
        <v>95</v>
      </c>
      <c r="D99" s="1" t="str">
        <f t="shared" si="1"/>
        <v>53206</v>
      </c>
      <c r="E99" t="s">
        <v>10</v>
      </c>
      <c r="F99" t="s">
        <v>96</v>
      </c>
      <c r="G99" s="1" t="str">
        <f>"010"</f>
        <v>010</v>
      </c>
      <c r="H99" s="1">
        <v>2001</v>
      </c>
      <c r="I99" s="6">
        <v>10588900</v>
      </c>
      <c r="J99" s="6">
        <v>22800</v>
      </c>
      <c r="K99" s="6">
        <v>10566100</v>
      </c>
      <c r="L99" s="7"/>
    </row>
    <row r="100" spans="1:12" x14ac:dyDescent="0.25">
      <c r="A100" t="s">
        <v>98</v>
      </c>
      <c r="B100" s="5">
        <v>240434</v>
      </c>
      <c r="C100" t="s">
        <v>99</v>
      </c>
      <c r="D100" s="1" t="str">
        <f>"24206"</f>
        <v>24206</v>
      </c>
      <c r="E100" t="s">
        <v>10</v>
      </c>
      <c r="F100" t="s">
        <v>100</v>
      </c>
      <c r="G100" s="1" t="str">
        <f>"001E"</f>
        <v>001E</v>
      </c>
      <c r="H100" s="1">
        <v>2003</v>
      </c>
      <c r="I100" s="6">
        <v>919000</v>
      </c>
      <c r="J100" s="6">
        <v>615300</v>
      </c>
      <c r="K100" s="6">
        <v>303700</v>
      </c>
      <c r="L100" s="7"/>
    </row>
    <row r="101" spans="1:12" x14ac:dyDescent="0.25">
      <c r="A101" t="s">
        <v>98</v>
      </c>
      <c r="B101" s="5">
        <v>240434</v>
      </c>
      <c r="C101" t="s">
        <v>99</v>
      </c>
      <c r="D101" s="1" t="str">
        <f>"24206"</f>
        <v>24206</v>
      </c>
      <c r="E101" t="s">
        <v>10</v>
      </c>
      <c r="F101" t="s">
        <v>100</v>
      </c>
      <c r="G101" s="1" t="str">
        <f>"002E"</f>
        <v>002E</v>
      </c>
      <c r="H101" s="1">
        <v>2007</v>
      </c>
      <c r="I101" s="6">
        <v>928100</v>
      </c>
      <c r="J101" s="6">
        <v>105000</v>
      </c>
      <c r="K101" s="6">
        <v>823100</v>
      </c>
      <c r="L101" s="7"/>
    </row>
    <row r="102" spans="1:12" x14ac:dyDescent="0.25">
      <c r="A102" t="s">
        <v>98</v>
      </c>
      <c r="B102" s="5">
        <v>240434</v>
      </c>
      <c r="C102" t="s">
        <v>99</v>
      </c>
      <c r="D102" s="1" t="str">
        <f>"24206"</f>
        <v>24206</v>
      </c>
      <c r="E102" t="s">
        <v>10</v>
      </c>
      <c r="F102" t="s">
        <v>100</v>
      </c>
      <c r="G102" s="1" t="str">
        <f>"009"</f>
        <v>009</v>
      </c>
      <c r="H102" s="1">
        <v>1991</v>
      </c>
      <c r="I102" s="6">
        <v>685000</v>
      </c>
      <c r="J102" s="6">
        <v>129300</v>
      </c>
      <c r="K102" s="6">
        <v>555700</v>
      </c>
      <c r="L102" s="7"/>
    </row>
    <row r="103" spans="1:12" x14ac:dyDescent="0.25">
      <c r="A103" t="s">
        <v>98</v>
      </c>
      <c r="B103" s="5">
        <v>240434</v>
      </c>
      <c r="C103" t="s">
        <v>99</v>
      </c>
      <c r="D103" s="1" t="str">
        <f>"24206"</f>
        <v>24206</v>
      </c>
      <c r="E103" t="s">
        <v>10</v>
      </c>
      <c r="F103" t="s">
        <v>100</v>
      </c>
      <c r="G103" s="1" t="str">
        <f>"014"</f>
        <v>014</v>
      </c>
      <c r="H103" s="1">
        <v>2006</v>
      </c>
      <c r="I103" s="6">
        <v>3271000</v>
      </c>
      <c r="J103" s="6">
        <v>192300</v>
      </c>
      <c r="K103" s="6">
        <v>3078700</v>
      </c>
      <c r="L103" s="7"/>
    </row>
    <row r="104" spans="1:12" x14ac:dyDescent="0.25">
      <c r="A104" t="s">
        <v>98</v>
      </c>
      <c r="B104" s="5">
        <v>240434</v>
      </c>
      <c r="C104" t="s">
        <v>99</v>
      </c>
      <c r="D104" s="1" t="str">
        <f>"24206"</f>
        <v>24206</v>
      </c>
      <c r="E104" t="s">
        <v>10</v>
      </c>
      <c r="F104" t="s">
        <v>100</v>
      </c>
      <c r="G104" s="1" t="str">
        <f>"015"</f>
        <v>015</v>
      </c>
      <c r="H104" s="1">
        <v>2008</v>
      </c>
      <c r="I104" s="6">
        <v>12974900</v>
      </c>
      <c r="J104" s="6">
        <v>12491500</v>
      </c>
      <c r="K104" s="6">
        <v>483400</v>
      </c>
      <c r="L104" s="7"/>
    </row>
    <row r="105" spans="1:12" x14ac:dyDescent="0.25">
      <c r="A105" t="s">
        <v>98</v>
      </c>
      <c r="B105" s="5">
        <v>240434</v>
      </c>
      <c r="C105" t="s">
        <v>101</v>
      </c>
      <c r="D105" s="1" t="str">
        <f>"69206"</f>
        <v>69206</v>
      </c>
      <c r="E105" t="s">
        <v>10</v>
      </c>
      <c r="F105" t="s">
        <v>100</v>
      </c>
      <c r="G105" s="1" t="str">
        <f>"010"</f>
        <v>010</v>
      </c>
      <c r="H105" s="1">
        <v>1993</v>
      </c>
      <c r="I105" s="6">
        <v>9109200</v>
      </c>
      <c r="J105" s="6">
        <v>49300</v>
      </c>
      <c r="K105" s="6">
        <v>9059900</v>
      </c>
      <c r="L105" s="7"/>
    </row>
    <row r="106" spans="1:12" x14ac:dyDescent="0.25">
      <c r="A106" t="s">
        <v>102</v>
      </c>
      <c r="B106" s="5">
        <v>650441</v>
      </c>
      <c r="C106" t="s">
        <v>103</v>
      </c>
      <c r="D106" s="1" t="str">
        <f>"65106"</f>
        <v>65106</v>
      </c>
      <c r="E106" t="s">
        <v>15</v>
      </c>
      <c r="F106" t="s">
        <v>104</v>
      </c>
      <c r="G106" s="1" t="str">
        <f>"001"</f>
        <v>001</v>
      </c>
      <c r="H106" s="1">
        <v>2004</v>
      </c>
      <c r="I106" s="6">
        <v>3791300</v>
      </c>
      <c r="J106" s="6">
        <v>1905000</v>
      </c>
      <c r="K106" s="6">
        <v>1886300</v>
      </c>
      <c r="L106" s="7"/>
    </row>
    <row r="107" spans="1:12" x14ac:dyDescent="0.25">
      <c r="A107" t="s">
        <v>102</v>
      </c>
      <c r="B107" s="5">
        <v>650441</v>
      </c>
      <c r="C107" t="s">
        <v>103</v>
      </c>
      <c r="D107" s="1" t="str">
        <f>"65106"</f>
        <v>65106</v>
      </c>
      <c r="E107" t="s">
        <v>15</v>
      </c>
      <c r="F107" t="s">
        <v>104</v>
      </c>
      <c r="G107" s="1" t="str">
        <f>"002"</f>
        <v>002</v>
      </c>
      <c r="H107" s="1">
        <v>2005</v>
      </c>
      <c r="I107" s="6">
        <v>3140500</v>
      </c>
      <c r="J107" s="6">
        <v>2174300</v>
      </c>
      <c r="K107" s="6">
        <v>966200</v>
      </c>
      <c r="L107" s="7"/>
    </row>
    <row r="108" spans="1:12" x14ac:dyDescent="0.25">
      <c r="A108" t="s">
        <v>105</v>
      </c>
      <c r="B108" s="5">
        <v>332240</v>
      </c>
      <c r="C108" t="s">
        <v>48</v>
      </c>
      <c r="D108" s="1" t="str">
        <f>"33131"</f>
        <v>33131</v>
      </c>
      <c r="E108" t="s">
        <v>15</v>
      </c>
      <c r="F108" t="s">
        <v>106</v>
      </c>
      <c r="G108" s="1" t="str">
        <f>"001"</f>
        <v>001</v>
      </c>
      <c r="H108" s="1">
        <v>2001</v>
      </c>
      <c r="I108" s="6">
        <v>1383300</v>
      </c>
      <c r="J108" s="6">
        <v>449900</v>
      </c>
      <c r="K108" s="6">
        <v>933400</v>
      </c>
      <c r="L108" s="7"/>
    </row>
    <row r="109" spans="1:12" x14ac:dyDescent="0.25">
      <c r="A109" t="s">
        <v>107</v>
      </c>
      <c r="B109" s="5">
        <v>270476</v>
      </c>
      <c r="C109" t="s">
        <v>26</v>
      </c>
      <c r="D109" s="1" t="str">
        <f>"27206"</f>
        <v>27206</v>
      </c>
      <c r="E109" t="s">
        <v>10</v>
      </c>
      <c r="F109" t="s">
        <v>108</v>
      </c>
      <c r="G109" s="1" t="str">
        <f>"003"</f>
        <v>003</v>
      </c>
      <c r="H109" s="1">
        <v>2002</v>
      </c>
      <c r="I109" s="6">
        <v>14103800</v>
      </c>
      <c r="J109" s="6">
        <v>496100</v>
      </c>
      <c r="K109" s="6">
        <v>13607700</v>
      </c>
      <c r="L109" s="7"/>
    </row>
    <row r="110" spans="1:12" x14ac:dyDescent="0.25">
      <c r="A110" t="s">
        <v>107</v>
      </c>
      <c r="B110" s="5">
        <v>270476</v>
      </c>
      <c r="C110" t="s">
        <v>26</v>
      </c>
      <c r="D110" s="1" t="str">
        <f>"27206"</f>
        <v>27206</v>
      </c>
      <c r="E110" t="s">
        <v>10</v>
      </c>
      <c r="F110" t="s">
        <v>108</v>
      </c>
      <c r="G110" s="1" t="str">
        <f>"004"</f>
        <v>004</v>
      </c>
      <c r="H110" s="1">
        <v>2003</v>
      </c>
      <c r="I110" s="6">
        <v>7030000</v>
      </c>
      <c r="J110" s="6">
        <v>462200</v>
      </c>
      <c r="K110" s="6">
        <v>6567800</v>
      </c>
      <c r="L110" s="7"/>
    </row>
    <row r="111" spans="1:12" x14ac:dyDescent="0.25">
      <c r="A111" t="s">
        <v>107</v>
      </c>
      <c r="B111" s="5">
        <v>270476</v>
      </c>
      <c r="C111" t="s">
        <v>26</v>
      </c>
      <c r="D111" s="1" t="str">
        <f>"27206"</f>
        <v>27206</v>
      </c>
      <c r="E111" t="s">
        <v>10</v>
      </c>
      <c r="F111" t="s">
        <v>108</v>
      </c>
      <c r="G111" s="1" t="str">
        <f>"005"</f>
        <v>005</v>
      </c>
      <c r="H111" s="1">
        <v>2008</v>
      </c>
      <c r="I111" s="6">
        <v>429900</v>
      </c>
      <c r="J111" s="6">
        <v>721700</v>
      </c>
      <c r="K111" s="6">
        <v>-291800</v>
      </c>
      <c r="L111" s="7"/>
    </row>
    <row r="112" spans="1:12" x14ac:dyDescent="0.25">
      <c r="A112" t="s">
        <v>107</v>
      </c>
      <c r="B112" s="5">
        <v>270476</v>
      </c>
      <c r="C112" t="s">
        <v>26</v>
      </c>
      <c r="D112" s="1" t="str">
        <f>"27206"</f>
        <v>27206</v>
      </c>
      <c r="E112" t="s">
        <v>10</v>
      </c>
      <c r="F112" t="s">
        <v>108</v>
      </c>
      <c r="G112" s="1" t="str">
        <f>"006"</f>
        <v>006</v>
      </c>
      <c r="H112" s="1">
        <v>2017</v>
      </c>
      <c r="I112" s="6">
        <v>8286300</v>
      </c>
      <c r="J112" s="6">
        <v>7792200</v>
      </c>
      <c r="K112" s="6">
        <v>494100</v>
      </c>
      <c r="L112" s="7"/>
    </row>
    <row r="113" spans="1:12" x14ac:dyDescent="0.25">
      <c r="A113" t="s">
        <v>107</v>
      </c>
      <c r="B113" s="5">
        <v>270476</v>
      </c>
      <c r="C113" t="s">
        <v>26</v>
      </c>
      <c r="D113" s="1" t="str">
        <f>"27206"</f>
        <v>27206</v>
      </c>
      <c r="E113" t="s">
        <v>10</v>
      </c>
      <c r="F113" t="s">
        <v>108</v>
      </c>
      <c r="G113" s="1" t="str">
        <f>"007"</f>
        <v>007</v>
      </c>
      <c r="H113" s="1">
        <v>2017</v>
      </c>
      <c r="I113" s="6">
        <v>0</v>
      </c>
      <c r="J113" s="6">
        <v>0</v>
      </c>
      <c r="K113" s="6">
        <v>0</v>
      </c>
      <c r="L113" s="7"/>
    </row>
    <row r="114" spans="1:12" x14ac:dyDescent="0.25">
      <c r="A114" t="s">
        <v>107</v>
      </c>
      <c r="B114" s="5">
        <v>270476</v>
      </c>
      <c r="C114" t="s">
        <v>26</v>
      </c>
      <c r="D114" s="1" t="str">
        <f>"27136"</f>
        <v>27136</v>
      </c>
      <c r="E114" t="s">
        <v>15</v>
      </c>
      <c r="F114" t="s">
        <v>109</v>
      </c>
      <c r="G114" s="1" t="str">
        <f>"001"</f>
        <v>001</v>
      </c>
      <c r="H114" s="1">
        <v>2007</v>
      </c>
      <c r="I114" s="6">
        <v>9662700</v>
      </c>
      <c r="J114" s="6">
        <v>1557000</v>
      </c>
      <c r="K114" s="6">
        <v>8105700</v>
      </c>
      <c r="L114" s="7"/>
    </row>
    <row r="115" spans="1:12" x14ac:dyDescent="0.25">
      <c r="A115" t="s">
        <v>110</v>
      </c>
      <c r="B115" s="5">
        <v>610485</v>
      </c>
      <c r="C115" t="s">
        <v>26</v>
      </c>
      <c r="D115" s="1" t="str">
        <f>"27186"</f>
        <v>27186</v>
      </c>
      <c r="E115" t="s">
        <v>15</v>
      </c>
      <c r="F115" t="s">
        <v>111</v>
      </c>
      <c r="G115" s="1" t="str">
        <f>"003"</f>
        <v>003</v>
      </c>
      <c r="H115" s="1">
        <v>1997</v>
      </c>
      <c r="I115" s="6">
        <v>3249700</v>
      </c>
      <c r="J115" s="6">
        <v>74000</v>
      </c>
      <c r="K115" s="6">
        <v>3175700</v>
      </c>
      <c r="L115" s="7"/>
    </row>
    <row r="116" spans="1:12" x14ac:dyDescent="0.25">
      <c r="A116" t="s">
        <v>110</v>
      </c>
      <c r="B116" s="5">
        <v>610485</v>
      </c>
      <c r="C116" t="s">
        <v>26</v>
      </c>
      <c r="D116" s="1" t="str">
        <f>"27186"</f>
        <v>27186</v>
      </c>
      <c r="E116" t="s">
        <v>15</v>
      </c>
      <c r="F116" t="s">
        <v>111</v>
      </c>
      <c r="G116" s="1" t="str">
        <f>"004"</f>
        <v>004</v>
      </c>
      <c r="H116" s="1">
        <v>1999</v>
      </c>
      <c r="I116" s="6">
        <v>838100</v>
      </c>
      <c r="J116" s="6">
        <v>398800</v>
      </c>
      <c r="K116" s="6">
        <v>439300</v>
      </c>
      <c r="L116" s="7"/>
    </row>
    <row r="117" spans="1:12" x14ac:dyDescent="0.25">
      <c r="A117" t="s">
        <v>110</v>
      </c>
      <c r="B117" s="5">
        <v>610485</v>
      </c>
      <c r="C117" t="s">
        <v>45</v>
      </c>
      <c r="D117" s="1" t="str">
        <f>"61206"</f>
        <v>61206</v>
      </c>
      <c r="E117" t="s">
        <v>10</v>
      </c>
      <c r="F117" t="s">
        <v>112</v>
      </c>
      <c r="G117" s="1" t="str">
        <f>"004"</f>
        <v>004</v>
      </c>
      <c r="H117" s="1">
        <v>2007</v>
      </c>
      <c r="I117" s="6">
        <v>4575100</v>
      </c>
      <c r="J117" s="6">
        <v>17900</v>
      </c>
      <c r="K117" s="6">
        <v>4557200</v>
      </c>
      <c r="L117" s="7"/>
    </row>
    <row r="118" spans="1:12" x14ac:dyDescent="0.25">
      <c r="A118" t="s">
        <v>110</v>
      </c>
      <c r="B118" s="5">
        <v>610485</v>
      </c>
      <c r="C118" t="s">
        <v>45</v>
      </c>
      <c r="D118" s="1" t="str">
        <f>"61206"</f>
        <v>61206</v>
      </c>
      <c r="E118" t="s">
        <v>10</v>
      </c>
      <c r="F118" t="s">
        <v>112</v>
      </c>
      <c r="G118" s="1" t="str">
        <f>"005"</f>
        <v>005</v>
      </c>
      <c r="H118" s="1">
        <v>2008</v>
      </c>
      <c r="I118" s="6">
        <v>2807700</v>
      </c>
      <c r="J118" s="6">
        <v>54100</v>
      </c>
      <c r="K118" s="6">
        <v>2753600</v>
      </c>
      <c r="L118" s="7"/>
    </row>
    <row r="119" spans="1:12" x14ac:dyDescent="0.25">
      <c r="A119" t="s">
        <v>110</v>
      </c>
      <c r="B119" s="5">
        <v>610485</v>
      </c>
      <c r="C119" t="s">
        <v>45</v>
      </c>
      <c r="D119" s="1" t="str">
        <f>"61206"</f>
        <v>61206</v>
      </c>
      <c r="E119" t="s">
        <v>10</v>
      </c>
      <c r="F119" t="s">
        <v>112</v>
      </c>
      <c r="G119" s="1" t="str">
        <f>"006"</f>
        <v>006</v>
      </c>
      <c r="H119" s="1">
        <v>2015</v>
      </c>
      <c r="I119" s="6">
        <v>3795700</v>
      </c>
      <c r="J119" s="6">
        <v>3300800</v>
      </c>
      <c r="K119" s="6">
        <v>494900</v>
      </c>
      <c r="L119" s="7"/>
    </row>
    <row r="120" spans="1:12" x14ac:dyDescent="0.25">
      <c r="A120" t="s">
        <v>110</v>
      </c>
      <c r="B120" s="5">
        <v>610485</v>
      </c>
      <c r="C120" t="s">
        <v>45</v>
      </c>
      <c r="D120" s="1" t="str">
        <f>"61206"</f>
        <v>61206</v>
      </c>
      <c r="E120" t="s">
        <v>10</v>
      </c>
      <c r="F120" t="s">
        <v>112</v>
      </c>
      <c r="G120" s="1" t="str">
        <f>"007"</f>
        <v>007</v>
      </c>
      <c r="H120" s="1">
        <v>2015</v>
      </c>
      <c r="I120" s="6">
        <v>2644800</v>
      </c>
      <c r="J120" s="6">
        <v>1725000</v>
      </c>
      <c r="K120" s="6">
        <v>919800</v>
      </c>
      <c r="L120" s="7"/>
    </row>
    <row r="121" spans="1:12" x14ac:dyDescent="0.25">
      <c r="A121" t="s">
        <v>113</v>
      </c>
      <c r="B121" s="5">
        <v>90497</v>
      </c>
      <c r="C121" t="s">
        <v>114</v>
      </c>
      <c r="D121" s="1" t="str">
        <f>"09206"</f>
        <v>09206</v>
      </c>
      <c r="E121" t="s">
        <v>10</v>
      </c>
      <c r="F121" t="s">
        <v>115</v>
      </c>
      <c r="G121" s="1" t="str">
        <f>"004"</f>
        <v>004</v>
      </c>
      <c r="H121" s="1">
        <v>2005</v>
      </c>
      <c r="I121" s="6">
        <v>23914200</v>
      </c>
      <c r="J121" s="6">
        <v>3787400</v>
      </c>
      <c r="K121" s="6">
        <v>20126800</v>
      </c>
      <c r="L121" s="7"/>
    </row>
    <row r="122" spans="1:12" x14ac:dyDescent="0.25">
      <c r="A122" t="s">
        <v>116</v>
      </c>
      <c r="B122" s="5">
        <v>580602</v>
      </c>
      <c r="C122" t="s">
        <v>117</v>
      </c>
      <c r="D122" s="1" t="str">
        <f>"58107"</f>
        <v>58107</v>
      </c>
      <c r="E122" t="s">
        <v>15</v>
      </c>
      <c r="F122" t="s">
        <v>118</v>
      </c>
      <c r="G122" s="1" t="str">
        <f>"001"</f>
        <v>001</v>
      </c>
      <c r="H122" s="1">
        <v>1994</v>
      </c>
      <c r="I122" s="6">
        <v>16395200</v>
      </c>
      <c r="J122" s="6">
        <v>1981600</v>
      </c>
      <c r="K122" s="6">
        <v>14413600</v>
      </c>
      <c r="L122" s="7"/>
    </row>
    <row r="123" spans="1:12" x14ac:dyDescent="0.25">
      <c r="A123" t="s">
        <v>119</v>
      </c>
      <c r="B123" s="5">
        <v>220609</v>
      </c>
      <c r="C123" t="s">
        <v>120</v>
      </c>
      <c r="D123" s="1" t="str">
        <f>"22206"</f>
        <v>22206</v>
      </c>
      <c r="E123" t="s">
        <v>10</v>
      </c>
      <c r="F123" t="s">
        <v>121</v>
      </c>
      <c r="G123" s="1" t="str">
        <f>"004"</f>
        <v>004</v>
      </c>
      <c r="H123" s="1">
        <v>2005</v>
      </c>
      <c r="I123" s="6">
        <v>8996200</v>
      </c>
      <c r="J123" s="6">
        <v>5090300</v>
      </c>
      <c r="K123" s="6">
        <v>3905900</v>
      </c>
      <c r="L123" s="7"/>
    </row>
    <row r="124" spans="1:12" x14ac:dyDescent="0.25">
      <c r="A124" t="s">
        <v>122</v>
      </c>
      <c r="B124" s="5">
        <v>580623</v>
      </c>
      <c r="C124" t="s">
        <v>117</v>
      </c>
      <c r="D124" s="1" t="str">
        <f>"58108"</f>
        <v>58108</v>
      </c>
      <c r="E124" t="s">
        <v>15</v>
      </c>
      <c r="F124" t="s">
        <v>123</v>
      </c>
      <c r="G124" s="1" t="str">
        <f>"002"</f>
        <v>002</v>
      </c>
      <c r="H124" s="1">
        <v>1997</v>
      </c>
      <c r="I124" s="6">
        <v>214200</v>
      </c>
      <c r="J124" s="6">
        <v>37400</v>
      </c>
      <c r="K124" s="6">
        <v>176800</v>
      </c>
      <c r="L124" s="7"/>
    </row>
    <row r="125" spans="1:12" x14ac:dyDescent="0.25">
      <c r="A125" t="s">
        <v>124</v>
      </c>
      <c r="B125" s="5">
        <v>170637</v>
      </c>
      <c r="C125" t="s">
        <v>83</v>
      </c>
      <c r="D125" s="1" t="str">
        <f>"17106"</f>
        <v>17106</v>
      </c>
      <c r="E125" t="s">
        <v>15</v>
      </c>
      <c r="F125" t="s">
        <v>125</v>
      </c>
      <c r="G125" s="1" t="str">
        <f>"002"</f>
        <v>002</v>
      </c>
      <c r="H125" s="1">
        <v>1996</v>
      </c>
      <c r="I125" s="6">
        <v>10282500</v>
      </c>
      <c r="J125" s="6">
        <v>334900</v>
      </c>
      <c r="K125" s="6">
        <v>9947600</v>
      </c>
      <c r="L125" s="7"/>
    </row>
    <row r="126" spans="1:12" x14ac:dyDescent="0.25">
      <c r="A126" t="s">
        <v>124</v>
      </c>
      <c r="B126" s="5">
        <v>170637</v>
      </c>
      <c r="C126" t="s">
        <v>83</v>
      </c>
      <c r="D126" s="1" t="str">
        <f>"17106"</f>
        <v>17106</v>
      </c>
      <c r="E126" t="s">
        <v>15</v>
      </c>
      <c r="F126" t="s">
        <v>125</v>
      </c>
      <c r="G126" s="1" t="str">
        <f>"003"</f>
        <v>003</v>
      </c>
      <c r="H126" s="1">
        <v>2007</v>
      </c>
      <c r="I126" s="6">
        <v>1165300</v>
      </c>
      <c r="J126" s="6">
        <v>1520500</v>
      </c>
      <c r="K126" s="6">
        <v>-355200</v>
      </c>
      <c r="L126" s="7"/>
    </row>
    <row r="127" spans="1:12" x14ac:dyDescent="0.25">
      <c r="A127" t="s">
        <v>126</v>
      </c>
      <c r="B127" s="5">
        <v>80658</v>
      </c>
      <c r="C127" t="s">
        <v>38</v>
      </c>
      <c r="D127" s="1" t="str">
        <f>"08206"</f>
        <v>08206</v>
      </c>
      <c r="E127" t="s">
        <v>10</v>
      </c>
      <c r="F127" t="s">
        <v>127</v>
      </c>
      <c r="G127" s="1" t="str">
        <f>"002"</f>
        <v>002</v>
      </c>
      <c r="H127" s="1">
        <v>2006</v>
      </c>
      <c r="I127" s="6">
        <v>5808700</v>
      </c>
      <c r="J127" s="6">
        <v>997500</v>
      </c>
      <c r="K127" s="6">
        <v>4811200</v>
      </c>
      <c r="L127" s="7"/>
    </row>
    <row r="128" spans="1:12" x14ac:dyDescent="0.25">
      <c r="A128" t="s">
        <v>126</v>
      </c>
      <c r="B128" s="5">
        <v>80658</v>
      </c>
      <c r="C128" t="s">
        <v>38</v>
      </c>
      <c r="D128" s="1" t="str">
        <f>"08206"</f>
        <v>08206</v>
      </c>
      <c r="E128" t="s">
        <v>10</v>
      </c>
      <c r="F128" t="s">
        <v>127</v>
      </c>
      <c r="G128" s="1" t="str">
        <f>"003"</f>
        <v>003</v>
      </c>
      <c r="H128" s="1">
        <v>2007</v>
      </c>
      <c r="I128" s="6">
        <v>10353300</v>
      </c>
      <c r="J128" s="6">
        <v>127200</v>
      </c>
      <c r="K128" s="6">
        <v>10226100</v>
      </c>
      <c r="L128" s="7"/>
    </row>
    <row r="129" spans="1:12" x14ac:dyDescent="0.25">
      <c r="A129" t="s">
        <v>126</v>
      </c>
      <c r="B129" s="5">
        <v>80658</v>
      </c>
      <c r="C129" t="s">
        <v>38</v>
      </c>
      <c r="D129" s="1" t="str">
        <f>"08206"</f>
        <v>08206</v>
      </c>
      <c r="E129" t="s">
        <v>10</v>
      </c>
      <c r="F129" t="s">
        <v>127</v>
      </c>
      <c r="G129" s="1" t="str">
        <f>"004"</f>
        <v>004</v>
      </c>
      <c r="H129" s="1">
        <v>2007</v>
      </c>
      <c r="I129" s="6">
        <v>18370900</v>
      </c>
      <c r="J129" s="6">
        <v>5412400</v>
      </c>
      <c r="K129" s="6">
        <v>12958500</v>
      </c>
      <c r="L129" s="7"/>
    </row>
    <row r="130" spans="1:12" x14ac:dyDescent="0.25">
      <c r="A130" t="s">
        <v>126</v>
      </c>
      <c r="B130" s="5">
        <v>80658</v>
      </c>
      <c r="C130" t="s">
        <v>38</v>
      </c>
      <c r="D130" s="1" t="str">
        <f>"08206"</f>
        <v>08206</v>
      </c>
      <c r="E130" t="s">
        <v>10</v>
      </c>
      <c r="F130" t="s">
        <v>127</v>
      </c>
      <c r="G130" s="1" t="str">
        <f>"005E"</f>
        <v>005E</v>
      </c>
      <c r="H130" s="1">
        <v>2018</v>
      </c>
      <c r="I130" s="6">
        <v>5415500</v>
      </c>
      <c r="J130" s="6">
        <v>1</v>
      </c>
      <c r="K130" s="6">
        <v>5415499</v>
      </c>
      <c r="L130" s="7"/>
    </row>
    <row r="131" spans="1:12" x14ac:dyDescent="0.25">
      <c r="A131" t="s">
        <v>128</v>
      </c>
      <c r="B131" s="5">
        <v>300665</v>
      </c>
      <c r="C131" t="s">
        <v>129</v>
      </c>
      <c r="D131" s="1" t="str">
        <f>"30174"</f>
        <v>30174</v>
      </c>
      <c r="E131" t="s">
        <v>15</v>
      </c>
      <c r="F131" t="s">
        <v>130</v>
      </c>
      <c r="G131" s="1" t="str">
        <f>"002"</f>
        <v>002</v>
      </c>
      <c r="H131" s="1">
        <v>1999</v>
      </c>
      <c r="I131" s="6">
        <v>233197700</v>
      </c>
      <c r="J131" s="6">
        <v>6022100</v>
      </c>
      <c r="K131" s="6">
        <v>227175600</v>
      </c>
      <c r="L131" s="7"/>
    </row>
    <row r="132" spans="1:12" x14ac:dyDescent="0.25">
      <c r="A132" t="s">
        <v>128</v>
      </c>
      <c r="B132" s="5">
        <v>300665</v>
      </c>
      <c r="C132" t="s">
        <v>129</v>
      </c>
      <c r="D132" s="1" t="str">
        <f>"30174"</f>
        <v>30174</v>
      </c>
      <c r="E132" t="s">
        <v>15</v>
      </c>
      <c r="F132" t="s">
        <v>130</v>
      </c>
      <c r="G132" s="1" t="str">
        <f>"005"</f>
        <v>005</v>
      </c>
      <c r="H132" s="1">
        <v>2017</v>
      </c>
      <c r="I132" s="6">
        <v>59281800</v>
      </c>
      <c r="J132" s="6">
        <v>14372700</v>
      </c>
      <c r="K132" s="6">
        <v>44909100</v>
      </c>
      <c r="L132" s="7"/>
    </row>
    <row r="133" spans="1:12" x14ac:dyDescent="0.25">
      <c r="A133" t="s">
        <v>131</v>
      </c>
      <c r="B133" s="5">
        <v>230700</v>
      </c>
      <c r="C133" t="s">
        <v>91</v>
      </c>
      <c r="D133" s="1" t="str">
        <f>"23206"</f>
        <v>23206</v>
      </c>
      <c r="E133" t="s">
        <v>10</v>
      </c>
      <c r="F133" t="s">
        <v>132</v>
      </c>
      <c r="G133" s="1" t="str">
        <f>"004"</f>
        <v>004</v>
      </c>
      <c r="H133" s="1">
        <v>2005</v>
      </c>
      <c r="I133" s="6">
        <v>184500</v>
      </c>
      <c r="J133" s="6">
        <v>108400</v>
      </c>
      <c r="K133" s="6">
        <v>76100</v>
      </c>
      <c r="L133" s="7"/>
    </row>
    <row r="134" spans="1:12" x14ac:dyDescent="0.25">
      <c r="A134" t="s">
        <v>131</v>
      </c>
      <c r="B134" s="5">
        <v>230700</v>
      </c>
      <c r="C134" t="s">
        <v>91</v>
      </c>
      <c r="D134" s="1" t="str">
        <f>"23206"</f>
        <v>23206</v>
      </c>
      <c r="E134" t="s">
        <v>10</v>
      </c>
      <c r="F134" t="s">
        <v>132</v>
      </c>
      <c r="G134" s="1" t="str">
        <f>"005"</f>
        <v>005</v>
      </c>
      <c r="H134" s="1">
        <v>2005</v>
      </c>
      <c r="I134" s="6">
        <v>1913000</v>
      </c>
      <c r="J134" s="6">
        <v>1529000</v>
      </c>
      <c r="K134" s="6">
        <v>384000</v>
      </c>
      <c r="L134" s="7"/>
    </row>
    <row r="135" spans="1:12" x14ac:dyDescent="0.25">
      <c r="A135" t="s">
        <v>131</v>
      </c>
      <c r="B135" s="5">
        <v>230700</v>
      </c>
      <c r="C135" t="s">
        <v>91</v>
      </c>
      <c r="D135" s="1" t="str">
        <f>"23206"</f>
        <v>23206</v>
      </c>
      <c r="E135" t="s">
        <v>10</v>
      </c>
      <c r="F135" t="s">
        <v>132</v>
      </c>
      <c r="G135" s="1" t="str">
        <f>"006"</f>
        <v>006</v>
      </c>
      <c r="H135" s="1">
        <v>2006</v>
      </c>
      <c r="I135" s="6">
        <v>2057700</v>
      </c>
      <c r="J135" s="6">
        <v>1170300</v>
      </c>
      <c r="K135" s="6">
        <v>887400</v>
      </c>
      <c r="L135" s="7"/>
    </row>
    <row r="136" spans="1:12" x14ac:dyDescent="0.25">
      <c r="A136" t="s">
        <v>131</v>
      </c>
      <c r="B136" s="5">
        <v>230700</v>
      </c>
      <c r="C136" t="s">
        <v>91</v>
      </c>
      <c r="D136" s="1" t="str">
        <f>"23206"</f>
        <v>23206</v>
      </c>
      <c r="E136" t="s">
        <v>10</v>
      </c>
      <c r="F136" t="s">
        <v>132</v>
      </c>
      <c r="G136" s="1" t="str">
        <f>"007"</f>
        <v>007</v>
      </c>
      <c r="H136" s="1">
        <v>2013</v>
      </c>
      <c r="I136" s="6">
        <v>5815300</v>
      </c>
      <c r="J136" s="6">
        <v>4118800</v>
      </c>
      <c r="K136" s="6">
        <v>1696500</v>
      </c>
      <c r="L136" s="7"/>
    </row>
    <row r="137" spans="1:12" x14ac:dyDescent="0.25">
      <c r="A137" t="s">
        <v>131</v>
      </c>
      <c r="B137" s="5">
        <v>230700</v>
      </c>
      <c r="C137" t="s">
        <v>95</v>
      </c>
      <c r="D137" s="1" t="str">
        <f>"53210"</f>
        <v>53210</v>
      </c>
      <c r="E137" t="s">
        <v>10</v>
      </c>
      <c r="F137" t="s">
        <v>132</v>
      </c>
      <c r="G137" s="1" t="str">
        <f>"006"</f>
        <v>006</v>
      </c>
      <c r="H137" s="1">
        <v>2006</v>
      </c>
      <c r="I137" s="6">
        <v>1894000</v>
      </c>
      <c r="J137" s="6">
        <v>102100</v>
      </c>
      <c r="K137" s="6">
        <v>1791900</v>
      </c>
      <c r="L137" s="7"/>
    </row>
    <row r="138" spans="1:12" x14ac:dyDescent="0.25">
      <c r="A138" t="s">
        <v>133</v>
      </c>
      <c r="B138" s="5">
        <v>400721</v>
      </c>
      <c r="C138" t="s">
        <v>134</v>
      </c>
      <c r="D138" s="1" t="str">
        <f>"40107"</f>
        <v>40107</v>
      </c>
      <c r="E138" t="s">
        <v>15</v>
      </c>
      <c r="F138" t="s">
        <v>135</v>
      </c>
      <c r="G138" s="1" t="str">
        <f>"002"</f>
        <v>002</v>
      </c>
      <c r="H138" s="1">
        <v>1995</v>
      </c>
      <c r="I138" s="6">
        <v>38453700</v>
      </c>
      <c r="J138" s="6">
        <v>11979900</v>
      </c>
      <c r="K138" s="6">
        <v>26473800</v>
      </c>
      <c r="L138" s="7"/>
    </row>
    <row r="139" spans="1:12" x14ac:dyDescent="0.25">
      <c r="A139" t="s">
        <v>133</v>
      </c>
      <c r="B139" s="5">
        <v>400721</v>
      </c>
      <c r="C139" t="s">
        <v>134</v>
      </c>
      <c r="D139" s="1" t="str">
        <f>"40107"</f>
        <v>40107</v>
      </c>
      <c r="E139" t="s">
        <v>15</v>
      </c>
      <c r="F139" t="s">
        <v>135</v>
      </c>
      <c r="G139" s="1" t="str">
        <f>"003"</f>
        <v>003</v>
      </c>
      <c r="H139" s="1">
        <v>2005</v>
      </c>
      <c r="I139" s="6">
        <v>48774300</v>
      </c>
      <c r="J139" s="6">
        <v>22968900</v>
      </c>
      <c r="K139" s="6">
        <v>25805400</v>
      </c>
      <c r="L139" s="7"/>
    </row>
    <row r="140" spans="1:12" x14ac:dyDescent="0.25">
      <c r="A140" t="s">
        <v>133</v>
      </c>
      <c r="B140" s="5">
        <v>400721</v>
      </c>
      <c r="C140" t="s">
        <v>134</v>
      </c>
      <c r="D140" s="1" t="str">
        <f>"40107"</f>
        <v>40107</v>
      </c>
      <c r="E140" t="s">
        <v>15</v>
      </c>
      <c r="F140" t="s">
        <v>135</v>
      </c>
      <c r="G140" s="1" t="str">
        <f>"004"</f>
        <v>004</v>
      </c>
      <c r="H140" s="1">
        <v>2005</v>
      </c>
      <c r="I140" s="6">
        <v>19367500</v>
      </c>
      <c r="J140" s="6">
        <v>19798600</v>
      </c>
      <c r="K140" s="6">
        <v>-431100</v>
      </c>
      <c r="L140" s="7"/>
    </row>
    <row r="141" spans="1:12" x14ac:dyDescent="0.25">
      <c r="A141" t="s">
        <v>136</v>
      </c>
      <c r="B141" s="5">
        <v>540735</v>
      </c>
      <c r="C141" t="s">
        <v>137</v>
      </c>
      <c r="D141" s="1" t="str">
        <f>"54106"</f>
        <v>54106</v>
      </c>
      <c r="E141" t="s">
        <v>15</v>
      </c>
      <c r="F141" t="s">
        <v>138</v>
      </c>
      <c r="G141" s="1" t="str">
        <f>"001"</f>
        <v>001</v>
      </c>
      <c r="H141" s="1">
        <v>1998</v>
      </c>
      <c r="I141" s="6">
        <v>85000</v>
      </c>
      <c r="J141" s="6">
        <v>11300</v>
      </c>
      <c r="K141" s="6">
        <v>73700</v>
      </c>
      <c r="L141" s="7"/>
    </row>
    <row r="142" spans="1:12" x14ac:dyDescent="0.25">
      <c r="A142" t="s">
        <v>136</v>
      </c>
      <c r="B142" s="5">
        <v>540735</v>
      </c>
      <c r="C142" t="s">
        <v>137</v>
      </c>
      <c r="D142" s="1" t="str">
        <f>"54106"</f>
        <v>54106</v>
      </c>
      <c r="E142" t="s">
        <v>15</v>
      </c>
      <c r="F142" t="s">
        <v>138</v>
      </c>
      <c r="G142" s="1" t="str">
        <f>"002"</f>
        <v>002</v>
      </c>
      <c r="H142" s="1">
        <v>2002</v>
      </c>
      <c r="I142" s="6">
        <v>2049300</v>
      </c>
      <c r="J142" s="6">
        <v>1272400</v>
      </c>
      <c r="K142" s="6">
        <v>776900</v>
      </c>
      <c r="L142" s="7"/>
    </row>
    <row r="143" spans="1:12" x14ac:dyDescent="0.25">
      <c r="A143" t="s">
        <v>139</v>
      </c>
      <c r="B143" s="5">
        <v>510777</v>
      </c>
      <c r="C143" t="s">
        <v>140</v>
      </c>
      <c r="D143" s="1" t="str">
        <f>"64206"</f>
        <v>64206</v>
      </c>
      <c r="E143" t="s">
        <v>10</v>
      </c>
      <c r="F143" t="s">
        <v>141</v>
      </c>
      <c r="G143" s="1" t="str">
        <f>"005"</f>
        <v>005</v>
      </c>
      <c r="H143" s="1">
        <v>2015</v>
      </c>
      <c r="I143" s="6">
        <v>10193500</v>
      </c>
      <c r="J143" s="6">
        <v>123900</v>
      </c>
      <c r="K143" s="6">
        <v>10069600</v>
      </c>
      <c r="L143" s="7"/>
    </row>
    <row r="144" spans="1:12" x14ac:dyDescent="0.25">
      <c r="A144" t="s">
        <v>142</v>
      </c>
      <c r="B144" s="5">
        <v>90870</v>
      </c>
      <c r="C144" t="s">
        <v>114</v>
      </c>
      <c r="D144" s="1" t="str">
        <f>"09111"</f>
        <v>09111</v>
      </c>
      <c r="E144" t="s">
        <v>15</v>
      </c>
      <c r="F144" t="s">
        <v>143</v>
      </c>
      <c r="G144" s="1" t="str">
        <f>"004"</f>
        <v>004</v>
      </c>
      <c r="H144" s="1">
        <v>2013</v>
      </c>
      <c r="I144" s="6">
        <v>3587300</v>
      </c>
      <c r="J144" s="6">
        <v>2245200</v>
      </c>
      <c r="K144" s="6">
        <v>1342100</v>
      </c>
      <c r="L144" s="7"/>
    </row>
    <row r="145" spans="1:12" x14ac:dyDescent="0.25">
      <c r="A145" t="s">
        <v>144</v>
      </c>
      <c r="B145" s="5">
        <v>110882</v>
      </c>
      <c r="C145" t="s">
        <v>145</v>
      </c>
      <c r="D145" s="1" t="str">
        <f>"11127"</f>
        <v>11127</v>
      </c>
      <c r="E145" t="s">
        <v>15</v>
      </c>
      <c r="F145" t="s">
        <v>146</v>
      </c>
      <c r="G145" s="1" t="str">
        <f>"001"</f>
        <v>001</v>
      </c>
      <c r="H145" s="1">
        <v>1995</v>
      </c>
      <c r="I145" s="6">
        <v>7577200</v>
      </c>
      <c r="J145" s="6">
        <v>2527700</v>
      </c>
      <c r="K145" s="6">
        <v>5049500</v>
      </c>
      <c r="L145" s="7"/>
    </row>
    <row r="146" spans="1:12" x14ac:dyDescent="0.25">
      <c r="A146" t="s">
        <v>147</v>
      </c>
      <c r="B146" s="5">
        <v>130896</v>
      </c>
      <c r="C146" t="s">
        <v>89</v>
      </c>
      <c r="D146" s="1" t="str">
        <f>"13111"</f>
        <v>13111</v>
      </c>
      <c r="E146" t="s">
        <v>15</v>
      </c>
      <c r="F146" t="s">
        <v>148</v>
      </c>
      <c r="G146" s="1" t="str">
        <f>"004"</f>
        <v>004</v>
      </c>
      <c r="H146" s="1">
        <v>2013</v>
      </c>
      <c r="I146" s="6">
        <v>13329900</v>
      </c>
      <c r="J146" s="6">
        <v>10041000</v>
      </c>
      <c r="K146" s="6">
        <v>3288900</v>
      </c>
      <c r="L146" s="7"/>
    </row>
    <row r="147" spans="1:12" x14ac:dyDescent="0.25">
      <c r="A147" t="s">
        <v>149</v>
      </c>
      <c r="B147" s="5">
        <v>30903</v>
      </c>
      <c r="C147" t="s">
        <v>80</v>
      </c>
      <c r="D147" s="1" t="str">
        <f>"03111"</f>
        <v>03111</v>
      </c>
      <c r="E147" t="s">
        <v>15</v>
      </c>
      <c r="F147" t="s">
        <v>150</v>
      </c>
      <c r="G147" s="1" t="str">
        <f>"001"</f>
        <v>001</v>
      </c>
      <c r="H147" s="1">
        <v>2005</v>
      </c>
      <c r="I147" s="6">
        <v>18043500</v>
      </c>
      <c r="J147" s="6">
        <v>2317500</v>
      </c>
      <c r="K147" s="6">
        <v>15726000</v>
      </c>
      <c r="L147" s="7"/>
    </row>
    <row r="148" spans="1:12" x14ac:dyDescent="0.25">
      <c r="A148" t="s">
        <v>151</v>
      </c>
      <c r="B148" s="5">
        <v>200910</v>
      </c>
      <c r="C148" t="s">
        <v>152</v>
      </c>
      <c r="D148" s="1" t="str">
        <f>"20111"</f>
        <v>20111</v>
      </c>
      <c r="E148" t="s">
        <v>15</v>
      </c>
      <c r="F148" t="s">
        <v>153</v>
      </c>
      <c r="G148" s="1" t="str">
        <f>"001"</f>
        <v>001</v>
      </c>
      <c r="H148" s="1">
        <v>2011</v>
      </c>
      <c r="I148" s="6">
        <v>2655100</v>
      </c>
      <c r="J148" s="6">
        <v>1763300</v>
      </c>
      <c r="K148" s="6">
        <v>891800</v>
      </c>
      <c r="L148" s="7"/>
    </row>
    <row r="149" spans="1:12" x14ac:dyDescent="0.25">
      <c r="A149" t="s">
        <v>154</v>
      </c>
      <c r="B149" s="5">
        <v>410980</v>
      </c>
      <c r="C149" t="s">
        <v>70</v>
      </c>
      <c r="D149" s="1" t="str">
        <f>"41111"</f>
        <v>41111</v>
      </c>
      <c r="E149" t="s">
        <v>15</v>
      </c>
      <c r="F149" t="s">
        <v>155</v>
      </c>
      <c r="G149" s="1" t="str">
        <f>"001"</f>
        <v>001</v>
      </c>
      <c r="H149" s="1">
        <v>1993</v>
      </c>
      <c r="I149" s="6">
        <v>2714600</v>
      </c>
      <c r="J149" s="6">
        <v>82200</v>
      </c>
      <c r="K149" s="6">
        <v>2632400</v>
      </c>
      <c r="L149" s="7"/>
    </row>
    <row r="150" spans="1:12" x14ac:dyDescent="0.25">
      <c r="A150" t="s">
        <v>154</v>
      </c>
      <c r="B150" s="5">
        <v>410980</v>
      </c>
      <c r="C150" t="s">
        <v>70</v>
      </c>
      <c r="D150" s="1" t="str">
        <f>"41111"</f>
        <v>41111</v>
      </c>
      <c r="E150" t="s">
        <v>15</v>
      </c>
      <c r="F150" t="s">
        <v>155</v>
      </c>
      <c r="G150" s="1" t="str">
        <f>"002"</f>
        <v>002</v>
      </c>
      <c r="H150" s="1">
        <v>1998</v>
      </c>
      <c r="I150" s="6">
        <v>1554600</v>
      </c>
      <c r="J150" s="6">
        <v>836000</v>
      </c>
      <c r="K150" s="6">
        <v>718600</v>
      </c>
      <c r="L150" s="7"/>
    </row>
    <row r="151" spans="1:12" x14ac:dyDescent="0.25">
      <c r="A151" t="s">
        <v>154</v>
      </c>
      <c r="B151" s="5">
        <v>410980</v>
      </c>
      <c r="C151" t="s">
        <v>70</v>
      </c>
      <c r="D151" s="1" t="str">
        <f>"41111"</f>
        <v>41111</v>
      </c>
      <c r="E151" t="s">
        <v>15</v>
      </c>
      <c r="F151" t="s">
        <v>155</v>
      </c>
      <c r="G151" s="1" t="str">
        <f>"003"</f>
        <v>003</v>
      </c>
      <c r="H151" s="1">
        <v>2005</v>
      </c>
      <c r="I151" s="6">
        <v>43168200</v>
      </c>
      <c r="J151" s="6">
        <v>332300</v>
      </c>
      <c r="K151" s="6">
        <v>42835900</v>
      </c>
      <c r="L151" s="7"/>
    </row>
    <row r="152" spans="1:12" x14ac:dyDescent="0.25">
      <c r="A152" t="s">
        <v>156</v>
      </c>
      <c r="B152" s="5">
        <v>591029</v>
      </c>
      <c r="C152" t="s">
        <v>157</v>
      </c>
      <c r="D152" s="1" t="str">
        <f>"45106"</f>
        <v>45106</v>
      </c>
      <c r="E152" t="s">
        <v>15</v>
      </c>
      <c r="F152" t="s">
        <v>158</v>
      </c>
      <c r="G152" s="1" t="str">
        <f>"004"</f>
        <v>004</v>
      </c>
      <c r="H152" s="1">
        <v>1995</v>
      </c>
      <c r="I152" s="6">
        <v>44455800</v>
      </c>
      <c r="J152" s="6">
        <v>424900</v>
      </c>
      <c r="K152" s="6">
        <v>44030900</v>
      </c>
      <c r="L152" s="7"/>
    </row>
    <row r="153" spans="1:12" x14ac:dyDescent="0.25">
      <c r="A153" t="s">
        <v>156</v>
      </c>
      <c r="B153" s="5">
        <v>591029</v>
      </c>
      <c r="C153" t="s">
        <v>159</v>
      </c>
      <c r="D153" s="1" t="str">
        <f>"59112"</f>
        <v>59112</v>
      </c>
      <c r="E153" t="s">
        <v>15</v>
      </c>
      <c r="F153" t="s">
        <v>160</v>
      </c>
      <c r="G153" s="1" t="str">
        <f>"001"</f>
        <v>001</v>
      </c>
      <c r="H153" s="1">
        <v>2009</v>
      </c>
      <c r="I153" s="6">
        <v>821400</v>
      </c>
      <c r="J153" s="6">
        <v>244800</v>
      </c>
      <c r="K153" s="6">
        <v>576600</v>
      </c>
      <c r="L153" s="7"/>
    </row>
    <row r="154" spans="1:12" x14ac:dyDescent="0.25">
      <c r="A154" t="s">
        <v>156</v>
      </c>
      <c r="B154" s="5">
        <v>591029</v>
      </c>
      <c r="C154" t="s">
        <v>159</v>
      </c>
      <c r="D154" s="1" t="str">
        <f>"59112"</f>
        <v>59112</v>
      </c>
      <c r="E154" t="s">
        <v>15</v>
      </c>
      <c r="F154" t="s">
        <v>160</v>
      </c>
      <c r="G154" s="1" t="str">
        <f>"002"</f>
        <v>002</v>
      </c>
      <c r="H154" s="1">
        <v>2017</v>
      </c>
      <c r="I154" s="6">
        <v>2645300</v>
      </c>
      <c r="J154" s="6">
        <v>2605100</v>
      </c>
      <c r="K154" s="6">
        <v>40200</v>
      </c>
      <c r="L154" s="7"/>
    </row>
    <row r="155" spans="1:12" x14ac:dyDescent="0.25">
      <c r="A155" t="s">
        <v>161</v>
      </c>
      <c r="B155" s="5">
        <v>451015</v>
      </c>
      <c r="C155" t="s">
        <v>157</v>
      </c>
      <c r="D155" s="1" t="str">
        <f>"45211"</f>
        <v>45211</v>
      </c>
      <c r="E155" t="s">
        <v>10</v>
      </c>
      <c r="F155" t="s">
        <v>162</v>
      </c>
      <c r="G155" s="1" t="str">
        <f>"003"</f>
        <v>003</v>
      </c>
      <c r="H155" s="1">
        <v>2015</v>
      </c>
      <c r="I155" s="6">
        <v>310100</v>
      </c>
      <c r="J155" s="6">
        <v>282500</v>
      </c>
      <c r="K155" s="6">
        <v>27600</v>
      </c>
      <c r="L155" s="7"/>
    </row>
    <row r="156" spans="1:12" x14ac:dyDescent="0.25">
      <c r="A156" t="s">
        <v>161</v>
      </c>
      <c r="B156" s="5">
        <v>451015</v>
      </c>
      <c r="C156" t="s">
        <v>157</v>
      </c>
      <c r="D156" s="1" t="str">
        <f>"45211"</f>
        <v>45211</v>
      </c>
      <c r="E156" t="s">
        <v>10</v>
      </c>
      <c r="F156" t="s">
        <v>162</v>
      </c>
      <c r="G156" s="1" t="str">
        <f>"004"</f>
        <v>004</v>
      </c>
      <c r="H156" s="1">
        <v>2018</v>
      </c>
      <c r="I156" s="6">
        <v>700</v>
      </c>
      <c r="J156" s="6">
        <v>600</v>
      </c>
      <c r="K156" s="6">
        <v>100</v>
      </c>
      <c r="L156" s="7"/>
    </row>
    <row r="157" spans="1:12" x14ac:dyDescent="0.25">
      <c r="A157" t="s">
        <v>161</v>
      </c>
      <c r="B157" s="5">
        <v>451015</v>
      </c>
      <c r="C157" t="s">
        <v>157</v>
      </c>
      <c r="D157" s="1" t="str">
        <f>"45211"</f>
        <v>45211</v>
      </c>
      <c r="E157" t="s">
        <v>10</v>
      </c>
      <c r="F157" t="s">
        <v>162</v>
      </c>
      <c r="G157" s="1" t="str">
        <f>"005"</f>
        <v>005</v>
      </c>
      <c r="H157" s="1">
        <v>2018</v>
      </c>
      <c r="I157" s="6">
        <v>5688500</v>
      </c>
      <c r="J157" s="6">
        <v>934200</v>
      </c>
      <c r="K157" s="6">
        <v>4754300</v>
      </c>
      <c r="L157" s="7"/>
    </row>
    <row r="158" spans="1:12" x14ac:dyDescent="0.25">
      <c r="A158" t="s">
        <v>163</v>
      </c>
      <c r="B158" s="5">
        <v>501071</v>
      </c>
      <c r="C158" t="s">
        <v>164</v>
      </c>
      <c r="D158" s="1" t="str">
        <f>"50271"</f>
        <v>50271</v>
      </c>
      <c r="E158" t="s">
        <v>10</v>
      </c>
      <c r="F158" t="s">
        <v>165</v>
      </c>
      <c r="G158" s="1" t="str">
        <f>"003"</f>
        <v>003</v>
      </c>
      <c r="H158" s="1">
        <v>1994</v>
      </c>
      <c r="I158" s="6">
        <v>7292500</v>
      </c>
      <c r="J158" s="6">
        <v>1351800</v>
      </c>
      <c r="K158" s="6">
        <v>5940700</v>
      </c>
      <c r="L158" s="7"/>
    </row>
    <row r="159" spans="1:12" x14ac:dyDescent="0.25">
      <c r="A159" t="s">
        <v>166</v>
      </c>
      <c r="B159" s="5">
        <v>31080</v>
      </c>
      <c r="C159" t="s">
        <v>80</v>
      </c>
      <c r="D159" s="1" t="str">
        <f>"03211"</f>
        <v>03211</v>
      </c>
      <c r="E159" t="s">
        <v>10</v>
      </c>
      <c r="F159" t="s">
        <v>167</v>
      </c>
      <c r="G159" s="1" t="str">
        <f>"003"</f>
        <v>003</v>
      </c>
      <c r="H159" s="1">
        <v>2007</v>
      </c>
      <c r="I159" s="6">
        <v>0</v>
      </c>
      <c r="J159" s="6">
        <v>222800</v>
      </c>
      <c r="K159" s="6">
        <v>-222800</v>
      </c>
      <c r="L159" s="7"/>
    </row>
    <row r="160" spans="1:12" x14ac:dyDescent="0.25">
      <c r="A160" t="s">
        <v>166</v>
      </c>
      <c r="B160" s="5">
        <v>31080</v>
      </c>
      <c r="C160" t="s">
        <v>137</v>
      </c>
      <c r="D160" s="1" t="str">
        <f>"54191"</f>
        <v>54191</v>
      </c>
      <c r="E160" t="s">
        <v>15</v>
      </c>
      <c r="F160" t="s">
        <v>168</v>
      </c>
      <c r="G160" s="1" t="str">
        <f>"001"</f>
        <v>001</v>
      </c>
      <c r="H160" s="1">
        <v>2013</v>
      </c>
      <c r="I160" s="6">
        <v>19898300</v>
      </c>
      <c r="J160" s="6">
        <v>728700</v>
      </c>
      <c r="K160" s="6">
        <v>19169600</v>
      </c>
      <c r="L160" s="7"/>
    </row>
    <row r="161" spans="1:12" x14ac:dyDescent="0.25">
      <c r="A161" t="s">
        <v>169</v>
      </c>
      <c r="B161" s="5">
        <v>81085</v>
      </c>
      <c r="C161" t="s">
        <v>38</v>
      </c>
      <c r="D161" s="1" t="str">
        <f>"08211"</f>
        <v>08211</v>
      </c>
      <c r="E161" t="s">
        <v>10</v>
      </c>
      <c r="F161" t="s">
        <v>170</v>
      </c>
      <c r="G161" s="1" t="str">
        <f>"004"</f>
        <v>004</v>
      </c>
      <c r="H161" s="1">
        <v>2005</v>
      </c>
      <c r="I161" s="6">
        <v>4912300</v>
      </c>
      <c r="J161" s="6">
        <v>2156300</v>
      </c>
      <c r="K161" s="6">
        <v>2756000</v>
      </c>
      <c r="L161" s="7"/>
    </row>
    <row r="162" spans="1:12" x14ac:dyDescent="0.25">
      <c r="A162" t="s">
        <v>169</v>
      </c>
      <c r="B162" s="5">
        <v>81085</v>
      </c>
      <c r="C162" t="s">
        <v>38</v>
      </c>
      <c r="D162" s="1" t="str">
        <f>"08211"</f>
        <v>08211</v>
      </c>
      <c r="E162" t="s">
        <v>10</v>
      </c>
      <c r="F162" t="s">
        <v>170</v>
      </c>
      <c r="G162" s="1" t="str">
        <f>"006"</f>
        <v>006</v>
      </c>
      <c r="H162" s="1">
        <v>2017</v>
      </c>
      <c r="I162" s="6">
        <v>4047900</v>
      </c>
      <c r="J162" s="6">
        <v>815900</v>
      </c>
      <c r="K162" s="6">
        <v>3232000</v>
      </c>
      <c r="L162" s="7"/>
    </row>
    <row r="163" spans="1:12" x14ac:dyDescent="0.25">
      <c r="A163" t="s">
        <v>169</v>
      </c>
      <c r="B163" s="5">
        <v>81085</v>
      </c>
      <c r="C163" t="s">
        <v>38</v>
      </c>
      <c r="D163" s="1" t="str">
        <f>"08211"</f>
        <v>08211</v>
      </c>
      <c r="E163" t="s">
        <v>10</v>
      </c>
      <c r="F163" t="s">
        <v>170</v>
      </c>
      <c r="G163" s="1" t="str">
        <f>"007"</f>
        <v>007</v>
      </c>
      <c r="H163" s="1">
        <v>2017</v>
      </c>
      <c r="I163" s="6">
        <v>66600</v>
      </c>
      <c r="J163" s="6">
        <v>45800</v>
      </c>
      <c r="K163" s="6">
        <v>20800</v>
      </c>
      <c r="L163" s="7"/>
    </row>
    <row r="164" spans="1:12" x14ac:dyDescent="0.25">
      <c r="A164" t="s">
        <v>171</v>
      </c>
      <c r="B164" s="5">
        <v>91092</v>
      </c>
      <c r="C164" t="s">
        <v>114</v>
      </c>
      <c r="D164" s="1" t="str">
        <f t="shared" ref="D164:D173" si="2">"09211"</f>
        <v>09211</v>
      </c>
      <c r="E164" t="s">
        <v>10</v>
      </c>
      <c r="F164" t="s">
        <v>172</v>
      </c>
      <c r="G164" s="1" t="str">
        <f>"004"</f>
        <v>004</v>
      </c>
      <c r="H164" s="1">
        <v>1994</v>
      </c>
      <c r="I164" s="6">
        <v>11685800</v>
      </c>
      <c r="J164" s="6">
        <v>6020500</v>
      </c>
      <c r="K164" s="6">
        <v>5665300</v>
      </c>
      <c r="L164" s="7"/>
    </row>
    <row r="165" spans="1:12" x14ac:dyDescent="0.25">
      <c r="A165" t="s">
        <v>171</v>
      </c>
      <c r="B165" s="5">
        <v>91092</v>
      </c>
      <c r="C165" t="s">
        <v>114</v>
      </c>
      <c r="D165" s="1" t="str">
        <f t="shared" si="2"/>
        <v>09211</v>
      </c>
      <c r="E165" t="s">
        <v>10</v>
      </c>
      <c r="F165" t="s">
        <v>172</v>
      </c>
      <c r="G165" s="1" t="str">
        <f>"005"</f>
        <v>005</v>
      </c>
      <c r="H165" s="1">
        <v>1998</v>
      </c>
      <c r="I165" s="6">
        <v>60652400</v>
      </c>
      <c r="J165" s="6">
        <v>35893400</v>
      </c>
      <c r="K165" s="6">
        <v>24759000</v>
      </c>
      <c r="L165" s="7"/>
    </row>
    <row r="166" spans="1:12" x14ac:dyDescent="0.25">
      <c r="A166" t="s">
        <v>171</v>
      </c>
      <c r="B166" s="5">
        <v>91092</v>
      </c>
      <c r="C166" t="s">
        <v>114</v>
      </c>
      <c r="D166" s="1" t="str">
        <f t="shared" si="2"/>
        <v>09211</v>
      </c>
      <c r="E166" t="s">
        <v>10</v>
      </c>
      <c r="F166" t="s">
        <v>172</v>
      </c>
      <c r="G166" s="1" t="str">
        <f>"007"</f>
        <v>007</v>
      </c>
      <c r="H166" s="1">
        <v>2001</v>
      </c>
      <c r="I166" s="6">
        <v>6483600</v>
      </c>
      <c r="J166" s="6">
        <v>1501600</v>
      </c>
      <c r="K166" s="6">
        <v>4982000</v>
      </c>
      <c r="L166" s="7"/>
    </row>
    <row r="167" spans="1:12" x14ac:dyDescent="0.25">
      <c r="A167" t="s">
        <v>171</v>
      </c>
      <c r="B167" s="5">
        <v>91092</v>
      </c>
      <c r="C167" t="s">
        <v>114</v>
      </c>
      <c r="D167" s="1" t="str">
        <f t="shared" si="2"/>
        <v>09211</v>
      </c>
      <c r="E167" t="s">
        <v>10</v>
      </c>
      <c r="F167" t="s">
        <v>172</v>
      </c>
      <c r="G167" s="1" t="str">
        <f>"008"</f>
        <v>008</v>
      </c>
      <c r="H167" s="1">
        <v>2002</v>
      </c>
      <c r="I167" s="6">
        <v>4192600</v>
      </c>
      <c r="J167" s="6">
        <v>439000</v>
      </c>
      <c r="K167" s="6">
        <v>3753600</v>
      </c>
      <c r="L167" s="7"/>
    </row>
    <row r="168" spans="1:12" x14ac:dyDescent="0.25">
      <c r="A168" t="s">
        <v>171</v>
      </c>
      <c r="B168" s="5">
        <v>91092</v>
      </c>
      <c r="C168" t="s">
        <v>114</v>
      </c>
      <c r="D168" s="1" t="str">
        <f t="shared" si="2"/>
        <v>09211</v>
      </c>
      <c r="E168" t="s">
        <v>10</v>
      </c>
      <c r="F168" t="s">
        <v>172</v>
      </c>
      <c r="G168" s="1" t="str">
        <f>"010"</f>
        <v>010</v>
      </c>
      <c r="H168" s="1">
        <v>2005</v>
      </c>
      <c r="I168" s="6">
        <v>2645600</v>
      </c>
      <c r="J168" s="6">
        <v>0</v>
      </c>
      <c r="K168" s="6">
        <v>2645600</v>
      </c>
      <c r="L168" s="7"/>
    </row>
    <row r="169" spans="1:12" x14ac:dyDescent="0.25">
      <c r="A169" t="s">
        <v>171</v>
      </c>
      <c r="B169" s="5">
        <v>91092</v>
      </c>
      <c r="C169" t="s">
        <v>114</v>
      </c>
      <c r="D169" s="1" t="str">
        <f t="shared" si="2"/>
        <v>09211</v>
      </c>
      <c r="E169" t="s">
        <v>10</v>
      </c>
      <c r="F169" t="s">
        <v>172</v>
      </c>
      <c r="G169" s="1" t="str">
        <f>"011"</f>
        <v>011</v>
      </c>
      <c r="H169" s="1">
        <v>2008</v>
      </c>
      <c r="I169" s="6">
        <v>48939600</v>
      </c>
      <c r="J169" s="6">
        <v>79500</v>
      </c>
      <c r="K169" s="6">
        <v>48860100</v>
      </c>
      <c r="L169" s="7"/>
    </row>
    <row r="170" spans="1:12" x14ac:dyDescent="0.25">
      <c r="A170" t="s">
        <v>171</v>
      </c>
      <c r="B170" s="5">
        <v>91092</v>
      </c>
      <c r="C170" t="s">
        <v>114</v>
      </c>
      <c r="D170" s="1" t="str">
        <f t="shared" si="2"/>
        <v>09211</v>
      </c>
      <c r="E170" t="s">
        <v>10</v>
      </c>
      <c r="F170" t="s">
        <v>172</v>
      </c>
      <c r="G170" s="1" t="str">
        <f>"012"</f>
        <v>012</v>
      </c>
      <c r="H170" s="1">
        <v>2012</v>
      </c>
      <c r="I170" s="6">
        <v>17486000</v>
      </c>
      <c r="J170" s="6">
        <v>5386700</v>
      </c>
      <c r="K170" s="6">
        <v>12099300</v>
      </c>
      <c r="L170" s="7"/>
    </row>
    <row r="171" spans="1:12" x14ac:dyDescent="0.25">
      <c r="A171" t="s">
        <v>171</v>
      </c>
      <c r="B171" s="5">
        <v>91092</v>
      </c>
      <c r="C171" t="s">
        <v>114</v>
      </c>
      <c r="D171" s="1" t="str">
        <f t="shared" si="2"/>
        <v>09211</v>
      </c>
      <c r="E171" t="s">
        <v>10</v>
      </c>
      <c r="F171" t="s">
        <v>172</v>
      </c>
      <c r="G171" s="1" t="str">
        <f>"013"</f>
        <v>013</v>
      </c>
      <c r="H171" s="1">
        <v>2015</v>
      </c>
      <c r="I171" s="6">
        <v>9282000</v>
      </c>
      <c r="J171" s="6">
        <v>3503000</v>
      </c>
      <c r="K171" s="6">
        <v>5779000</v>
      </c>
      <c r="L171" s="7"/>
    </row>
    <row r="172" spans="1:12" x14ac:dyDescent="0.25">
      <c r="A172" t="s">
        <v>171</v>
      </c>
      <c r="B172" s="5">
        <v>91092</v>
      </c>
      <c r="C172" t="s">
        <v>114</v>
      </c>
      <c r="D172" s="1" t="str">
        <f t="shared" si="2"/>
        <v>09211</v>
      </c>
      <c r="E172" t="s">
        <v>10</v>
      </c>
      <c r="F172" t="s">
        <v>172</v>
      </c>
      <c r="G172" s="1" t="str">
        <f>"014"</f>
        <v>014</v>
      </c>
      <c r="H172" s="1">
        <v>2015</v>
      </c>
      <c r="I172" s="6">
        <v>86448200</v>
      </c>
      <c r="J172" s="6">
        <v>0</v>
      </c>
      <c r="K172" s="6">
        <v>86448200</v>
      </c>
      <c r="L172" s="7"/>
    </row>
    <row r="173" spans="1:12" x14ac:dyDescent="0.25">
      <c r="A173" t="s">
        <v>171</v>
      </c>
      <c r="B173" s="5">
        <v>91092</v>
      </c>
      <c r="C173" t="s">
        <v>114</v>
      </c>
      <c r="D173" s="1" t="str">
        <f t="shared" si="2"/>
        <v>09211</v>
      </c>
      <c r="E173" t="s">
        <v>10</v>
      </c>
      <c r="F173" t="s">
        <v>172</v>
      </c>
      <c r="G173" s="1" t="str">
        <f>"015"</f>
        <v>015</v>
      </c>
      <c r="H173" s="1">
        <v>2018</v>
      </c>
      <c r="I173" s="6">
        <v>2041200</v>
      </c>
      <c r="J173" s="6">
        <v>1885100</v>
      </c>
      <c r="K173" s="6">
        <v>156100</v>
      </c>
      <c r="L173" s="7"/>
    </row>
    <row r="174" spans="1:12" x14ac:dyDescent="0.25">
      <c r="A174" t="s">
        <v>171</v>
      </c>
      <c r="B174" s="5">
        <v>91092</v>
      </c>
      <c r="C174" t="s">
        <v>114</v>
      </c>
      <c r="D174" s="1" t="str">
        <f>"09128"</f>
        <v>09128</v>
      </c>
      <c r="E174" t="s">
        <v>15</v>
      </c>
      <c r="F174" t="s">
        <v>173</v>
      </c>
      <c r="G174" s="1" t="str">
        <f>"001"</f>
        <v>001</v>
      </c>
      <c r="H174" s="1">
        <v>2003</v>
      </c>
      <c r="I174" s="6">
        <v>100110100</v>
      </c>
      <c r="J174" s="6">
        <v>12138900</v>
      </c>
      <c r="K174" s="6">
        <v>87971200</v>
      </c>
      <c r="L174" s="7"/>
    </row>
    <row r="175" spans="1:12" x14ac:dyDescent="0.25">
      <c r="A175" t="s">
        <v>171</v>
      </c>
      <c r="B175" s="5">
        <v>91092</v>
      </c>
      <c r="C175" t="s">
        <v>114</v>
      </c>
      <c r="D175" s="1" t="str">
        <f>"09128"</f>
        <v>09128</v>
      </c>
      <c r="E175" t="s">
        <v>15</v>
      </c>
      <c r="F175" t="s">
        <v>173</v>
      </c>
      <c r="G175" s="1" t="str">
        <f>"002"</f>
        <v>002</v>
      </c>
      <c r="H175" s="1">
        <v>2003</v>
      </c>
      <c r="I175" s="6">
        <v>19996900</v>
      </c>
      <c r="J175" s="6">
        <v>131900</v>
      </c>
      <c r="K175" s="6">
        <v>19865000</v>
      </c>
      <c r="L175" s="7"/>
    </row>
    <row r="176" spans="1:12" x14ac:dyDescent="0.25">
      <c r="A176" t="s">
        <v>174</v>
      </c>
      <c r="B176" s="5">
        <v>481120</v>
      </c>
      <c r="C176" t="s">
        <v>32</v>
      </c>
      <c r="D176" s="1" t="str">
        <f>"48112"</f>
        <v>48112</v>
      </c>
      <c r="E176" t="s">
        <v>15</v>
      </c>
      <c r="F176" t="s">
        <v>175</v>
      </c>
      <c r="G176" s="1" t="str">
        <f>"002"</f>
        <v>002</v>
      </c>
      <c r="H176" s="1">
        <v>1999</v>
      </c>
      <c r="I176" s="6">
        <v>1139400</v>
      </c>
      <c r="J176" s="6">
        <v>68000</v>
      </c>
      <c r="K176" s="6">
        <v>1071400</v>
      </c>
      <c r="L176" s="7"/>
    </row>
    <row r="177" spans="1:12" x14ac:dyDescent="0.25">
      <c r="A177" t="s">
        <v>176</v>
      </c>
      <c r="B177" s="5">
        <v>481127</v>
      </c>
      <c r="C177" t="s">
        <v>32</v>
      </c>
      <c r="D177" s="1" t="str">
        <f>"48113"</f>
        <v>48113</v>
      </c>
      <c r="E177" t="s">
        <v>15</v>
      </c>
      <c r="F177" t="s">
        <v>177</v>
      </c>
      <c r="G177" s="1" t="str">
        <f>"002"</f>
        <v>002</v>
      </c>
      <c r="H177" s="1">
        <v>2000</v>
      </c>
      <c r="I177" s="6">
        <v>3275700</v>
      </c>
      <c r="J177" s="6">
        <v>431100</v>
      </c>
      <c r="K177" s="6">
        <v>2844600</v>
      </c>
      <c r="L177" s="7"/>
    </row>
    <row r="178" spans="1:12" x14ac:dyDescent="0.25">
      <c r="A178" t="s">
        <v>176</v>
      </c>
      <c r="B178" s="5">
        <v>481127</v>
      </c>
      <c r="C178" t="s">
        <v>32</v>
      </c>
      <c r="D178" s="1" t="str">
        <f>"48113"</f>
        <v>48113</v>
      </c>
      <c r="E178" t="s">
        <v>15</v>
      </c>
      <c r="F178" t="s">
        <v>177</v>
      </c>
      <c r="G178" s="1" t="str">
        <f>"003"</f>
        <v>003</v>
      </c>
      <c r="H178" s="1">
        <v>2003</v>
      </c>
      <c r="I178" s="6">
        <v>5867700</v>
      </c>
      <c r="J178" s="6">
        <v>2113600</v>
      </c>
      <c r="K178" s="6">
        <v>3754100</v>
      </c>
      <c r="L178" s="7"/>
    </row>
    <row r="179" spans="1:12" x14ac:dyDescent="0.25">
      <c r="A179" t="s">
        <v>178</v>
      </c>
      <c r="B179" s="5">
        <v>531134</v>
      </c>
      <c r="C179" t="s">
        <v>95</v>
      </c>
      <c r="D179" s="1" t="str">
        <f>"53206"</f>
        <v>53206</v>
      </c>
      <c r="E179" t="s">
        <v>10</v>
      </c>
      <c r="F179" t="s">
        <v>96</v>
      </c>
      <c r="G179" s="1" t="str">
        <f>"010"</f>
        <v>010</v>
      </c>
      <c r="H179" s="1">
        <v>2001</v>
      </c>
      <c r="I179" s="6">
        <v>71181900</v>
      </c>
      <c r="J179" s="6">
        <v>449500</v>
      </c>
      <c r="K179" s="6">
        <v>70732400</v>
      </c>
      <c r="L179" s="7"/>
    </row>
    <row r="180" spans="1:12" x14ac:dyDescent="0.25">
      <c r="A180" t="s">
        <v>178</v>
      </c>
      <c r="B180" s="5">
        <v>531134</v>
      </c>
      <c r="C180" t="s">
        <v>95</v>
      </c>
      <c r="D180" s="1" t="str">
        <f>"53111"</f>
        <v>53111</v>
      </c>
      <c r="E180" t="s">
        <v>15</v>
      </c>
      <c r="F180" t="s">
        <v>179</v>
      </c>
      <c r="G180" s="1" t="str">
        <f>"004"</f>
        <v>004</v>
      </c>
      <c r="H180" s="1">
        <v>1998</v>
      </c>
      <c r="I180" s="6">
        <v>39532200</v>
      </c>
      <c r="J180" s="6">
        <v>17807300</v>
      </c>
      <c r="K180" s="6">
        <v>21724900</v>
      </c>
      <c r="L180" s="7"/>
    </row>
    <row r="181" spans="1:12" x14ac:dyDescent="0.25">
      <c r="A181" t="s">
        <v>180</v>
      </c>
      <c r="B181" s="5">
        <v>681141</v>
      </c>
      <c r="C181" t="s">
        <v>181</v>
      </c>
      <c r="D181" s="1" t="str">
        <f>"68211"</f>
        <v>68211</v>
      </c>
      <c r="E181" t="s">
        <v>10</v>
      </c>
      <c r="F181" t="s">
        <v>182</v>
      </c>
      <c r="G181" s="1" t="str">
        <f>"008"</f>
        <v>008</v>
      </c>
      <c r="H181" s="1">
        <v>2018</v>
      </c>
      <c r="I181" s="6">
        <v>2064700</v>
      </c>
      <c r="J181" s="6">
        <v>781200</v>
      </c>
      <c r="K181" s="6">
        <v>1283500</v>
      </c>
      <c r="L181" s="7"/>
    </row>
    <row r="182" spans="1:12" x14ac:dyDescent="0.25">
      <c r="A182" t="s">
        <v>180</v>
      </c>
      <c r="B182" s="5">
        <v>681141</v>
      </c>
      <c r="C182" t="s">
        <v>181</v>
      </c>
      <c r="D182" s="1" t="str">
        <f>"68211"</f>
        <v>68211</v>
      </c>
      <c r="E182" t="s">
        <v>10</v>
      </c>
      <c r="F182" t="s">
        <v>182</v>
      </c>
      <c r="G182" s="1" t="str">
        <f>"009"</f>
        <v>009</v>
      </c>
      <c r="H182" s="1">
        <v>2018</v>
      </c>
      <c r="I182" s="6">
        <v>5791800</v>
      </c>
      <c r="J182" s="6">
        <v>4630300</v>
      </c>
      <c r="K182" s="6">
        <v>1161500</v>
      </c>
      <c r="L182" s="7"/>
    </row>
    <row r="183" spans="1:12" x14ac:dyDescent="0.25">
      <c r="A183" t="s">
        <v>180</v>
      </c>
      <c r="B183" s="5">
        <v>681141</v>
      </c>
      <c r="C183" t="s">
        <v>181</v>
      </c>
      <c r="D183" s="1" t="str">
        <f>"68028"</f>
        <v>68028</v>
      </c>
      <c r="E183" t="s">
        <v>17</v>
      </c>
      <c r="F183" t="s">
        <v>183</v>
      </c>
      <c r="G183" s="1" t="str">
        <f>"001C"</f>
        <v>001C</v>
      </c>
      <c r="H183" s="1">
        <v>2004</v>
      </c>
      <c r="I183" s="6">
        <v>9800</v>
      </c>
      <c r="J183" s="6">
        <v>0</v>
      </c>
      <c r="K183" s="6">
        <v>9800</v>
      </c>
      <c r="L183" s="7"/>
    </row>
    <row r="184" spans="1:12" x14ac:dyDescent="0.25">
      <c r="A184" t="s">
        <v>184</v>
      </c>
      <c r="B184" s="5">
        <v>101162</v>
      </c>
      <c r="C184" t="s">
        <v>9</v>
      </c>
      <c r="D184" s="1" t="str">
        <f>"10201"</f>
        <v>10201</v>
      </c>
      <c r="E184" t="s">
        <v>10</v>
      </c>
      <c r="F184" t="s">
        <v>11</v>
      </c>
      <c r="G184" s="1" t="str">
        <f>"006"</f>
        <v>006</v>
      </c>
      <c r="H184" s="1">
        <v>2016</v>
      </c>
      <c r="I184" s="6">
        <v>0</v>
      </c>
      <c r="J184" s="6">
        <v>0</v>
      </c>
      <c r="K184" s="6">
        <v>0</v>
      </c>
      <c r="L184" s="7"/>
    </row>
    <row r="185" spans="1:12" x14ac:dyDescent="0.25">
      <c r="A185" t="s">
        <v>184</v>
      </c>
      <c r="B185" s="5">
        <v>101162</v>
      </c>
      <c r="C185" t="s">
        <v>9</v>
      </c>
      <c r="D185" s="1" t="str">
        <f>"10211"</f>
        <v>10211</v>
      </c>
      <c r="E185" t="s">
        <v>10</v>
      </c>
      <c r="F185" t="s">
        <v>185</v>
      </c>
      <c r="G185" s="1" t="str">
        <f>"002"</f>
        <v>002</v>
      </c>
      <c r="H185" s="1">
        <v>1993</v>
      </c>
      <c r="I185" s="6">
        <v>6014900</v>
      </c>
      <c r="J185" s="6">
        <v>257500</v>
      </c>
      <c r="K185" s="6">
        <v>5757400</v>
      </c>
      <c r="L185" s="7"/>
    </row>
    <row r="186" spans="1:12" x14ac:dyDescent="0.25">
      <c r="A186" t="s">
        <v>184</v>
      </c>
      <c r="B186" s="5">
        <v>101162</v>
      </c>
      <c r="C186" t="s">
        <v>9</v>
      </c>
      <c r="D186" s="1" t="str">
        <f>"10116"</f>
        <v>10116</v>
      </c>
      <c r="E186" t="s">
        <v>15</v>
      </c>
      <c r="F186" t="s">
        <v>186</v>
      </c>
      <c r="G186" s="1" t="str">
        <f>"001"</f>
        <v>001</v>
      </c>
      <c r="H186" s="1">
        <v>1992</v>
      </c>
      <c r="I186" s="6">
        <v>6701700</v>
      </c>
      <c r="J186" s="6">
        <v>233000</v>
      </c>
      <c r="K186" s="6">
        <v>6468700</v>
      </c>
      <c r="L186" s="7"/>
    </row>
    <row r="187" spans="1:12" x14ac:dyDescent="0.25">
      <c r="A187" t="s">
        <v>184</v>
      </c>
      <c r="B187" s="5">
        <v>101162</v>
      </c>
      <c r="C187" t="s">
        <v>9</v>
      </c>
      <c r="D187" s="1" t="str">
        <f>"10116"</f>
        <v>10116</v>
      </c>
      <c r="E187" t="s">
        <v>15</v>
      </c>
      <c r="F187" t="s">
        <v>186</v>
      </c>
      <c r="G187" s="1" t="str">
        <f>"002"</f>
        <v>002</v>
      </c>
      <c r="H187" s="1">
        <v>1995</v>
      </c>
      <c r="I187" s="6">
        <v>24027200</v>
      </c>
      <c r="J187" s="6">
        <v>15499400</v>
      </c>
      <c r="K187" s="6">
        <v>8527800</v>
      </c>
      <c r="L187" s="7"/>
    </row>
    <row r="188" spans="1:12" x14ac:dyDescent="0.25">
      <c r="A188" t="s">
        <v>184</v>
      </c>
      <c r="B188" s="5">
        <v>101162</v>
      </c>
      <c r="C188" t="s">
        <v>9</v>
      </c>
      <c r="D188" s="1" t="str">
        <f>"10186"</f>
        <v>10186</v>
      </c>
      <c r="E188" t="s">
        <v>15</v>
      </c>
      <c r="F188" t="s">
        <v>187</v>
      </c>
      <c r="G188" s="1" t="str">
        <f>"001"</f>
        <v>001</v>
      </c>
      <c r="H188" s="1">
        <v>1998</v>
      </c>
      <c r="I188" s="6">
        <v>1088600</v>
      </c>
      <c r="J188" s="6">
        <v>119500</v>
      </c>
      <c r="K188" s="6">
        <v>969100</v>
      </c>
      <c r="L188" s="7"/>
    </row>
    <row r="189" spans="1:12" x14ac:dyDescent="0.25">
      <c r="A189" t="s">
        <v>184</v>
      </c>
      <c r="B189" s="5">
        <v>101162</v>
      </c>
      <c r="C189" t="s">
        <v>12</v>
      </c>
      <c r="D189" s="1" t="str">
        <f>"37201"</f>
        <v>37201</v>
      </c>
      <c r="E189" t="s">
        <v>10</v>
      </c>
      <c r="F189" t="s">
        <v>11</v>
      </c>
      <c r="G189" s="1" t="str">
        <f>"006"</f>
        <v>006</v>
      </c>
      <c r="H189" s="1">
        <v>2016</v>
      </c>
      <c r="I189" s="6">
        <v>3160700</v>
      </c>
      <c r="J189" s="6">
        <v>968000</v>
      </c>
      <c r="K189" s="6">
        <v>2192700</v>
      </c>
      <c r="L189" s="7"/>
    </row>
    <row r="190" spans="1:12" x14ac:dyDescent="0.25">
      <c r="A190" t="s">
        <v>184</v>
      </c>
      <c r="B190" s="5">
        <v>101162</v>
      </c>
      <c r="C190" t="s">
        <v>12</v>
      </c>
      <c r="D190" s="1" t="str">
        <f>"37211"</f>
        <v>37211</v>
      </c>
      <c r="E190" t="s">
        <v>10</v>
      </c>
      <c r="F190" t="s">
        <v>185</v>
      </c>
      <c r="G190" s="1" t="str">
        <f>"002"</f>
        <v>002</v>
      </c>
      <c r="H190" s="1">
        <v>1993</v>
      </c>
      <c r="I190" s="6">
        <v>20564400</v>
      </c>
      <c r="J190" s="6">
        <v>4514700</v>
      </c>
      <c r="K190" s="6">
        <v>16049700</v>
      </c>
      <c r="L190" s="7"/>
    </row>
    <row r="191" spans="1:12" x14ac:dyDescent="0.25">
      <c r="A191" t="s">
        <v>184</v>
      </c>
      <c r="B191" s="5">
        <v>101162</v>
      </c>
      <c r="C191" t="s">
        <v>12</v>
      </c>
      <c r="D191" s="1" t="str">
        <f>"37186"</f>
        <v>37186</v>
      </c>
      <c r="E191" t="s">
        <v>15</v>
      </c>
      <c r="F191" t="s">
        <v>187</v>
      </c>
      <c r="G191" s="1" t="str">
        <f>"001"</f>
        <v>001</v>
      </c>
      <c r="H191" s="1">
        <v>1998</v>
      </c>
      <c r="I191" s="6">
        <v>414300</v>
      </c>
      <c r="J191" s="6">
        <v>196000</v>
      </c>
      <c r="K191" s="6">
        <v>218300</v>
      </c>
      <c r="L191" s="7"/>
    </row>
    <row r="192" spans="1:12" x14ac:dyDescent="0.25">
      <c r="A192" t="s">
        <v>188</v>
      </c>
      <c r="B192" s="5">
        <v>381169</v>
      </c>
      <c r="C192" t="s">
        <v>189</v>
      </c>
      <c r="D192" s="1" t="str">
        <f>"38111"</f>
        <v>38111</v>
      </c>
      <c r="E192" t="s">
        <v>15</v>
      </c>
      <c r="F192" t="s">
        <v>190</v>
      </c>
      <c r="G192" s="1" t="str">
        <f>"001"</f>
        <v>001</v>
      </c>
      <c r="H192" s="1">
        <v>2005</v>
      </c>
      <c r="I192" s="6">
        <v>7098000</v>
      </c>
      <c r="J192" s="6">
        <v>2604100</v>
      </c>
      <c r="K192" s="6">
        <v>4493900</v>
      </c>
      <c r="L192" s="7"/>
    </row>
    <row r="193" spans="1:12" x14ac:dyDescent="0.25">
      <c r="A193" t="s">
        <v>188</v>
      </c>
      <c r="B193" s="5">
        <v>381169</v>
      </c>
      <c r="C193" t="s">
        <v>189</v>
      </c>
      <c r="D193" s="1" t="str">
        <f>"38111"</f>
        <v>38111</v>
      </c>
      <c r="E193" t="s">
        <v>15</v>
      </c>
      <c r="F193" t="s">
        <v>190</v>
      </c>
      <c r="G193" s="1" t="str">
        <f>"002"</f>
        <v>002</v>
      </c>
      <c r="H193" s="1">
        <v>2017</v>
      </c>
      <c r="I193" s="6">
        <v>2273700</v>
      </c>
      <c r="J193" s="6">
        <v>431900</v>
      </c>
      <c r="K193" s="6">
        <v>1841800</v>
      </c>
      <c r="L193" s="7"/>
    </row>
    <row r="194" spans="1:12" x14ac:dyDescent="0.25">
      <c r="A194" t="s">
        <v>188</v>
      </c>
      <c r="B194" s="5">
        <v>381169</v>
      </c>
      <c r="C194" t="s">
        <v>189</v>
      </c>
      <c r="D194" s="1" t="str">
        <f>"38111"</f>
        <v>38111</v>
      </c>
      <c r="E194" t="s">
        <v>15</v>
      </c>
      <c r="F194" t="s">
        <v>190</v>
      </c>
      <c r="G194" s="1" t="str">
        <f>"003"</f>
        <v>003</v>
      </c>
      <c r="H194" s="1">
        <v>2018</v>
      </c>
      <c r="I194" s="6">
        <v>179000</v>
      </c>
      <c r="J194" s="6">
        <v>115800</v>
      </c>
      <c r="K194" s="6">
        <v>63200</v>
      </c>
      <c r="L194" s="7"/>
    </row>
    <row r="195" spans="1:12" x14ac:dyDescent="0.25">
      <c r="A195" t="s">
        <v>188</v>
      </c>
      <c r="B195" s="5">
        <v>381169</v>
      </c>
      <c r="C195" t="s">
        <v>189</v>
      </c>
      <c r="D195" s="1" t="str">
        <f>"38171"</f>
        <v>38171</v>
      </c>
      <c r="E195" t="s">
        <v>15</v>
      </c>
      <c r="F195" t="s">
        <v>191</v>
      </c>
      <c r="G195" s="1" t="str">
        <f>"001"</f>
        <v>001</v>
      </c>
      <c r="H195" s="1">
        <v>2015</v>
      </c>
      <c r="I195" s="6">
        <v>543300</v>
      </c>
      <c r="J195" s="6">
        <v>4100</v>
      </c>
      <c r="K195" s="6">
        <v>539200</v>
      </c>
      <c r="L195" s="7"/>
    </row>
    <row r="196" spans="1:12" x14ac:dyDescent="0.25">
      <c r="A196" t="s">
        <v>192</v>
      </c>
      <c r="B196" s="5">
        <v>171176</v>
      </c>
      <c r="C196" t="s">
        <v>83</v>
      </c>
      <c r="D196" s="1" t="str">
        <f>"17111"</f>
        <v>17111</v>
      </c>
      <c r="E196" t="s">
        <v>15</v>
      </c>
      <c r="F196" t="s">
        <v>193</v>
      </c>
      <c r="G196" s="1" t="str">
        <f>"003"</f>
        <v>003</v>
      </c>
      <c r="H196" s="1">
        <v>2002</v>
      </c>
      <c r="I196" s="6">
        <v>7673500</v>
      </c>
      <c r="J196" s="6">
        <v>4436900</v>
      </c>
      <c r="K196" s="6">
        <v>3236600</v>
      </c>
      <c r="L196" s="7"/>
    </row>
    <row r="197" spans="1:12" x14ac:dyDescent="0.25">
      <c r="A197" t="s">
        <v>192</v>
      </c>
      <c r="B197" s="5">
        <v>171176</v>
      </c>
      <c r="C197" t="s">
        <v>83</v>
      </c>
      <c r="D197" s="1" t="str">
        <f>"17111"</f>
        <v>17111</v>
      </c>
      <c r="E197" t="s">
        <v>15</v>
      </c>
      <c r="F197" t="s">
        <v>193</v>
      </c>
      <c r="G197" s="1" t="str">
        <f>"004"</f>
        <v>004</v>
      </c>
      <c r="H197" s="1">
        <v>2006</v>
      </c>
      <c r="I197" s="6">
        <v>3104600</v>
      </c>
      <c r="J197" s="6">
        <v>1876600</v>
      </c>
      <c r="K197" s="6">
        <v>1228000</v>
      </c>
      <c r="L197" s="7"/>
    </row>
    <row r="198" spans="1:12" x14ac:dyDescent="0.25">
      <c r="A198" t="s">
        <v>194</v>
      </c>
      <c r="B198" s="5">
        <v>111183</v>
      </c>
      <c r="C198" t="s">
        <v>145</v>
      </c>
      <c r="D198" s="1" t="str">
        <f>"11211"</f>
        <v>11211</v>
      </c>
      <c r="E198" t="s">
        <v>10</v>
      </c>
      <c r="F198" t="s">
        <v>195</v>
      </c>
      <c r="G198" s="1" t="str">
        <f>"003"</f>
        <v>003</v>
      </c>
      <c r="H198" s="1">
        <v>1995</v>
      </c>
      <c r="I198" s="6">
        <v>27918000</v>
      </c>
      <c r="J198" s="6">
        <v>3581200</v>
      </c>
      <c r="K198" s="6">
        <v>24336800</v>
      </c>
      <c r="L198" s="7"/>
    </row>
    <row r="199" spans="1:12" x14ac:dyDescent="0.25">
      <c r="A199" t="s">
        <v>194</v>
      </c>
      <c r="B199" s="5">
        <v>111183</v>
      </c>
      <c r="C199" t="s">
        <v>145</v>
      </c>
      <c r="D199" s="1" t="str">
        <f>"11211"</f>
        <v>11211</v>
      </c>
      <c r="E199" t="s">
        <v>10</v>
      </c>
      <c r="F199" t="s">
        <v>195</v>
      </c>
      <c r="G199" s="1" t="str">
        <f>"004"</f>
        <v>004</v>
      </c>
      <c r="H199" s="1">
        <v>2015</v>
      </c>
      <c r="I199" s="6">
        <v>31333400</v>
      </c>
      <c r="J199" s="6">
        <v>3124100</v>
      </c>
      <c r="K199" s="6">
        <v>28209300</v>
      </c>
      <c r="L199" s="7"/>
    </row>
    <row r="200" spans="1:12" x14ac:dyDescent="0.25">
      <c r="A200" t="s">
        <v>194</v>
      </c>
      <c r="B200" s="5">
        <v>111183</v>
      </c>
      <c r="C200" t="s">
        <v>86</v>
      </c>
      <c r="D200" s="1" t="str">
        <f>"14014"</f>
        <v>14014</v>
      </c>
      <c r="E200" t="s">
        <v>17</v>
      </c>
      <c r="F200" t="s">
        <v>196</v>
      </c>
      <c r="G200" s="1" t="str">
        <f>"001T"</f>
        <v>001T</v>
      </c>
      <c r="H200" s="1">
        <v>2010</v>
      </c>
      <c r="I200" s="6">
        <v>2295600</v>
      </c>
      <c r="J200" s="6">
        <v>1575500</v>
      </c>
      <c r="K200" s="6">
        <v>720100</v>
      </c>
      <c r="L200" s="7"/>
    </row>
    <row r="201" spans="1:12" x14ac:dyDescent="0.25">
      <c r="A201" t="s">
        <v>197</v>
      </c>
      <c r="B201" s="5">
        <v>211218</v>
      </c>
      <c r="C201" t="s">
        <v>198</v>
      </c>
      <c r="D201" s="1" t="str">
        <f>"21211"</f>
        <v>21211</v>
      </c>
      <c r="E201" t="s">
        <v>10</v>
      </c>
      <c r="F201" t="s">
        <v>199</v>
      </c>
      <c r="G201" s="1" t="str">
        <f>"001"</f>
        <v>001</v>
      </c>
      <c r="H201" s="1">
        <v>2002</v>
      </c>
      <c r="I201" s="6">
        <v>3759200</v>
      </c>
      <c r="J201" s="6">
        <v>1551000</v>
      </c>
      <c r="K201" s="6">
        <v>2208200</v>
      </c>
      <c r="L201" s="7"/>
    </row>
    <row r="202" spans="1:12" x14ac:dyDescent="0.25">
      <c r="A202" t="s">
        <v>200</v>
      </c>
      <c r="B202" s="5">
        <v>381232</v>
      </c>
      <c r="C202" t="s">
        <v>189</v>
      </c>
      <c r="D202" s="1" t="str">
        <f>"38121"</f>
        <v>38121</v>
      </c>
      <c r="E202" t="s">
        <v>15</v>
      </c>
      <c r="F202" t="s">
        <v>201</v>
      </c>
      <c r="G202" s="1" t="str">
        <f>"001"</f>
        <v>001</v>
      </c>
      <c r="H202" s="1">
        <v>2001</v>
      </c>
      <c r="I202" s="6">
        <v>21621900</v>
      </c>
      <c r="J202" s="6">
        <v>4285600</v>
      </c>
      <c r="K202" s="6">
        <v>17336300</v>
      </c>
      <c r="L202" s="7"/>
    </row>
    <row r="203" spans="1:12" x14ac:dyDescent="0.25">
      <c r="A203" t="s">
        <v>202</v>
      </c>
      <c r="B203" s="5">
        <v>221246</v>
      </c>
      <c r="C203" t="s">
        <v>120</v>
      </c>
      <c r="D203" s="1" t="str">
        <f>"22211"</f>
        <v>22211</v>
      </c>
      <c r="E203" t="s">
        <v>10</v>
      </c>
      <c r="F203" t="s">
        <v>203</v>
      </c>
      <c r="G203" s="1" t="str">
        <f>"002"</f>
        <v>002</v>
      </c>
      <c r="H203" s="1">
        <v>1999</v>
      </c>
      <c r="I203" s="6">
        <v>9209100</v>
      </c>
      <c r="J203" s="6">
        <v>1703000</v>
      </c>
      <c r="K203" s="6">
        <v>7506100</v>
      </c>
      <c r="L203" s="7"/>
    </row>
    <row r="204" spans="1:12" x14ac:dyDescent="0.25">
      <c r="A204" t="s">
        <v>202</v>
      </c>
      <c r="B204" s="5">
        <v>221246</v>
      </c>
      <c r="C204" t="s">
        <v>120</v>
      </c>
      <c r="D204" s="1" t="str">
        <f>"22211"</f>
        <v>22211</v>
      </c>
      <c r="E204" t="s">
        <v>10</v>
      </c>
      <c r="F204" t="s">
        <v>203</v>
      </c>
      <c r="G204" s="1" t="str">
        <f>"003"</f>
        <v>003</v>
      </c>
      <c r="H204" s="1">
        <v>2012</v>
      </c>
      <c r="I204" s="6">
        <v>4577000</v>
      </c>
      <c r="J204" s="6">
        <v>2303400</v>
      </c>
      <c r="K204" s="6">
        <v>2273600</v>
      </c>
      <c r="L204" s="7"/>
    </row>
    <row r="205" spans="1:12" x14ac:dyDescent="0.25">
      <c r="A205" t="s">
        <v>202</v>
      </c>
      <c r="B205" s="5">
        <v>221246</v>
      </c>
      <c r="C205" t="s">
        <v>120</v>
      </c>
      <c r="D205" s="1" t="str">
        <f>"22116"</f>
        <v>22116</v>
      </c>
      <c r="E205" t="s">
        <v>15</v>
      </c>
      <c r="F205" t="s">
        <v>204</v>
      </c>
      <c r="G205" s="1" t="str">
        <f>"001"</f>
        <v>001</v>
      </c>
      <c r="H205" s="1">
        <v>2014</v>
      </c>
      <c r="I205" s="6">
        <v>2837000</v>
      </c>
      <c r="J205" s="6">
        <v>1550700</v>
      </c>
      <c r="K205" s="6">
        <v>1286300</v>
      </c>
      <c r="L205" s="7"/>
    </row>
    <row r="206" spans="1:12" x14ac:dyDescent="0.25">
      <c r="A206" t="s">
        <v>202</v>
      </c>
      <c r="B206" s="5">
        <v>221246</v>
      </c>
      <c r="C206" t="s">
        <v>48</v>
      </c>
      <c r="D206" s="1" t="str">
        <f>"33211"</f>
        <v>33211</v>
      </c>
      <c r="E206" t="s">
        <v>10</v>
      </c>
      <c r="F206" t="s">
        <v>203</v>
      </c>
      <c r="G206" s="1" t="str">
        <f>"002"</f>
        <v>002</v>
      </c>
      <c r="H206" s="1">
        <v>1999</v>
      </c>
      <c r="I206" s="6">
        <v>2228100</v>
      </c>
      <c r="J206" s="6">
        <v>66700</v>
      </c>
      <c r="K206" s="6">
        <v>2161400</v>
      </c>
      <c r="L206" s="7"/>
    </row>
    <row r="207" spans="1:12" x14ac:dyDescent="0.25">
      <c r="A207" t="s">
        <v>205</v>
      </c>
      <c r="B207" s="5">
        <v>401253</v>
      </c>
      <c r="C207" t="s">
        <v>134</v>
      </c>
      <c r="D207" s="1" t="str">
        <f>"40211"</f>
        <v>40211</v>
      </c>
      <c r="E207" t="s">
        <v>10</v>
      </c>
      <c r="F207" t="s">
        <v>206</v>
      </c>
      <c r="G207" s="1" t="str">
        <f>"001"</f>
        <v>001</v>
      </c>
      <c r="H207" s="1">
        <v>1994</v>
      </c>
      <c r="I207" s="6">
        <v>263377100</v>
      </c>
      <c r="J207" s="6">
        <v>72824500</v>
      </c>
      <c r="K207" s="6">
        <v>190552600</v>
      </c>
      <c r="L207" s="7"/>
    </row>
    <row r="208" spans="1:12" x14ac:dyDescent="0.25">
      <c r="A208" t="s">
        <v>205</v>
      </c>
      <c r="B208" s="5">
        <v>401253</v>
      </c>
      <c r="C208" t="s">
        <v>134</v>
      </c>
      <c r="D208" s="1" t="str">
        <f>"40211"</f>
        <v>40211</v>
      </c>
      <c r="E208" t="s">
        <v>10</v>
      </c>
      <c r="F208" t="s">
        <v>206</v>
      </c>
      <c r="G208" s="1" t="str">
        <f>"001E"</f>
        <v>001E</v>
      </c>
      <c r="H208" s="1">
        <v>2003</v>
      </c>
      <c r="I208" s="6">
        <v>11424400</v>
      </c>
      <c r="J208" s="6">
        <v>972600</v>
      </c>
      <c r="K208" s="6">
        <v>10451800</v>
      </c>
      <c r="L208" s="7"/>
    </row>
    <row r="209" spans="1:12" x14ac:dyDescent="0.25">
      <c r="A209" t="s">
        <v>205</v>
      </c>
      <c r="B209" s="5">
        <v>401253</v>
      </c>
      <c r="C209" t="s">
        <v>134</v>
      </c>
      <c r="D209" s="1" t="str">
        <f>"40211"</f>
        <v>40211</v>
      </c>
      <c r="E209" t="s">
        <v>10</v>
      </c>
      <c r="F209" t="s">
        <v>206</v>
      </c>
      <c r="G209" s="1" t="str">
        <f>"002E"</f>
        <v>002E</v>
      </c>
      <c r="H209" s="1">
        <v>2010</v>
      </c>
      <c r="I209" s="6">
        <v>563900</v>
      </c>
      <c r="J209" s="6">
        <v>527600</v>
      </c>
      <c r="K209" s="6">
        <v>36300</v>
      </c>
      <c r="L209" s="7"/>
    </row>
    <row r="210" spans="1:12" x14ac:dyDescent="0.25">
      <c r="A210" t="s">
        <v>207</v>
      </c>
      <c r="B210" s="5">
        <v>31260</v>
      </c>
      <c r="C210" t="s">
        <v>80</v>
      </c>
      <c r="D210" s="1" t="str">
        <f>"03212"</f>
        <v>03212</v>
      </c>
      <c r="E210" t="s">
        <v>10</v>
      </c>
      <c r="F210" t="s">
        <v>208</v>
      </c>
      <c r="G210" s="1" t="str">
        <f>"007"</f>
        <v>007</v>
      </c>
      <c r="H210" s="1">
        <v>1995</v>
      </c>
      <c r="I210" s="6">
        <v>22459500</v>
      </c>
      <c r="J210" s="6">
        <v>1006400</v>
      </c>
      <c r="K210" s="6">
        <v>21453100</v>
      </c>
      <c r="L210" s="7"/>
    </row>
    <row r="211" spans="1:12" x14ac:dyDescent="0.25">
      <c r="A211" t="s">
        <v>207</v>
      </c>
      <c r="B211" s="5">
        <v>31260</v>
      </c>
      <c r="C211" t="s">
        <v>80</v>
      </c>
      <c r="D211" s="1" t="str">
        <f>"03212"</f>
        <v>03212</v>
      </c>
      <c r="E211" t="s">
        <v>10</v>
      </c>
      <c r="F211" t="s">
        <v>208</v>
      </c>
      <c r="G211" s="1" t="str">
        <f>"008"</f>
        <v>008</v>
      </c>
      <c r="H211" s="1">
        <v>2017</v>
      </c>
      <c r="I211" s="6">
        <v>1671800</v>
      </c>
      <c r="J211" s="6">
        <v>477500</v>
      </c>
      <c r="K211" s="6">
        <v>1194300</v>
      </c>
      <c r="L211" s="7"/>
    </row>
    <row r="212" spans="1:12" x14ac:dyDescent="0.25">
      <c r="A212" t="s">
        <v>207</v>
      </c>
      <c r="B212" s="5">
        <v>31260</v>
      </c>
      <c r="C212" t="s">
        <v>80</v>
      </c>
      <c r="D212" s="1" t="str">
        <f>"03212"</f>
        <v>03212</v>
      </c>
      <c r="E212" t="s">
        <v>10</v>
      </c>
      <c r="F212" t="s">
        <v>208</v>
      </c>
      <c r="G212" s="1" t="str">
        <f>"009"</f>
        <v>009</v>
      </c>
      <c r="H212" s="1">
        <v>2018</v>
      </c>
      <c r="I212" s="6">
        <v>6433800</v>
      </c>
      <c r="J212" s="6">
        <v>6412300</v>
      </c>
      <c r="K212" s="6">
        <v>21500</v>
      </c>
      <c r="L212" s="7"/>
    </row>
    <row r="213" spans="1:12" x14ac:dyDescent="0.25">
      <c r="A213" t="s">
        <v>209</v>
      </c>
      <c r="B213" s="5">
        <v>374970</v>
      </c>
      <c r="C213" t="s">
        <v>12</v>
      </c>
      <c r="D213" s="1" t="str">
        <f>"37136"</f>
        <v>37136</v>
      </c>
      <c r="E213" t="s">
        <v>15</v>
      </c>
      <c r="F213" t="s">
        <v>210</v>
      </c>
      <c r="G213" s="1" t="str">
        <f>"001"</f>
        <v>001</v>
      </c>
      <c r="H213" s="1">
        <v>2007</v>
      </c>
      <c r="I213" s="6">
        <v>9057800</v>
      </c>
      <c r="J213" s="6">
        <v>3240500</v>
      </c>
      <c r="K213" s="6">
        <v>5817300</v>
      </c>
      <c r="L213" s="7"/>
    </row>
    <row r="214" spans="1:12" x14ac:dyDescent="0.25">
      <c r="A214" t="s">
        <v>209</v>
      </c>
      <c r="B214" s="5">
        <v>374970</v>
      </c>
      <c r="C214" t="s">
        <v>12</v>
      </c>
      <c r="D214" s="1" t="str">
        <f>"37145"</f>
        <v>37145</v>
      </c>
      <c r="E214" t="s">
        <v>15</v>
      </c>
      <c r="F214" t="s">
        <v>211</v>
      </c>
      <c r="G214" s="1" t="str">
        <f>"001"</f>
        <v>001</v>
      </c>
      <c r="H214" s="1">
        <v>2005</v>
      </c>
      <c r="I214" s="6">
        <v>18144700</v>
      </c>
      <c r="J214" s="6">
        <v>2262300</v>
      </c>
      <c r="K214" s="6">
        <v>15882400</v>
      </c>
      <c r="L214" s="7"/>
    </row>
    <row r="215" spans="1:12" x14ac:dyDescent="0.25">
      <c r="A215" t="s">
        <v>209</v>
      </c>
      <c r="B215" s="5">
        <v>374970</v>
      </c>
      <c r="C215" t="s">
        <v>12</v>
      </c>
      <c r="D215" s="1" t="str">
        <f>"37176"</f>
        <v>37176</v>
      </c>
      <c r="E215" t="s">
        <v>15</v>
      </c>
      <c r="F215" t="s">
        <v>212</v>
      </c>
      <c r="G215" s="1" t="str">
        <f>"002"</f>
        <v>002</v>
      </c>
      <c r="H215" s="1">
        <v>2013</v>
      </c>
      <c r="I215" s="6">
        <v>57737400</v>
      </c>
      <c r="J215" s="6">
        <v>44864400</v>
      </c>
      <c r="K215" s="6">
        <v>12873000</v>
      </c>
      <c r="L215" s="7"/>
    </row>
    <row r="216" spans="1:12" x14ac:dyDescent="0.25">
      <c r="A216" t="s">
        <v>209</v>
      </c>
      <c r="B216" s="5">
        <v>374970</v>
      </c>
      <c r="C216" t="s">
        <v>12</v>
      </c>
      <c r="D216" s="1" t="str">
        <f>"37281"</f>
        <v>37281</v>
      </c>
      <c r="E216" t="s">
        <v>10</v>
      </c>
      <c r="F216" t="s">
        <v>213</v>
      </c>
      <c r="G216" s="1" t="str">
        <f>"002"</f>
        <v>002</v>
      </c>
      <c r="H216" s="1">
        <v>1994</v>
      </c>
      <c r="I216" s="6">
        <v>19586000</v>
      </c>
      <c r="J216" s="6">
        <v>3273500</v>
      </c>
      <c r="K216" s="6">
        <v>16312500</v>
      </c>
      <c r="L216" s="7"/>
    </row>
    <row r="217" spans="1:12" x14ac:dyDescent="0.25">
      <c r="A217" t="s">
        <v>209</v>
      </c>
      <c r="B217" s="5">
        <v>374970</v>
      </c>
      <c r="C217" t="s">
        <v>12</v>
      </c>
      <c r="D217" s="1" t="str">
        <f>"37281"</f>
        <v>37281</v>
      </c>
      <c r="E217" t="s">
        <v>10</v>
      </c>
      <c r="F217" t="s">
        <v>213</v>
      </c>
      <c r="G217" s="1" t="str">
        <f>"003"</f>
        <v>003</v>
      </c>
      <c r="H217" s="1">
        <v>1997</v>
      </c>
      <c r="I217" s="6">
        <v>13261900</v>
      </c>
      <c r="J217" s="6">
        <v>4839000</v>
      </c>
      <c r="K217" s="6">
        <v>8422900</v>
      </c>
      <c r="L217" s="7"/>
    </row>
    <row r="218" spans="1:12" x14ac:dyDescent="0.25">
      <c r="A218" t="s">
        <v>209</v>
      </c>
      <c r="B218" s="5">
        <v>374970</v>
      </c>
      <c r="C218" t="s">
        <v>12</v>
      </c>
      <c r="D218" s="1" t="str">
        <f>"37281"</f>
        <v>37281</v>
      </c>
      <c r="E218" t="s">
        <v>10</v>
      </c>
      <c r="F218" t="s">
        <v>213</v>
      </c>
      <c r="G218" s="1" t="str">
        <f>"004"</f>
        <v>004</v>
      </c>
      <c r="H218" s="1">
        <v>2017</v>
      </c>
      <c r="I218" s="6">
        <v>10777900</v>
      </c>
      <c r="J218" s="6">
        <v>4534200</v>
      </c>
      <c r="K218" s="6">
        <v>6243700</v>
      </c>
      <c r="L218" s="7"/>
    </row>
    <row r="219" spans="1:12" x14ac:dyDescent="0.25">
      <c r="A219" t="s">
        <v>209</v>
      </c>
      <c r="B219" s="5">
        <v>374970</v>
      </c>
      <c r="C219" t="s">
        <v>12</v>
      </c>
      <c r="D219" s="1" t="str">
        <f>"37192"</f>
        <v>37192</v>
      </c>
      <c r="E219" t="s">
        <v>15</v>
      </c>
      <c r="F219" t="s">
        <v>214</v>
      </c>
      <c r="G219" s="1" t="str">
        <f>"001"</f>
        <v>001</v>
      </c>
      <c r="H219" s="1">
        <v>1998</v>
      </c>
      <c r="I219" s="6">
        <v>292830500</v>
      </c>
      <c r="J219" s="6">
        <v>38651600</v>
      </c>
      <c r="K219" s="6">
        <v>254178900</v>
      </c>
      <c r="L219" s="7"/>
    </row>
    <row r="220" spans="1:12" x14ac:dyDescent="0.25">
      <c r="A220" t="s">
        <v>209</v>
      </c>
      <c r="B220" s="5">
        <v>374970</v>
      </c>
      <c r="C220" t="s">
        <v>12</v>
      </c>
      <c r="D220" s="1" t="str">
        <f>"37192"</f>
        <v>37192</v>
      </c>
      <c r="E220" t="s">
        <v>15</v>
      </c>
      <c r="F220" t="s">
        <v>214</v>
      </c>
      <c r="G220" s="1" t="str">
        <f>"002"</f>
        <v>002</v>
      </c>
      <c r="H220" s="1">
        <v>2004</v>
      </c>
      <c r="I220" s="6">
        <v>56608700</v>
      </c>
      <c r="J220" s="6">
        <v>34853000</v>
      </c>
      <c r="K220" s="6">
        <v>21755700</v>
      </c>
      <c r="L220" s="7"/>
    </row>
    <row r="221" spans="1:12" x14ac:dyDescent="0.25">
      <c r="A221" t="s">
        <v>215</v>
      </c>
      <c r="B221" s="5">
        <v>331295</v>
      </c>
      <c r="C221" t="s">
        <v>48</v>
      </c>
      <c r="D221" s="1" t="str">
        <f>"33216"</f>
        <v>33216</v>
      </c>
      <c r="E221" t="s">
        <v>10</v>
      </c>
      <c r="F221" t="s">
        <v>216</v>
      </c>
      <c r="G221" s="1" t="str">
        <f>"006"</f>
        <v>006</v>
      </c>
      <c r="H221" s="1">
        <v>2003</v>
      </c>
      <c r="I221" s="6">
        <v>33151200</v>
      </c>
      <c r="J221" s="6">
        <v>4304900</v>
      </c>
      <c r="K221" s="6">
        <v>28846300</v>
      </c>
      <c r="L221" s="7"/>
    </row>
    <row r="222" spans="1:12" x14ac:dyDescent="0.25">
      <c r="A222" t="s">
        <v>215</v>
      </c>
      <c r="B222" s="5">
        <v>331295</v>
      </c>
      <c r="C222" t="s">
        <v>48</v>
      </c>
      <c r="D222" s="1" t="str">
        <f>"33216"</f>
        <v>33216</v>
      </c>
      <c r="E222" t="s">
        <v>10</v>
      </c>
      <c r="F222" t="s">
        <v>216</v>
      </c>
      <c r="G222" s="1" t="str">
        <f>"007"</f>
        <v>007</v>
      </c>
      <c r="H222" s="1">
        <v>2006</v>
      </c>
      <c r="I222" s="6">
        <v>5161600</v>
      </c>
      <c r="J222" s="6">
        <v>2186300</v>
      </c>
      <c r="K222" s="6">
        <v>2975300</v>
      </c>
      <c r="L222" s="7"/>
    </row>
    <row r="223" spans="1:12" x14ac:dyDescent="0.25">
      <c r="A223" t="s">
        <v>215</v>
      </c>
      <c r="B223" s="5">
        <v>331295</v>
      </c>
      <c r="C223" t="s">
        <v>48</v>
      </c>
      <c r="D223" s="1" t="str">
        <f>"33216"</f>
        <v>33216</v>
      </c>
      <c r="E223" t="s">
        <v>10</v>
      </c>
      <c r="F223" t="s">
        <v>216</v>
      </c>
      <c r="G223" s="1" t="str">
        <f>"008"</f>
        <v>008</v>
      </c>
      <c r="H223" s="1">
        <v>2018</v>
      </c>
      <c r="I223" s="6">
        <v>25400</v>
      </c>
      <c r="J223" s="6">
        <v>22500</v>
      </c>
      <c r="K223" s="6">
        <v>2900</v>
      </c>
      <c r="L223" s="7"/>
    </row>
    <row r="224" spans="1:12" x14ac:dyDescent="0.25">
      <c r="A224" t="s">
        <v>217</v>
      </c>
      <c r="B224" s="5">
        <v>51414</v>
      </c>
      <c r="C224" t="s">
        <v>53</v>
      </c>
      <c r="D224" s="1" t="str">
        <f>"05216"</f>
        <v>05216</v>
      </c>
      <c r="E224" t="s">
        <v>10</v>
      </c>
      <c r="F224" t="s">
        <v>218</v>
      </c>
      <c r="G224" s="1" t="str">
        <f>"007"</f>
        <v>007</v>
      </c>
      <c r="H224" s="1">
        <v>2007</v>
      </c>
      <c r="I224" s="6">
        <v>18486400</v>
      </c>
      <c r="J224" s="6">
        <v>12056000</v>
      </c>
      <c r="K224" s="6">
        <v>6430400</v>
      </c>
      <c r="L224" s="7"/>
    </row>
    <row r="225" spans="1:12" x14ac:dyDescent="0.25">
      <c r="A225" t="s">
        <v>217</v>
      </c>
      <c r="B225" s="5">
        <v>51414</v>
      </c>
      <c r="C225" t="s">
        <v>53</v>
      </c>
      <c r="D225" s="1" t="str">
        <f>"05216"</f>
        <v>05216</v>
      </c>
      <c r="E225" t="s">
        <v>10</v>
      </c>
      <c r="F225" t="s">
        <v>218</v>
      </c>
      <c r="G225" s="1" t="str">
        <f>"010"</f>
        <v>010</v>
      </c>
      <c r="H225" s="1">
        <v>2012</v>
      </c>
      <c r="I225" s="6">
        <v>35169900</v>
      </c>
      <c r="J225" s="6">
        <v>24811900</v>
      </c>
      <c r="K225" s="6">
        <v>10358000</v>
      </c>
      <c r="L225" s="7"/>
    </row>
    <row r="226" spans="1:12" x14ac:dyDescent="0.25">
      <c r="A226" t="s">
        <v>217</v>
      </c>
      <c r="B226" s="5">
        <v>51414</v>
      </c>
      <c r="C226" t="s">
        <v>53</v>
      </c>
      <c r="D226" s="1" t="str">
        <f>"05025"</f>
        <v>05025</v>
      </c>
      <c r="E226" t="s">
        <v>17</v>
      </c>
      <c r="F226" t="s">
        <v>219</v>
      </c>
      <c r="G226" s="1" t="str">
        <f>"001A"</f>
        <v>001A</v>
      </c>
      <c r="H226" s="1">
        <v>2015</v>
      </c>
      <c r="I226" s="6">
        <v>49279900</v>
      </c>
      <c r="J226" s="6">
        <v>27418500</v>
      </c>
      <c r="K226" s="6">
        <v>21861400</v>
      </c>
      <c r="L226" s="7"/>
    </row>
    <row r="227" spans="1:12" x14ac:dyDescent="0.25">
      <c r="A227" t="s">
        <v>220</v>
      </c>
      <c r="B227" s="5">
        <v>621421</v>
      </c>
      <c r="C227" t="s">
        <v>221</v>
      </c>
      <c r="D227" s="1" t="str">
        <f>"12116"</f>
        <v>12116</v>
      </c>
      <c r="E227" t="s">
        <v>15</v>
      </c>
      <c r="F227" t="s">
        <v>222</v>
      </c>
      <c r="G227" s="1" t="str">
        <f>"001"</f>
        <v>001</v>
      </c>
      <c r="H227" s="1">
        <v>2001</v>
      </c>
      <c r="I227" s="6">
        <v>508100</v>
      </c>
      <c r="J227" s="6">
        <v>161700</v>
      </c>
      <c r="K227" s="6">
        <v>346400</v>
      </c>
      <c r="L227" s="7"/>
    </row>
    <row r="228" spans="1:12" x14ac:dyDescent="0.25">
      <c r="A228" t="s">
        <v>220</v>
      </c>
      <c r="B228" s="5">
        <v>621421</v>
      </c>
      <c r="C228" t="s">
        <v>221</v>
      </c>
      <c r="D228" s="1" t="str">
        <f>"12126"</f>
        <v>12126</v>
      </c>
      <c r="E228" t="s">
        <v>15</v>
      </c>
      <c r="F228" t="s">
        <v>223</v>
      </c>
      <c r="G228" s="1" t="str">
        <f>"001"</f>
        <v>001</v>
      </c>
      <c r="H228" s="1">
        <v>2003</v>
      </c>
      <c r="I228" s="6">
        <v>315500</v>
      </c>
      <c r="J228" s="6">
        <v>52100</v>
      </c>
      <c r="K228" s="6">
        <v>263400</v>
      </c>
      <c r="L228" s="7"/>
    </row>
    <row r="229" spans="1:12" x14ac:dyDescent="0.25">
      <c r="A229" t="s">
        <v>220</v>
      </c>
      <c r="B229" s="5">
        <v>621421</v>
      </c>
      <c r="C229" t="s">
        <v>224</v>
      </c>
      <c r="D229" s="1" t="str">
        <f>"62116"</f>
        <v>62116</v>
      </c>
      <c r="E229" t="s">
        <v>15</v>
      </c>
      <c r="F229" t="s">
        <v>222</v>
      </c>
      <c r="G229" s="1" t="str">
        <f>"001"</f>
        <v>001</v>
      </c>
      <c r="H229" s="1">
        <v>2001</v>
      </c>
      <c r="I229" s="6">
        <v>724800</v>
      </c>
      <c r="J229" s="6">
        <v>340200</v>
      </c>
      <c r="K229" s="6">
        <v>384600</v>
      </c>
      <c r="L229" s="7"/>
    </row>
    <row r="230" spans="1:12" x14ac:dyDescent="0.25">
      <c r="A230" t="s">
        <v>225</v>
      </c>
      <c r="B230" s="5">
        <v>131309</v>
      </c>
      <c r="C230" t="s">
        <v>89</v>
      </c>
      <c r="D230" s="1" t="str">
        <f>"13117"</f>
        <v>13117</v>
      </c>
      <c r="E230" t="s">
        <v>15</v>
      </c>
      <c r="F230" t="s">
        <v>226</v>
      </c>
      <c r="G230" s="1" t="str">
        <f>"003"</f>
        <v>003</v>
      </c>
      <c r="H230" s="1">
        <v>2005</v>
      </c>
      <c r="I230" s="6">
        <v>34207700</v>
      </c>
      <c r="J230" s="6">
        <v>9970400</v>
      </c>
      <c r="K230" s="6">
        <v>24237300</v>
      </c>
      <c r="L230" s="7"/>
    </row>
    <row r="231" spans="1:12" x14ac:dyDescent="0.25">
      <c r="A231" t="s">
        <v>225</v>
      </c>
      <c r="B231" s="5">
        <v>131309</v>
      </c>
      <c r="C231" t="s">
        <v>89</v>
      </c>
      <c r="D231" s="1" t="str">
        <f>"13117"</f>
        <v>13117</v>
      </c>
      <c r="E231" t="s">
        <v>15</v>
      </c>
      <c r="F231" t="s">
        <v>226</v>
      </c>
      <c r="G231" s="1" t="str">
        <f>"004"</f>
        <v>004</v>
      </c>
      <c r="H231" s="1">
        <v>2007</v>
      </c>
      <c r="I231" s="6">
        <v>1985600</v>
      </c>
      <c r="J231" s="6">
        <v>2401400</v>
      </c>
      <c r="K231" s="6">
        <v>-415800</v>
      </c>
      <c r="L231" s="7"/>
    </row>
    <row r="232" spans="1:12" x14ac:dyDescent="0.25">
      <c r="A232" t="s">
        <v>225</v>
      </c>
      <c r="B232" s="5">
        <v>131309</v>
      </c>
      <c r="C232" t="s">
        <v>89</v>
      </c>
      <c r="D232" s="1" t="str">
        <f>"13117"</f>
        <v>13117</v>
      </c>
      <c r="E232" t="s">
        <v>15</v>
      </c>
      <c r="F232" t="s">
        <v>226</v>
      </c>
      <c r="G232" s="1" t="str">
        <f>"005"</f>
        <v>005</v>
      </c>
      <c r="H232" s="1">
        <v>2008</v>
      </c>
      <c r="I232" s="6">
        <v>312600</v>
      </c>
      <c r="J232" s="6">
        <v>11700</v>
      </c>
      <c r="K232" s="6">
        <v>300900</v>
      </c>
      <c r="L232" s="7"/>
    </row>
    <row r="233" spans="1:12" x14ac:dyDescent="0.25">
      <c r="A233" t="s">
        <v>227</v>
      </c>
      <c r="B233" s="5">
        <v>131316</v>
      </c>
      <c r="C233" t="s">
        <v>89</v>
      </c>
      <c r="D233" s="1" t="str">
        <f t="shared" ref="D233:D240" si="3">"13118"</f>
        <v>13118</v>
      </c>
      <c r="E233" t="s">
        <v>15</v>
      </c>
      <c r="F233" t="s">
        <v>228</v>
      </c>
      <c r="G233" s="1" t="str">
        <f>"002"</f>
        <v>002</v>
      </c>
      <c r="H233" s="1">
        <v>2009</v>
      </c>
      <c r="I233" s="6">
        <v>42753200</v>
      </c>
      <c r="J233" s="6">
        <v>27900</v>
      </c>
      <c r="K233" s="6">
        <v>42725300</v>
      </c>
      <c r="L233" s="7"/>
    </row>
    <row r="234" spans="1:12" x14ac:dyDescent="0.25">
      <c r="A234" t="s">
        <v>227</v>
      </c>
      <c r="B234" s="5">
        <v>131316</v>
      </c>
      <c r="C234" t="s">
        <v>89</v>
      </c>
      <c r="D234" s="1" t="str">
        <f t="shared" si="3"/>
        <v>13118</v>
      </c>
      <c r="E234" t="s">
        <v>15</v>
      </c>
      <c r="F234" t="s">
        <v>228</v>
      </c>
      <c r="G234" s="1" t="str">
        <f>"003"</f>
        <v>003</v>
      </c>
      <c r="H234" s="1">
        <v>2009</v>
      </c>
      <c r="I234" s="6">
        <v>15521900</v>
      </c>
      <c r="J234" s="6">
        <v>981900</v>
      </c>
      <c r="K234" s="6">
        <v>14540000</v>
      </c>
      <c r="L234" s="7"/>
    </row>
    <row r="235" spans="1:12" x14ac:dyDescent="0.25">
      <c r="A235" t="s">
        <v>227</v>
      </c>
      <c r="B235" s="5">
        <v>131316</v>
      </c>
      <c r="C235" t="s">
        <v>89</v>
      </c>
      <c r="D235" s="1" t="str">
        <f t="shared" si="3"/>
        <v>13118</v>
      </c>
      <c r="E235" t="s">
        <v>15</v>
      </c>
      <c r="F235" t="s">
        <v>228</v>
      </c>
      <c r="G235" s="1" t="str">
        <f>"004"</f>
        <v>004</v>
      </c>
      <c r="H235" s="1">
        <v>2009</v>
      </c>
      <c r="I235" s="6">
        <v>39031500</v>
      </c>
      <c r="J235" s="6">
        <v>345700</v>
      </c>
      <c r="K235" s="6">
        <v>38685800</v>
      </c>
      <c r="L235" s="7"/>
    </row>
    <row r="236" spans="1:12" x14ac:dyDescent="0.25">
      <c r="A236" t="s">
        <v>227</v>
      </c>
      <c r="B236" s="5">
        <v>131316</v>
      </c>
      <c r="C236" t="s">
        <v>89</v>
      </c>
      <c r="D236" s="1" t="str">
        <f t="shared" si="3"/>
        <v>13118</v>
      </c>
      <c r="E236" t="s">
        <v>15</v>
      </c>
      <c r="F236" t="s">
        <v>228</v>
      </c>
      <c r="G236" s="1" t="str">
        <f>"005"</f>
        <v>005</v>
      </c>
      <c r="H236" s="1">
        <v>2010</v>
      </c>
      <c r="I236" s="6">
        <v>15788500</v>
      </c>
      <c r="J236" s="6">
        <v>350500</v>
      </c>
      <c r="K236" s="6">
        <v>15438000</v>
      </c>
      <c r="L236" s="7"/>
    </row>
    <row r="237" spans="1:12" x14ac:dyDescent="0.25">
      <c r="A237" t="s">
        <v>227</v>
      </c>
      <c r="B237" s="5">
        <v>131316</v>
      </c>
      <c r="C237" t="s">
        <v>89</v>
      </c>
      <c r="D237" s="1" t="str">
        <f t="shared" si="3"/>
        <v>13118</v>
      </c>
      <c r="E237" t="s">
        <v>15</v>
      </c>
      <c r="F237" t="s">
        <v>228</v>
      </c>
      <c r="G237" s="1" t="str">
        <f>"006"</f>
        <v>006</v>
      </c>
      <c r="H237" s="1">
        <v>2011</v>
      </c>
      <c r="I237" s="6">
        <v>29853100</v>
      </c>
      <c r="J237" s="6">
        <v>2764600</v>
      </c>
      <c r="K237" s="6">
        <v>27088500</v>
      </c>
      <c r="L237" s="7"/>
    </row>
    <row r="238" spans="1:12" x14ac:dyDescent="0.25">
      <c r="A238" t="s">
        <v>227</v>
      </c>
      <c r="B238" s="5">
        <v>131316</v>
      </c>
      <c r="C238" t="s">
        <v>89</v>
      </c>
      <c r="D238" s="1" t="str">
        <f t="shared" si="3"/>
        <v>13118</v>
      </c>
      <c r="E238" t="s">
        <v>15</v>
      </c>
      <c r="F238" t="s">
        <v>228</v>
      </c>
      <c r="G238" s="1" t="str">
        <f>"007"</f>
        <v>007</v>
      </c>
      <c r="H238" s="1">
        <v>2011</v>
      </c>
      <c r="I238" s="6">
        <v>19322800</v>
      </c>
      <c r="J238" s="6">
        <v>4492000</v>
      </c>
      <c r="K238" s="6">
        <v>14830800</v>
      </c>
      <c r="L238" s="7"/>
    </row>
    <row r="239" spans="1:12" x14ac:dyDescent="0.25">
      <c r="A239" t="s">
        <v>227</v>
      </c>
      <c r="B239" s="5">
        <v>131316</v>
      </c>
      <c r="C239" t="s">
        <v>89</v>
      </c>
      <c r="D239" s="1" t="str">
        <f t="shared" si="3"/>
        <v>13118</v>
      </c>
      <c r="E239" t="s">
        <v>15</v>
      </c>
      <c r="F239" t="s">
        <v>228</v>
      </c>
      <c r="G239" s="1" t="str">
        <f>"008"</f>
        <v>008</v>
      </c>
      <c r="H239" s="1">
        <v>2017</v>
      </c>
      <c r="I239" s="6">
        <v>34330800</v>
      </c>
      <c r="J239" s="6">
        <v>6728400</v>
      </c>
      <c r="K239" s="6">
        <v>27602400</v>
      </c>
      <c r="L239" s="7"/>
    </row>
    <row r="240" spans="1:12" x14ac:dyDescent="0.25">
      <c r="A240" t="s">
        <v>227</v>
      </c>
      <c r="B240" s="5">
        <v>131316</v>
      </c>
      <c r="C240" t="s">
        <v>89</v>
      </c>
      <c r="D240" s="1" t="str">
        <f t="shared" si="3"/>
        <v>13118</v>
      </c>
      <c r="E240" t="s">
        <v>15</v>
      </c>
      <c r="F240" t="s">
        <v>228</v>
      </c>
      <c r="G240" s="1" t="str">
        <f>"009"</f>
        <v>009</v>
      </c>
      <c r="H240" s="1">
        <v>2017</v>
      </c>
      <c r="I240" s="6">
        <v>21891200</v>
      </c>
      <c r="J240" s="6">
        <v>7580900</v>
      </c>
      <c r="K240" s="6">
        <v>14310300</v>
      </c>
      <c r="L240" s="7"/>
    </row>
    <row r="241" spans="1:12" x14ac:dyDescent="0.25">
      <c r="A241" t="s">
        <v>227</v>
      </c>
      <c r="B241" s="5">
        <v>131316</v>
      </c>
      <c r="C241" t="s">
        <v>89</v>
      </c>
      <c r="D241" s="1" t="str">
        <f>"13196"</f>
        <v>13196</v>
      </c>
      <c r="E241" t="s">
        <v>15</v>
      </c>
      <c r="F241" t="s">
        <v>229</v>
      </c>
      <c r="G241" s="1" t="str">
        <f>"001"</f>
        <v>001</v>
      </c>
      <c r="H241" s="1">
        <v>2014</v>
      </c>
      <c r="I241" s="6">
        <v>21939100</v>
      </c>
      <c r="J241" s="6">
        <v>382600</v>
      </c>
      <c r="K241" s="6">
        <v>21556500</v>
      </c>
      <c r="L241" s="7"/>
    </row>
    <row r="242" spans="1:12" x14ac:dyDescent="0.25">
      <c r="A242" t="s">
        <v>230</v>
      </c>
      <c r="B242" s="5">
        <v>641380</v>
      </c>
      <c r="C242" t="s">
        <v>140</v>
      </c>
      <c r="D242" s="1" t="str">
        <f>"64116"</f>
        <v>64116</v>
      </c>
      <c r="E242" t="s">
        <v>15</v>
      </c>
      <c r="F242" t="s">
        <v>231</v>
      </c>
      <c r="G242" s="1" t="str">
        <f>"003"</f>
        <v>003</v>
      </c>
      <c r="H242" s="1">
        <v>2015</v>
      </c>
      <c r="I242" s="6">
        <v>5926600</v>
      </c>
      <c r="J242" s="6">
        <v>2174600</v>
      </c>
      <c r="K242" s="6">
        <v>3752000</v>
      </c>
      <c r="L242" s="7"/>
    </row>
    <row r="243" spans="1:12" x14ac:dyDescent="0.25">
      <c r="A243" t="s">
        <v>230</v>
      </c>
      <c r="B243" s="5">
        <v>641380</v>
      </c>
      <c r="C243" t="s">
        <v>140</v>
      </c>
      <c r="D243" s="1" t="str">
        <f>"64216"</f>
        <v>64216</v>
      </c>
      <c r="E243" t="s">
        <v>10</v>
      </c>
      <c r="F243" t="s">
        <v>232</v>
      </c>
      <c r="G243" s="1" t="str">
        <f>"004"</f>
        <v>004</v>
      </c>
      <c r="H243" s="1">
        <v>2003</v>
      </c>
      <c r="I243" s="6">
        <v>68760300</v>
      </c>
      <c r="J243" s="6">
        <v>22997800</v>
      </c>
      <c r="K243" s="6">
        <v>45762500</v>
      </c>
      <c r="L243" s="7"/>
    </row>
    <row r="244" spans="1:12" x14ac:dyDescent="0.25">
      <c r="A244" t="s">
        <v>230</v>
      </c>
      <c r="B244" s="5">
        <v>641380</v>
      </c>
      <c r="C244" t="s">
        <v>140</v>
      </c>
      <c r="D244" s="1" t="str">
        <f>"64216"</f>
        <v>64216</v>
      </c>
      <c r="E244" t="s">
        <v>10</v>
      </c>
      <c r="F244" t="s">
        <v>232</v>
      </c>
      <c r="G244" s="1" t="str">
        <f>"005"</f>
        <v>005</v>
      </c>
      <c r="H244" s="1">
        <v>2012</v>
      </c>
      <c r="I244" s="6">
        <v>27786300</v>
      </c>
      <c r="J244" s="6">
        <v>21830800</v>
      </c>
      <c r="K244" s="6">
        <v>5955500</v>
      </c>
      <c r="L244" s="7"/>
    </row>
    <row r="245" spans="1:12" x14ac:dyDescent="0.25">
      <c r="A245" t="s">
        <v>233</v>
      </c>
      <c r="B245" s="5">
        <v>51407</v>
      </c>
      <c r="C245" t="s">
        <v>234</v>
      </c>
      <c r="D245" s="1" t="str">
        <f>"36147"</f>
        <v>36147</v>
      </c>
      <c r="E245" t="s">
        <v>15</v>
      </c>
      <c r="F245" t="s">
        <v>235</v>
      </c>
      <c r="G245" s="1" t="str">
        <f>"001"</f>
        <v>001</v>
      </c>
      <c r="H245" s="1">
        <v>2017</v>
      </c>
      <c r="I245" s="6">
        <v>3675600</v>
      </c>
      <c r="J245" s="6">
        <v>1247400</v>
      </c>
      <c r="K245" s="6">
        <v>2428200</v>
      </c>
      <c r="L245" s="7"/>
    </row>
    <row r="246" spans="1:12" x14ac:dyDescent="0.25">
      <c r="A246" t="s">
        <v>236</v>
      </c>
      <c r="B246" s="5">
        <v>142744</v>
      </c>
      <c r="C246" t="s">
        <v>86</v>
      </c>
      <c r="D246" s="1" t="str">
        <f>"14241"</f>
        <v>14241</v>
      </c>
      <c r="E246" t="s">
        <v>10</v>
      </c>
      <c r="F246" t="s">
        <v>237</v>
      </c>
      <c r="G246" s="1" t="str">
        <f>"004"</f>
        <v>004</v>
      </c>
      <c r="H246" s="1">
        <v>2018</v>
      </c>
      <c r="I246" s="6">
        <v>7907600</v>
      </c>
      <c r="J246" s="6">
        <v>7477100</v>
      </c>
      <c r="K246" s="6">
        <v>430500</v>
      </c>
      <c r="L246" s="7"/>
    </row>
    <row r="247" spans="1:12" x14ac:dyDescent="0.25">
      <c r="A247" t="s">
        <v>236</v>
      </c>
      <c r="B247" s="5">
        <v>142744</v>
      </c>
      <c r="C247" t="s">
        <v>86</v>
      </c>
      <c r="D247" s="1" t="str">
        <f>"14177"</f>
        <v>14177</v>
      </c>
      <c r="E247" t="s">
        <v>15</v>
      </c>
      <c r="F247" t="s">
        <v>238</v>
      </c>
      <c r="G247" s="1" t="str">
        <f>"002"</f>
        <v>002</v>
      </c>
      <c r="H247" s="1">
        <v>1998</v>
      </c>
      <c r="I247" s="6">
        <v>8600</v>
      </c>
      <c r="J247" s="6">
        <v>26900</v>
      </c>
      <c r="K247" s="6">
        <v>-18300</v>
      </c>
      <c r="L247" s="7"/>
    </row>
    <row r="248" spans="1:12" x14ac:dyDescent="0.25">
      <c r="A248" t="s">
        <v>236</v>
      </c>
      <c r="B248" s="5">
        <v>142744</v>
      </c>
      <c r="C248" t="s">
        <v>86</v>
      </c>
      <c r="D248" s="1" t="str">
        <f>"14177"</f>
        <v>14177</v>
      </c>
      <c r="E248" t="s">
        <v>15</v>
      </c>
      <c r="F248" t="s">
        <v>238</v>
      </c>
      <c r="G248" s="1" t="str">
        <f>"003"</f>
        <v>003</v>
      </c>
      <c r="H248" s="1">
        <v>2011</v>
      </c>
      <c r="I248" s="6">
        <v>7814400</v>
      </c>
      <c r="J248" s="6">
        <v>912700</v>
      </c>
      <c r="K248" s="6">
        <v>6901700</v>
      </c>
      <c r="L248" s="7"/>
    </row>
    <row r="249" spans="1:12" x14ac:dyDescent="0.25">
      <c r="A249" t="s">
        <v>239</v>
      </c>
      <c r="B249" s="5">
        <v>251428</v>
      </c>
      <c r="C249" t="s">
        <v>77</v>
      </c>
      <c r="D249" s="1" t="str">
        <f>"25216"</f>
        <v>25216</v>
      </c>
      <c r="E249" t="s">
        <v>10</v>
      </c>
      <c r="F249" t="s">
        <v>240</v>
      </c>
      <c r="G249" s="1" t="str">
        <f>"002"</f>
        <v>002</v>
      </c>
      <c r="H249" s="1">
        <v>1998</v>
      </c>
      <c r="I249" s="6">
        <v>18478800</v>
      </c>
      <c r="J249" s="6">
        <v>370600</v>
      </c>
      <c r="K249" s="6">
        <v>18108200</v>
      </c>
      <c r="L249" s="7"/>
    </row>
    <row r="250" spans="1:12" x14ac:dyDescent="0.25">
      <c r="A250" t="s">
        <v>239</v>
      </c>
      <c r="B250" s="5">
        <v>251428</v>
      </c>
      <c r="C250" t="s">
        <v>77</v>
      </c>
      <c r="D250" s="1" t="str">
        <f>"25177"</f>
        <v>25177</v>
      </c>
      <c r="E250" t="s">
        <v>15</v>
      </c>
      <c r="F250" t="s">
        <v>241</v>
      </c>
      <c r="G250" s="1" t="str">
        <f>"001"</f>
        <v>001</v>
      </c>
      <c r="H250" s="1">
        <v>2007</v>
      </c>
      <c r="I250" s="6">
        <v>3553200</v>
      </c>
      <c r="J250" s="6">
        <v>2902100</v>
      </c>
      <c r="K250" s="6">
        <v>651100</v>
      </c>
      <c r="L250" s="7"/>
    </row>
    <row r="251" spans="1:12" x14ac:dyDescent="0.25">
      <c r="A251" t="s">
        <v>242</v>
      </c>
      <c r="B251" s="5">
        <v>41491</v>
      </c>
      <c r="C251" t="s">
        <v>243</v>
      </c>
      <c r="D251" s="1" t="str">
        <f>"04151"</f>
        <v>04151</v>
      </c>
      <c r="E251" t="s">
        <v>15</v>
      </c>
      <c r="F251" t="s">
        <v>244</v>
      </c>
      <c r="G251" s="1" t="str">
        <f>"001"</f>
        <v>001</v>
      </c>
      <c r="H251" s="1">
        <v>1999</v>
      </c>
      <c r="I251" s="6">
        <v>1046000</v>
      </c>
      <c r="J251" s="6">
        <v>159000</v>
      </c>
      <c r="K251" s="6">
        <v>887000</v>
      </c>
      <c r="L251" s="7"/>
    </row>
    <row r="252" spans="1:12" x14ac:dyDescent="0.25">
      <c r="A252" t="s">
        <v>245</v>
      </c>
      <c r="B252" s="5">
        <v>461499</v>
      </c>
      <c r="C252" t="s">
        <v>246</v>
      </c>
      <c r="D252" s="1" t="str">
        <f>"46216"</f>
        <v>46216</v>
      </c>
      <c r="E252" t="s">
        <v>10</v>
      </c>
      <c r="F252" t="s">
        <v>247</v>
      </c>
      <c r="G252" s="1" t="str">
        <f>"003"</f>
        <v>003</v>
      </c>
      <c r="H252" s="1">
        <v>2007</v>
      </c>
      <c r="I252" s="6">
        <v>12368700</v>
      </c>
      <c r="J252" s="6">
        <v>10391700</v>
      </c>
      <c r="K252" s="6">
        <v>1977000</v>
      </c>
      <c r="L252" s="7"/>
    </row>
    <row r="253" spans="1:12" x14ac:dyDescent="0.25">
      <c r="A253" t="s">
        <v>248</v>
      </c>
      <c r="B253" s="5">
        <v>641540</v>
      </c>
      <c r="C253" t="s">
        <v>140</v>
      </c>
      <c r="D253" s="1" t="str">
        <f>"64121"</f>
        <v>64121</v>
      </c>
      <c r="E253" t="s">
        <v>15</v>
      </c>
      <c r="F253" t="s">
        <v>249</v>
      </c>
      <c r="G253" s="1" t="str">
        <f>"003"</f>
        <v>003</v>
      </c>
      <c r="H253" s="1">
        <v>1999</v>
      </c>
      <c r="I253" s="6">
        <v>36678100</v>
      </c>
      <c r="J253" s="6">
        <v>196800</v>
      </c>
      <c r="K253" s="6">
        <v>36481300</v>
      </c>
      <c r="L253" s="7"/>
    </row>
    <row r="254" spans="1:12" x14ac:dyDescent="0.25">
      <c r="A254" t="s">
        <v>248</v>
      </c>
      <c r="B254" s="5">
        <v>641540</v>
      </c>
      <c r="C254" t="s">
        <v>140</v>
      </c>
      <c r="D254" s="1" t="str">
        <f>"64121"</f>
        <v>64121</v>
      </c>
      <c r="E254" t="s">
        <v>15</v>
      </c>
      <c r="F254" t="s">
        <v>249</v>
      </c>
      <c r="G254" s="1" t="str">
        <f>"004"</f>
        <v>004</v>
      </c>
      <c r="H254" s="1">
        <v>2018</v>
      </c>
      <c r="I254" s="6">
        <v>2652400</v>
      </c>
      <c r="J254" s="6">
        <v>1792100</v>
      </c>
      <c r="K254" s="6">
        <v>860300</v>
      </c>
      <c r="L254" s="7"/>
    </row>
    <row r="255" spans="1:12" x14ac:dyDescent="0.25">
      <c r="A255" t="s">
        <v>250</v>
      </c>
      <c r="B255" s="5">
        <v>181554</v>
      </c>
      <c r="C255" t="s">
        <v>114</v>
      </c>
      <c r="D255" s="1" t="str">
        <f>"09221"</f>
        <v>09221</v>
      </c>
      <c r="E255" t="s">
        <v>10</v>
      </c>
      <c r="F255" t="s">
        <v>29</v>
      </c>
      <c r="G255" s="1" t="str">
        <f>"009"</f>
        <v>009</v>
      </c>
      <c r="H255" s="1">
        <v>2008</v>
      </c>
      <c r="I255" s="6">
        <v>0</v>
      </c>
      <c r="J255" s="6">
        <v>54500</v>
      </c>
      <c r="K255" s="6">
        <v>-54500</v>
      </c>
      <c r="L255" s="7"/>
    </row>
    <row r="256" spans="1:12" x14ac:dyDescent="0.25">
      <c r="A256" t="s">
        <v>250</v>
      </c>
      <c r="B256" s="5">
        <v>181554</v>
      </c>
      <c r="C256" t="s">
        <v>29</v>
      </c>
      <c r="D256" s="1" t="str">
        <f t="shared" ref="D256:D261" si="4">"18221"</f>
        <v>18221</v>
      </c>
      <c r="E256" t="s">
        <v>10</v>
      </c>
      <c r="F256" t="s">
        <v>29</v>
      </c>
      <c r="G256" s="1" t="str">
        <f>"007"</f>
        <v>007</v>
      </c>
      <c r="H256" s="1">
        <v>1997</v>
      </c>
      <c r="I256" s="6">
        <v>6691100</v>
      </c>
      <c r="J256" s="6">
        <v>329100</v>
      </c>
      <c r="K256" s="6">
        <v>6362000</v>
      </c>
      <c r="L256" s="7"/>
    </row>
    <row r="257" spans="1:12" x14ac:dyDescent="0.25">
      <c r="A257" t="s">
        <v>250</v>
      </c>
      <c r="B257" s="5">
        <v>181554</v>
      </c>
      <c r="C257" t="s">
        <v>29</v>
      </c>
      <c r="D257" s="1" t="str">
        <f t="shared" si="4"/>
        <v>18221</v>
      </c>
      <c r="E257" t="s">
        <v>10</v>
      </c>
      <c r="F257" t="s">
        <v>29</v>
      </c>
      <c r="G257" s="1" t="str">
        <f>"008"</f>
        <v>008</v>
      </c>
      <c r="H257" s="1">
        <v>2002</v>
      </c>
      <c r="I257" s="6">
        <v>71860900</v>
      </c>
      <c r="J257" s="6">
        <v>12418400</v>
      </c>
      <c r="K257" s="6">
        <v>59442500</v>
      </c>
      <c r="L257" s="7"/>
    </row>
    <row r="258" spans="1:12" x14ac:dyDescent="0.25">
      <c r="A258" t="s">
        <v>250</v>
      </c>
      <c r="B258" s="5">
        <v>181554</v>
      </c>
      <c r="C258" t="s">
        <v>29</v>
      </c>
      <c r="D258" s="1" t="str">
        <f t="shared" si="4"/>
        <v>18221</v>
      </c>
      <c r="E258" t="s">
        <v>10</v>
      </c>
      <c r="F258" t="s">
        <v>29</v>
      </c>
      <c r="G258" s="1" t="str">
        <f>"009"</f>
        <v>009</v>
      </c>
      <c r="H258" s="1">
        <v>2008</v>
      </c>
      <c r="I258" s="6">
        <v>20895300</v>
      </c>
      <c r="J258" s="6">
        <v>11184400</v>
      </c>
      <c r="K258" s="6">
        <v>9710900</v>
      </c>
      <c r="L258" s="7"/>
    </row>
    <row r="259" spans="1:12" x14ac:dyDescent="0.25">
      <c r="A259" t="s">
        <v>250</v>
      </c>
      <c r="B259" s="5">
        <v>181554</v>
      </c>
      <c r="C259" t="s">
        <v>29</v>
      </c>
      <c r="D259" s="1" t="str">
        <f t="shared" si="4"/>
        <v>18221</v>
      </c>
      <c r="E259" t="s">
        <v>10</v>
      </c>
      <c r="F259" t="s">
        <v>29</v>
      </c>
      <c r="G259" s="1" t="str">
        <f>"010"</f>
        <v>010</v>
      </c>
      <c r="H259" s="1">
        <v>2015</v>
      </c>
      <c r="I259" s="6">
        <v>35261200</v>
      </c>
      <c r="J259" s="6">
        <v>9794200</v>
      </c>
      <c r="K259" s="6">
        <v>25467000</v>
      </c>
      <c r="L259" s="7"/>
    </row>
    <row r="260" spans="1:12" x14ac:dyDescent="0.25">
      <c r="A260" t="s">
        <v>250</v>
      </c>
      <c r="B260" s="5">
        <v>181554</v>
      </c>
      <c r="C260" t="s">
        <v>29</v>
      </c>
      <c r="D260" s="1" t="str">
        <f t="shared" si="4"/>
        <v>18221</v>
      </c>
      <c r="E260" t="s">
        <v>10</v>
      </c>
      <c r="F260" t="s">
        <v>29</v>
      </c>
      <c r="G260" s="1" t="str">
        <f>"011"</f>
        <v>011</v>
      </c>
      <c r="H260" s="1">
        <v>2015</v>
      </c>
      <c r="I260" s="6">
        <v>28764900</v>
      </c>
      <c r="J260" s="6">
        <v>16625200</v>
      </c>
      <c r="K260" s="6">
        <v>12139700</v>
      </c>
      <c r="L260" s="7"/>
    </row>
    <row r="261" spans="1:12" x14ac:dyDescent="0.25">
      <c r="A261" t="s">
        <v>250</v>
      </c>
      <c r="B261" s="5">
        <v>181554</v>
      </c>
      <c r="C261" t="s">
        <v>29</v>
      </c>
      <c r="D261" s="1" t="str">
        <f t="shared" si="4"/>
        <v>18221</v>
      </c>
      <c r="E261" t="s">
        <v>10</v>
      </c>
      <c r="F261" t="s">
        <v>29</v>
      </c>
      <c r="G261" s="1" t="str">
        <f>"012"</f>
        <v>012</v>
      </c>
      <c r="H261" s="1">
        <v>2017</v>
      </c>
      <c r="I261" s="6">
        <v>31106500</v>
      </c>
      <c r="J261" s="6">
        <v>22281500</v>
      </c>
      <c r="K261" s="6">
        <v>8825000</v>
      </c>
      <c r="L261" s="7"/>
    </row>
    <row r="262" spans="1:12" x14ac:dyDescent="0.25">
      <c r="A262" t="s">
        <v>251</v>
      </c>
      <c r="B262" s="5">
        <v>371561</v>
      </c>
      <c r="C262" t="s">
        <v>12</v>
      </c>
      <c r="D262" s="1" t="str">
        <f>"37121"</f>
        <v>37121</v>
      </c>
      <c r="E262" t="s">
        <v>15</v>
      </c>
      <c r="F262" t="s">
        <v>252</v>
      </c>
      <c r="G262" s="1" t="str">
        <f>"001"</f>
        <v>001</v>
      </c>
      <c r="H262" s="1">
        <v>2002</v>
      </c>
      <c r="I262" s="6">
        <v>1479000</v>
      </c>
      <c r="J262" s="6">
        <v>789300</v>
      </c>
      <c r="K262" s="6">
        <v>689700</v>
      </c>
      <c r="L262" s="7"/>
    </row>
    <row r="263" spans="1:12" x14ac:dyDescent="0.25">
      <c r="A263" t="s">
        <v>251</v>
      </c>
      <c r="B263" s="5">
        <v>371561</v>
      </c>
      <c r="C263" t="s">
        <v>12</v>
      </c>
      <c r="D263" s="1" t="str">
        <f>"37121"</f>
        <v>37121</v>
      </c>
      <c r="E263" t="s">
        <v>15</v>
      </c>
      <c r="F263" t="s">
        <v>252</v>
      </c>
      <c r="G263" s="1" t="str">
        <f>"003"</f>
        <v>003</v>
      </c>
      <c r="H263" s="1">
        <v>2005</v>
      </c>
      <c r="I263" s="6">
        <v>3016800</v>
      </c>
      <c r="J263" s="6">
        <v>55700</v>
      </c>
      <c r="K263" s="6">
        <v>2961100</v>
      </c>
      <c r="L263" s="7"/>
    </row>
    <row r="264" spans="1:12" x14ac:dyDescent="0.25">
      <c r="A264" t="s">
        <v>251</v>
      </c>
      <c r="B264" s="5">
        <v>371561</v>
      </c>
      <c r="C264" t="s">
        <v>12</v>
      </c>
      <c r="D264" s="1" t="str">
        <f>"37121"</f>
        <v>37121</v>
      </c>
      <c r="E264" t="s">
        <v>15</v>
      </c>
      <c r="F264" t="s">
        <v>252</v>
      </c>
      <c r="G264" s="1" t="str">
        <f>"004"</f>
        <v>004</v>
      </c>
      <c r="H264" s="1">
        <v>2016</v>
      </c>
      <c r="I264" s="6">
        <v>4953900</v>
      </c>
      <c r="J264" s="6">
        <v>1655200</v>
      </c>
      <c r="K264" s="6">
        <v>3298700</v>
      </c>
      <c r="L264" s="7"/>
    </row>
    <row r="265" spans="1:12" x14ac:dyDescent="0.25">
      <c r="A265" t="s">
        <v>253</v>
      </c>
      <c r="B265" s="5">
        <v>531568</v>
      </c>
      <c r="C265" t="s">
        <v>89</v>
      </c>
      <c r="D265" s="1" t="str">
        <f>"13221"</f>
        <v>13221</v>
      </c>
      <c r="E265" t="s">
        <v>10</v>
      </c>
      <c r="F265" t="s">
        <v>254</v>
      </c>
      <c r="G265" s="1" t="str">
        <f>"005"</f>
        <v>005</v>
      </c>
      <c r="H265" s="1">
        <v>1998</v>
      </c>
      <c r="I265" s="6">
        <v>15057900</v>
      </c>
      <c r="J265" s="6">
        <v>632600</v>
      </c>
      <c r="K265" s="6">
        <v>14425300</v>
      </c>
      <c r="L265" s="7"/>
    </row>
    <row r="266" spans="1:12" x14ac:dyDescent="0.25">
      <c r="A266" t="s">
        <v>253</v>
      </c>
      <c r="B266" s="5">
        <v>531568</v>
      </c>
      <c r="C266" t="s">
        <v>95</v>
      </c>
      <c r="D266" s="1" t="str">
        <f>"53221"</f>
        <v>53221</v>
      </c>
      <c r="E266" t="s">
        <v>10</v>
      </c>
      <c r="F266" t="s">
        <v>254</v>
      </c>
      <c r="G266" s="1" t="str">
        <f>"006"</f>
        <v>006</v>
      </c>
      <c r="H266" s="1">
        <v>2000</v>
      </c>
      <c r="I266" s="6">
        <v>28721500</v>
      </c>
      <c r="J266" s="6">
        <v>10105900</v>
      </c>
      <c r="K266" s="6">
        <v>18615600</v>
      </c>
      <c r="L266" s="7"/>
    </row>
    <row r="267" spans="1:12" x14ac:dyDescent="0.25">
      <c r="A267" t="s">
        <v>253</v>
      </c>
      <c r="B267" s="5">
        <v>531568</v>
      </c>
      <c r="C267" t="s">
        <v>95</v>
      </c>
      <c r="D267" s="1" t="str">
        <f>"53221"</f>
        <v>53221</v>
      </c>
      <c r="E267" t="s">
        <v>10</v>
      </c>
      <c r="F267" t="s">
        <v>254</v>
      </c>
      <c r="G267" s="1" t="str">
        <f>"007"</f>
        <v>007</v>
      </c>
      <c r="H267" s="1">
        <v>2000</v>
      </c>
      <c r="I267" s="6">
        <v>2825600</v>
      </c>
      <c r="J267" s="6">
        <v>650100</v>
      </c>
      <c r="K267" s="6">
        <v>2175500</v>
      </c>
      <c r="L267" s="7"/>
    </row>
    <row r="268" spans="1:12" x14ac:dyDescent="0.25">
      <c r="A268" t="s">
        <v>253</v>
      </c>
      <c r="B268" s="5">
        <v>531568</v>
      </c>
      <c r="C268" t="s">
        <v>95</v>
      </c>
      <c r="D268" s="1" t="str">
        <f>"53221"</f>
        <v>53221</v>
      </c>
      <c r="E268" t="s">
        <v>10</v>
      </c>
      <c r="F268" t="s">
        <v>254</v>
      </c>
      <c r="G268" s="1" t="str">
        <f>"008"</f>
        <v>008</v>
      </c>
      <c r="H268" s="1">
        <v>2005</v>
      </c>
      <c r="I268" s="6">
        <v>13113300</v>
      </c>
      <c r="J268" s="6">
        <v>7337900</v>
      </c>
      <c r="K268" s="6">
        <v>5775400</v>
      </c>
      <c r="L268" s="7"/>
    </row>
    <row r="269" spans="1:12" x14ac:dyDescent="0.25">
      <c r="A269" t="s">
        <v>255</v>
      </c>
      <c r="B269" s="5">
        <v>611600</v>
      </c>
      <c r="C269" t="s">
        <v>45</v>
      </c>
      <c r="D269" s="1" t="str">
        <f>"61181"</f>
        <v>61181</v>
      </c>
      <c r="E269" t="s">
        <v>15</v>
      </c>
      <c r="F269" t="s">
        <v>256</v>
      </c>
      <c r="G269" s="1" t="str">
        <f>"001"</f>
        <v>001</v>
      </c>
      <c r="H269" s="1">
        <v>2009</v>
      </c>
      <c r="I269" s="6">
        <v>8400</v>
      </c>
      <c r="J269" s="6">
        <v>5600</v>
      </c>
      <c r="K269" s="6">
        <v>2800</v>
      </c>
      <c r="L269" s="7"/>
    </row>
    <row r="270" spans="1:12" x14ac:dyDescent="0.25">
      <c r="A270" t="s">
        <v>257</v>
      </c>
      <c r="B270" s="5">
        <v>171645</v>
      </c>
      <c r="C270" t="s">
        <v>83</v>
      </c>
      <c r="D270" s="1" t="str">
        <f>"17121"</f>
        <v>17121</v>
      </c>
      <c r="E270" t="s">
        <v>15</v>
      </c>
      <c r="F270" t="s">
        <v>258</v>
      </c>
      <c r="G270" s="1" t="str">
        <f>"001"</f>
        <v>001</v>
      </c>
      <c r="H270" s="1">
        <v>2007</v>
      </c>
      <c r="I270" s="6">
        <v>4083700</v>
      </c>
      <c r="J270" s="6">
        <v>2499700</v>
      </c>
      <c r="K270" s="6">
        <v>1584000</v>
      </c>
      <c r="L270" s="7"/>
    </row>
    <row r="271" spans="1:12" x14ac:dyDescent="0.25">
      <c r="A271" t="s">
        <v>259</v>
      </c>
      <c r="B271" s="5">
        <v>591631</v>
      </c>
      <c r="C271" t="s">
        <v>159</v>
      </c>
      <c r="D271" s="1" t="str">
        <f>"59121"</f>
        <v>59121</v>
      </c>
      <c r="E271" t="s">
        <v>15</v>
      </c>
      <c r="F271" t="s">
        <v>260</v>
      </c>
      <c r="G271" s="1" t="str">
        <f>"002"</f>
        <v>002</v>
      </c>
      <c r="H271" s="1">
        <v>2013</v>
      </c>
      <c r="I271" s="6">
        <v>28386300</v>
      </c>
      <c r="J271" s="6">
        <v>11635700</v>
      </c>
      <c r="K271" s="6">
        <v>16750600</v>
      </c>
      <c r="L271" s="7"/>
    </row>
    <row r="272" spans="1:12" x14ac:dyDescent="0.25">
      <c r="A272" t="s">
        <v>259</v>
      </c>
      <c r="B272" s="5">
        <v>591631</v>
      </c>
      <c r="C272" t="s">
        <v>159</v>
      </c>
      <c r="D272" s="1" t="str">
        <f>"59121"</f>
        <v>59121</v>
      </c>
      <c r="E272" t="s">
        <v>15</v>
      </c>
      <c r="F272" t="s">
        <v>260</v>
      </c>
      <c r="G272" s="1" t="str">
        <f>"003"</f>
        <v>003</v>
      </c>
      <c r="H272" s="1">
        <v>2013</v>
      </c>
      <c r="I272" s="6">
        <v>7636400</v>
      </c>
      <c r="J272" s="6">
        <v>1850100</v>
      </c>
      <c r="K272" s="6">
        <v>5786300</v>
      </c>
      <c r="L272" s="7"/>
    </row>
    <row r="273" spans="1:12" x14ac:dyDescent="0.25">
      <c r="A273" t="s">
        <v>259</v>
      </c>
      <c r="B273" s="5">
        <v>591631</v>
      </c>
      <c r="C273" t="s">
        <v>159</v>
      </c>
      <c r="D273" s="1" t="str">
        <f>"59121"</f>
        <v>59121</v>
      </c>
      <c r="E273" t="s">
        <v>15</v>
      </c>
      <c r="F273" t="s">
        <v>260</v>
      </c>
      <c r="G273" s="1" t="str">
        <f>"004"</f>
        <v>004</v>
      </c>
      <c r="H273" s="1">
        <v>2015</v>
      </c>
      <c r="I273" s="6">
        <v>11433600</v>
      </c>
      <c r="J273" s="6">
        <v>711400</v>
      </c>
      <c r="K273" s="6">
        <v>10722200</v>
      </c>
      <c r="L273" s="7"/>
    </row>
    <row r="274" spans="1:12" x14ac:dyDescent="0.25">
      <c r="A274" t="s">
        <v>259</v>
      </c>
      <c r="B274" s="5">
        <v>591631</v>
      </c>
      <c r="C274" t="s">
        <v>159</v>
      </c>
      <c r="D274" s="1" t="str">
        <f>"59131"</f>
        <v>59131</v>
      </c>
      <c r="E274" t="s">
        <v>15</v>
      </c>
      <c r="F274" t="s">
        <v>261</v>
      </c>
      <c r="G274" s="1" t="str">
        <f>"001"</f>
        <v>001</v>
      </c>
      <c r="H274" s="1">
        <v>2005</v>
      </c>
      <c r="I274" s="6">
        <v>3780700</v>
      </c>
      <c r="J274" s="6">
        <v>1862900</v>
      </c>
      <c r="K274" s="6">
        <v>1917800</v>
      </c>
      <c r="L274" s="7"/>
    </row>
    <row r="275" spans="1:12" x14ac:dyDescent="0.25">
      <c r="A275" t="s">
        <v>262</v>
      </c>
      <c r="B275" s="5">
        <v>641638</v>
      </c>
      <c r="C275" t="s">
        <v>140</v>
      </c>
      <c r="D275" s="1" t="str">
        <f>"64221"</f>
        <v>64221</v>
      </c>
      <c r="E275" t="s">
        <v>10</v>
      </c>
      <c r="F275" t="s">
        <v>263</v>
      </c>
      <c r="G275" s="1" t="str">
        <f>"004"</f>
        <v>004</v>
      </c>
      <c r="H275" s="1">
        <v>2017</v>
      </c>
      <c r="I275" s="6">
        <v>6261700</v>
      </c>
      <c r="J275" s="6">
        <v>3533700</v>
      </c>
      <c r="K275" s="6">
        <v>2728000</v>
      </c>
      <c r="L275" s="7"/>
    </row>
    <row r="276" spans="1:12" x14ac:dyDescent="0.25">
      <c r="A276" t="s">
        <v>264</v>
      </c>
      <c r="B276" s="5">
        <v>471659</v>
      </c>
      <c r="C276" t="s">
        <v>265</v>
      </c>
      <c r="D276" s="1" t="str">
        <f t="shared" ref="D276:D281" si="5">"47121"</f>
        <v>47121</v>
      </c>
      <c r="E276" t="s">
        <v>15</v>
      </c>
      <c r="F276" t="s">
        <v>266</v>
      </c>
      <c r="G276" s="1" t="str">
        <f>"004"</f>
        <v>004</v>
      </c>
      <c r="H276" s="1">
        <v>1996</v>
      </c>
      <c r="I276" s="6">
        <v>686500</v>
      </c>
      <c r="J276" s="6">
        <v>54600</v>
      </c>
      <c r="K276" s="6">
        <v>631900</v>
      </c>
      <c r="L276" s="7"/>
    </row>
    <row r="277" spans="1:12" x14ac:dyDescent="0.25">
      <c r="A277" t="s">
        <v>264</v>
      </c>
      <c r="B277" s="5">
        <v>471659</v>
      </c>
      <c r="C277" t="s">
        <v>265</v>
      </c>
      <c r="D277" s="1" t="str">
        <f t="shared" si="5"/>
        <v>47121</v>
      </c>
      <c r="E277" t="s">
        <v>15</v>
      </c>
      <c r="F277" t="s">
        <v>266</v>
      </c>
      <c r="G277" s="1" t="str">
        <f>"007"</f>
        <v>007</v>
      </c>
      <c r="H277" s="1">
        <v>2006</v>
      </c>
      <c r="I277" s="6">
        <v>8163000</v>
      </c>
      <c r="J277" s="6">
        <v>223300</v>
      </c>
      <c r="K277" s="6">
        <v>7939700</v>
      </c>
      <c r="L277" s="7"/>
    </row>
    <row r="278" spans="1:12" x14ac:dyDescent="0.25">
      <c r="A278" t="s">
        <v>264</v>
      </c>
      <c r="B278" s="5">
        <v>471659</v>
      </c>
      <c r="C278" t="s">
        <v>265</v>
      </c>
      <c r="D278" s="1" t="str">
        <f t="shared" si="5"/>
        <v>47121</v>
      </c>
      <c r="E278" t="s">
        <v>15</v>
      </c>
      <c r="F278" t="s">
        <v>266</v>
      </c>
      <c r="G278" s="1" t="str">
        <f>"008"</f>
        <v>008</v>
      </c>
      <c r="H278" s="1">
        <v>2010</v>
      </c>
      <c r="I278" s="6">
        <v>8305600</v>
      </c>
      <c r="J278" s="6">
        <v>3773700</v>
      </c>
      <c r="K278" s="6">
        <v>4531900</v>
      </c>
      <c r="L278" s="7"/>
    </row>
    <row r="279" spans="1:12" x14ac:dyDescent="0.25">
      <c r="A279" t="s">
        <v>264</v>
      </c>
      <c r="B279" s="5">
        <v>471659</v>
      </c>
      <c r="C279" t="s">
        <v>265</v>
      </c>
      <c r="D279" s="1" t="str">
        <f t="shared" si="5"/>
        <v>47121</v>
      </c>
      <c r="E279" t="s">
        <v>15</v>
      </c>
      <c r="F279" t="s">
        <v>266</v>
      </c>
      <c r="G279" s="1" t="str">
        <f>"009"</f>
        <v>009</v>
      </c>
      <c r="H279" s="1">
        <v>2011</v>
      </c>
      <c r="I279" s="6">
        <v>3472700</v>
      </c>
      <c r="J279" s="6">
        <v>510400</v>
      </c>
      <c r="K279" s="6">
        <v>2962300</v>
      </c>
      <c r="L279" s="7"/>
    </row>
    <row r="280" spans="1:12" x14ac:dyDescent="0.25">
      <c r="A280" t="s">
        <v>264</v>
      </c>
      <c r="B280" s="5">
        <v>471659</v>
      </c>
      <c r="C280" t="s">
        <v>265</v>
      </c>
      <c r="D280" s="1" t="str">
        <f t="shared" si="5"/>
        <v>47121</v>
      </c>
      <c r="E280" t="s">
        <v>15</v>
      </c>
      <c r="F280" t="s">
        <v>266</v>
      </c>
      <c r="G280" s="1" t="str">
        <f>"010"</f>
        <v>010</v>
      </c>
      <c r="H280" s="1">
        <v>2012</v>
      </c>
      <c r="I280" s="6">
        <v>1605200</v>
      </c>
      <c r="J280" s="6">
        <v>827300</v>
      </c>
      <c r="K280" s="6">
        <v>777900</v>
      </c>
      <c r="L280" s="7"/>
    </row>
    <row r="281" spans="1:12" x14ac:dyDescent="0.25">
      <c r="A281" t="s">
        <v>264</v>
      </c>
      <c r="B281" s="5">
        <v>471659</v>
      </c>
      <c r="C281" t="s">
        <v>265</v>
      </c>
      <c r="D281" s="1" t="str">
        <f t="shared" si="5"/>
        <v>47121</v>
      </c>
      <c r="E281" t="s">
        <v>15</v>
      </c>
      <c r="F281" t="s">
        <v>266</v>
      </c>
      <c r="G281" s="1" t="str">
        <f>"011"</f>
        <v>011</v>
      </c>
      <c r="H281" s="1">
        <v>2013</v>
      </c>
      <c r="I281" s="6">
        <v>1602100</v>
      </c>
      <c r="J281" s="6">
        <v>1308200</v>
      </c>
      <c r="K281" s="6">
        <v>293900</v>
      </c>
      <c r="L281" s="7"/>
    </row>
    <row r="282" spans="1:12" x14ac:dyDescent="0.25">
      <c r="A282" t="s">
        <v>267</v>
      </c>
      <c r="B282" s="5">
        <v>670714</v>
      </c>
      <c r="C282" t="s">
        <v>268</v>
      </c>
      <c r="D282" s="1" t="str">
        <f>"67206"</f>
        <v>67206</v>
      </c>
      <c r="E282" t="s">
        <v>10</v>
      </c>
      <c r="F282" t="s">
        <v>269</v>
      </c>
      <c r="G282" s="1" t="str">
        <f>"004"</f>
        <v>004</v>
      </c>
      <c r="H282" s="1">
        <v>2015</v>
      </c>
      <c r="I282" s="6">
        <v>1958500</v>
      </c>
      <c r="J282" s="6">
        <v>158800</v>
      </c>
      <c r="K282" s="6">
        <v>1799700</v>
      </c>
      <c r="L282" s="7"/>
    </row>
    <row r="283" spans="1:12" x14ac:dyDescent="0.25">
      <c r="A283" t="s">
        <v>267</v>
      </c>
      <c r="B283" s="5">
        <v>670714</v>
      </c>
      <c r="C283" t="s">
        <v>268</v>
      </c>
      <c r="D283" s="1" t="str">
        <f>"67206"</f>
        <v>67206</v>
      </c>
      <c r="E283" t="s">
        <v>10</v>
      </c>
      <c r="F283" t="s">
        <v>269</v>
      </c>
      <c r="G283" s="1" t="str">
        <f>"005"</f>
        <v>005</v>
      </c>
      <c r="H283" s="1">
        <v>2015</v>
      </c>
      <c r="I283" s="6">
        <v>67208800</v>
      </c>
      <c r="J283" s="6">
        <v>1407000</v>
      </c>
      <c r="K283" s="6">
        <v>65801800</v>
      </c>
      <c r="L283" s="7"/>
    </row>
    <row r="284" spans="1:12" x14ac:dyDescent="0.25">
      <c r="A284" t="s">
        <v>267</v>
      </c>
      <c r="B284" s="5">
        <v>670714</v>
      </c>
      <c r="C284" t="s">
        <v>268</v>
      </c>
      <c r="D284" s="1" t="str">
        <f>"67206"</f>
        <v>67206</v>
      </c>
      <c r="E284" t="s">
        <v>10</v>
      </c>
      <c r="F284" t="s">
        <v>269</v>
      </c>
      <c r="G284" s="1" t="str">
        <f>"006"</f>
        <v>006</v>
      </c>
      <c r="H284" s="1">
        <v>2016</v>
      </c>
      <c r="I284" s="6">
        <v>43020700</v>
      </c>
      <c r="J284" s="6">
        <v>15792400</v>
      </c>
      <c r="K284" s="6">
        <v>27228300</v>
      </c>
      <c r="L284" s="7"/>
    </row>
    <row r="285" spans="1:12" x14ac:dyDescent="0.25">
      <c r="A285" t="s">
        <v>267</v>
      </c>
      <c r="B285" s="5">
        <v>670714</v>
      </c>
      <c r="C285" t="s">
        <v>268</v>
      </c>
      <c r="D285" s="1" t="str">
        <f>"67206"</f>
        <v>67206</v>
      </c>
      <c r="E285" t="s">
        <v>10</v>
      </c>
      <c r="F285" t="s">
        <v>269</v>
      </c>
      <c r="G285" s="1" t="str">
        <f>"007"</f>
        <v>007</v>
      </c>
      <c r="H285" s="1">
        <v>2018</v>
      </c>
      <c r="I285" s="6">
        <v>2986300</v>
      </c>
      <c r="J285" s="6">
        <v>660600</v>
      </c>
      <c r="K285" s="6">
        <v>2325700</v>
      </c>
      <c r="L285" s="7"/>
    </row>
    <row r="286" spans="1:12" x14ac:dyDescent="0.25">
      <c r="A286" t="s">
        <v>267</v>
      </c>
      <c r="B286" s="5">
        <v>670714</v>
      </c>
      <c r="C286" t="s">
        <v>268</v>
      </c>
      <c r="D286" s="1" t="str">
        <f>"67206"</f>
        <v>67206</v>
      </c>
      <c r="E286" t="s">
        <v>10</v>
      </c>
      <c r="F286" t="s">
        <v>269</v>
      </c>
      <c r="G286" s="1" t="str">
        <f>"008"</f>
        <v>008</v>
      </c>
      <c r="H286" s="1">
        <v>2018</v>
      </c>
      <c r="I286" s="6">
        <v>32795600</v>
      </c>
      <c r="J286" s="6">
        <v>26528200</v>
      </c>
      <c r="K286" s="6">
        <v>6267400</v>
      </c>
      <c r="L286" s="7"/>
    </row>
    <row r="287" spans="1:12" x14ac:dyDescent="0.25">
      <c r="A287" t="s">
        <v>267</v>
      </c>
      <c r="B287" s="5">
        <v>670714</v>
      </c>
      <c r="C287" t="s">
        <v>268</v>
      </c>
      <c r="D287" s="1" t="str">
        <f>"67122"</f>
        <v>67122</v>
      </c>
      <c r="E287" t="s">
        <v>15</v>
      </c>
      <c r="F287" t="s">
        <v>270</v>
      </c>
      <c r="G287" s="1" t="str">
        <f>"002"</f>
        <v>002</v>
      </c>
      <c r="H287" s="1">
        <v>2004</v>
      </c>
      <c r="I287" s="6">
        <v>69074800</v>
      </c>
      <c r="J287" s="6">
        <v>33435800</v>
      </c>
      <c r="K287" s="6">
        <v>35639000</v>
      </c>
      <c r="L287" s="7"/>
    </row>
    <row r="288" spans="1:12" x14ac:dyDescent="0.25">
      <c r="A288" t="s">
        <v>271</v>
      </c>
      <c r="B288" s="5">
        <v>471666</v>
      </c>
      <c r="C288" t="s">
        <v>265</v>
      </c>
      <c r="D288" s="1" t="str">
        <f>"47122"</f>
        <v>47122</v>
      </c>
      <c r="E288" t="s">
        <v>15</v>
      </c>
      <c r="F288" t="s">
        <v>272</v>
      </c>
      <c r="G288" s="1" t="str">
        <f>"003"</f>
        <v>003</v>
      </c>
      <c r="H288" s="1">
        <v>2002</v>
      </c>
      <c r="I288" s="6">
        <v>2469500</v>
      </c>
      <c r="J288" s="6">
        <v>752300</v>
      </c>
      <c r="K288" s="6">
        <v>1717200</v>
      </c>
      <c r="L288" s="7"/>
    </row>
    <row r="289" spans="1:12" x14ac:dyDescent="0.25">
      <c r="A289" t="s">
        <v>271</v>
      </c>
      <c r="B289" s="5">
        <v>471666</v>
      </c>
      <c r="C289" t="s">
        <v>265</v>
      </c>
      <c r="D289" s="1" t="str">
        <f>"47122"</f>
        <v>47122</v>
      </c>
      <c r="E289" t="s">
        <v>15</v>
      </c>
      <c r="F289" t="s">
        <v>272</v>
      </c>
      <c r="G289" s="1" t="str">
        <f>"004"</f>
        <v>004</v>
      </c>
      <c r="H289" s="1">
        <v>2009</v>
      </c>
      <c r="I289" s="6">
        <v>4392200</v>
      </c>
      <c r="J289" s="6">
        <v>3547400</v>
      </c>
      <c r="K289" s="6">
        <v>844800</v>
      </c>
      <c r="L289" s="7"/>
    </row>
    <row r="290" spans="1:12" x14ac:dyDescent="0.25">
      <c r="A290" t="s">
        <v>271</v>
      </c>
      <c r="B290" s="5">
        <v>471666</v>
      </c>
      <c r="C290" t="s">
        <v>265</v>
      </c>
      <c r="D290" s="1" t="str">
        <f>"47122"</f>
        <v>47122</v>
      </c>
      <c r="E290" t="s">
        <v>15</v>
      </c>
      <c r="F290" t="s">
        <v>272</v>
      </c>
      <c r="G290" s="1" t="str">
        <f>"005"</f>
        <v>005</v>
      </c>
      <c r="H290" s="1">
        <v>2007</v>
      </c>
      <c r="I290" s="6">
        <v>2225500</v>
      </c>
      <c r="J290" s="6">
        <v>373300</v>
      </c>
      <c r="K290" s="6">
        <v>1852200</v>
      </c>
      <c r="L290" s="7"/>
    </row>
    <row r="291" spans="1:12" x14ac:dyDescent="0.25">
      <c r="A291" t="s">
        <v>273</v>
      </c>
      <c r="B291" s="5">
        <v>531694</v>
      </c>
      <c r="C291" t="s">
        <v>95</v>
      </c>
      <c r="D291" s="1" t="str">
        <f>"53222"</f>
        <v>53222</v>
      </c>
      <c r="E291" t="s">
        <v>10</v>
      </c>
      <c r="F291" t="s">
        <v>274</v>
      </c>
      <c r="G291" s="1" t="str">
        <f>"005"</f>
        <v>005</v>
      </c>
      <c r="H291" s="1">
        <v>2004</v>
      </c>
      <c r="I291" s="6">
        <v>20871900</v>
      </c>
      <c r="J291" s="6">
        <v>11299100</v>
      </c>
      <c r="K291" s="6">
        <v>9572800</v>
      </c>
      <c r="L291" s="7"/>
    </row>
    <row r="292" spans="1:12" x14ac:dyDescent="0.25">
      <c r="A292" t="s">
        <v>273</v>
      </c>
      <c r="B292" s="5">
        <v>531694</v>
      </c>
      <c r="C292" t="s">
        <v>95</v>
      </c>
      <c r="D292" s="1" t="str">
        <f>"53222"</f>
        <v>53222</v>
      </c>
      <c r="E292" t="s">
        <v>10</v>
      </c>
      <c r="F292" t="s">
        <v>274</v>
      </c>
      <c r="G292" s="1" t="str">
        <f>"006"</f>
        <v>006</v>
      </c>
      <c r="H292" s="1">
        <v>2006</v>
      </c>
      <c r="I292" s="6">
        <v>6393700</v>
      </c>
      <c r="J292" s="6">
        <v>1927800</v>
      </c>
      <c r="K292" s="6">
        <v>4465900</v>
      </c>
      <c r="L292" s="7"/>
    </row>
    <row r="293" spans="1:12" x14ac:dyDescent="0.25">
      <c r="A293" t="s">
        <v>273</v>
      </c>
      <c r="B293" s="5">
        <v>531694</v>
      </c>
      <c r="C293" t="s">
        <v>95</v>
      </c>
      <c r="D293" s="1" t="str">
        <f>"53222"</f>
        <v>53222</v>
      </c>
      <c r="E293" t="s">
        <v>10</v>
      </c>
      <c r="F293" t="s">
        <v>274</v>
      </c>
      <c r="G293" s="1" t="str">
        <f>"007"</f>
        <v>007</v>
      </c>
      <c r="H293" s="1">
        <v>2007</v>
      </c>
      <c r="I293" s="6">
        <v>7532700</v>
      </c>
      <c r="J293" s="6">
        <v>6101700</v>
      </c>
      <c r="K293" s="6">
        <v>1431000</v>
      </c>
      <c r="L293" s="7"/>
    </row>
    <row r="294" spans="1:12" x14ac:dyDescent="0.25">
      <c r="A294" t="s">
        <v>273</v>
      </c>
      <c r="B294" s="5">
        <v>531694</v>
      </c>
      <c r="C294" t="s">
        <v>95</v>
      </c>
      <c r="D294" s="1" t="str">
        <f>"53222"</f>
        <v>53222</v>
      </c>
      <c r="E294" t="s">
        <v>10</v>
      </c>
      <c r="F294" t="s">
        <v>274</v>
      </c>
      <c r="G294" s="1" t="str">
        <f>"008"</f>
        <v>008</v>
      </c>
      <c r="H294" s="1">
        <v>2008</v>
      </c>
      <c r="I294" s="6">
        <v>4858800</v>
      </c>
      <c r="J294" s="6">
        <v>2695300</v>
      </c>
      <c r="K294" s="6">
        <v>2163500</v>
      </c>
      <c r="L294" s="7"/>
    </row>
    <row r="295" spans="1:12" x14ac:dyDescent="0.25">
      <c r="A295" t="s">
        <v>273</v>
      </c>
      <c r="B295" s="5">
        <v>531694</v>
      </c>
      <c r="C295" t="s">
        <v>95</v>
      </c>
      <c r="D295" s="1" t="str">
        <f>"53222"</f>
        <v>53222</v>
      </c>
      <c r="E295" t="s">
        <v>10</v>
      </c>
      <c r="F295" t="s">
        <v>274</v>
      </c>
      <c r="G295" s="1" t="str">
        <f>"009"</f>
        <v>009</v>
      </c>
      <c r="H295" s="1">
        <v>2018</v>
      </c>
      <c r="I295" s="6">
        <v>291100</v>
      </c>
      <c r="J295" s="6">
        <v>500</v>
      </c>
      <c r="K295" s="6">
        <v>290600</v>
      </c>
      <c r="L295" s="7"/>
    </row>
    <row r="296" spans="1:12" x14ac:dyDescent="0.25">
      <c r="A296" t="s">
        <v>275</v>
      </c>
      <c r="B296" s="5">
        <v>181729</v>
      </c>
      <c r="C296" t="s">
        <v>29</v>
      </c>
      <c r="D296" s="1" t="str">
        <f>"18201"</f>
        <v>18201</v>
      </c>
      <c r="E296" t="s">
        <v>10</v>
      </c>
      <c r="F296" t="s">
        <v>30</v>
      </c>
      <c r="G296" s="1" t="str">
        <f>"004"</f>
        <v>004</v>
      </c>
      <c r="H296" s="1">
        <v>2008</v>
      </c>
      <c r="I296" s="6">
        <v>94900</v>
      </c>
      <c r="J296" s="6">
        <v>26300</v>
      </c>
      <c r="K296" s="6">
        <v>68600</v>
      </c>
      <c r="L296" s="7"/>
    </row>
    <row r="297" spans="1:12" x14ac:dyDescent="0.25">
      <c r="A297" t="s">
        <v>275</v>
      </c>
      <c r="B297" s="5">
        <v>181729</v>
      </c>
      <c r="C297" t="s">
        <v>29</v>
      </c>
      <c r="D297" s="1" t="str">
        <f>"18127"</f>
        <v>18127</v>
      </c>
      <c r="E297" t="s">
        <v>15</v>
      </c>
      <c r="F297" t="s">
        <v>276</v>
      </c>
      <c r="G297" s="1" t="str">
        <f>"001"</f>
        <v>001</v>
      </c>
      <c r="H297" s="1">
        <v>2000</v>
      </c>
      <c r="I297" s="6">
        <v>1502900</v>
      </c>
      <c r="J297" s="6">
        <v>72800</v>
      </c>
      <c r="K297" s="6">
        <v>1430100</v>
      </c>
      <c r="L297" s="7"/>
    </row>
    <row r="298" spans="1:12" x14ac:dyDescent="0.25">
      <c r="A298" t="s">
        <v>275</v>
      </c>
      <c r="B298" s="5">
        <v>181729</v>
      </c>
      <c r="C298" t="s">
        <v>29</v>
      </c>
      <c r="D298" s="1" t="str">
        <f>"18127"</f>
        <v>18127</v>
      </c>
      <c r="E298" t="s">
        <v>15</v>
      </c>
      <c r="F298" t="s">
        <v>276</v>
      </c>
      <c r="G298" s="1" t="str">
        <f>"002"</f>
        <v>002</v>
      </c>
      <c r="H298" s="1">
        <v>2013</v>
      </c>
      <c r="I298" s="6">
        <v>7395100</v>
      </c>
      <c r="J298" s="6">
        <v>1613300</v>
      </c>
      <c r="K298" s="6">
        <v>5781800</v>
      </c>
      <c r="L298" s="7"/>
    </row>
    <row r="299" spans="1:12" x14ac:dyDescent="0.25">
      <c r="A299" t="s">
        <v>277</v>
      </c>
      <c r="B299" s="5">
        <v>221813</v>
      </c>
      <c r="C299" t="s">
        <v>120</v>
      </c>
      <c r="D299" s="1" t="str">
        <f>"22226"</f>
        <v>22226</v>
      </c>
      <c r="E299" t="s">
        <v>10</v>
      </c>
      <c r="F299" t="s">
        <v>278</v>
      </c>
      <c r="G299" s="1" t="str">
        <f>"004"</f>
        <v>004</v>
      </c>
      <c r="H299" s="1">
        <v>2002</v>
      </c>
      <c r="I299" s="6">
        <v>973700</v>
      </c>
      <c r="J299" s="6">
        <v>32200</v>
      </c>
      <c r="K299" s="6">
        <v>941500</v>
      </c>
      <c r="L299" s="7"/>
    </row>
    <row r="300" spans="1:12" x14ac:dyDescent="0.25">
      <c r="A300" t="s">
        <v>277</v>
      </c>
      <c r="B300" s="5">
        <v>221813</v>
      </c>
      <c r="C300" t="s">
        <v>120</v>
      </c>
      <c r="D300" s="1" t="str">
        <f>"22226"</f>
        <v>22226</v>
      </c>
      <c r="E300" t="s">
        <v>10</v>
      </c>
      <c r="F300" t="s">
        <v>278</v>
      </c>
      <c r="G300" s="1" t="str">
        <f>"005"</f>
        <v>005</v>
      </c>
      <c r="H300" s="1">
        <v>2005</v>
      </c>
      <c r="I300" s="6">
        <v>7851800</v>
      </c>
      <c r="J300" s="6">
        <v>6958900</v>
      </c>
      <c r="K300" s="6">
        <v>892900</v>
      </c>
      <c r="L300" s="7"/>
    </row>
    <row r="301" spans="1:12" x14ac:dyDescent="0.25">
      <c r="A301" t="s">
        <v>277</v>
      </c>
      <c r="B301" s="5">
        <v>221813</v>
      </c>
      <c r="C301" t="s">
        <v>120</v>
      </c>
      <c r="D301" s="1" t="str">
        <f>"22226"</f>
        <v>22226</v>
      </c>
      <c r="E301" t="s">
        <v>10</v>
      </c>
      <c r="F301" t="s">
        <v>278</v>
      </c>
      <c r="G301" s="1" t="str">
        <f>"006"</f>
        <v>006</v>
      </c>
      <c r="H301" s="1">
        <v>2017</v>
      </c>
      <c r="I301" s="6">
        <v>4674800</v>
      </c>
      <c r="J301" s="6">
        <v>1370000</v>
      </c>
      <c r="K301" s="6">
        <v>3304800</v>
      </c>
      <c r="L301" s="7"/>
    </row>
    <row r="302" spans="1:12" x14ac:dyDescent="0.25">
      <c r="A302" t="s">
        <v>279</v>
      </c>
      <c r="B302" s="5">
        <v>545757</v>
      </c>
      <c r="C302" t="s">
        <v>137</v>
      </c>
      <c r="D302" s="1" t="str">
        <f>"54136"</f>
        <v>54136</v>
      </c>
      <c r="E302" t="s">
        <v>15</v>
      </c>
      <c r="F302" t="s">
        <v>280</v>
      </c>
      <c r="G302" s="1" t="str">
        <f>"002"</f>
        <v>002</v>
      </c>
      <c r="H302" s="1">
        <v>2005</v>
      </c>
      <c r="I302" s="6">
        <v>0</v>
      </c>
      <c r="J302" s="6">
        <v>59400</v>
      </c>
      <c r="K302" s="6">
        <v>-59400</v>
      </c>
      <c r="L302" s="7"/>
    </row>
    <row r="303" spans="1:12" x14ac:dyDescent="0.25">
      <c r="A303" t="s">
        <v>279</v>
      </c>
      <c r="B303" s="5">
        <v>545757</v>
      </c>
      <c r="C303" t="s">
        <v>137</v>
      </c>
      <c r="D303" s="1" t="str">
        <f>"54136"</f>
        <v>54136</v>
      </c>
      <c r="E303" t="s">
        <v>15</v>
      </c>
      <c r="F303" t="s">
        <v>280</v>
      </c>
      <c r="G303" s="1" t="str">
        <f>"003"</f>
        <v>003</v>
      </c>
      <c r="H303" s="1">
        <v>2010</v>
      </c>
      <c r="I303" s="6">
        <v>652700</v>
      </c>
      <c r="J303" s="6">
        <v>96600</v>
      </c>
      <c r="K303" s="6">
        <v>556100</v>
      </c>
      <c r="L303" s="7"/>
    </row>
    <row r="304" spans="1:12" x14ac:dyDescent="0.25">
      <c r="A304" t="s">
        <v>281</v>
      </c>
      <c r="B304" s="5">
        <v>191855</v>
      </c>
      <c r="C304" t="s">
        <v>282</v>
      </c>
      <c r="D304" s="1" t="str">
        <f>"19010"</f>
        <v>19010</v>
      </c>
      <c r="E304" t="s">
        <v>17</v>
      </c>
      <c r="F304" t="s">
        <v>282</v>
      </c>
      <c r="G304" s="1" t="str">
        <f>"001R"</f>
        <v>001R</v>
      </c>
      <c r="H304" s="1">
        <v>2013</v>
      </c>
      <c r="I304" s="6">
        <v>14368400</v>
      </c>
      <c r="J304" s="6">
        <v>11400400</v>
      </c>
      <c r="K304" s="6">
        <v>2968000</v>
      </c>
      <c r="L304" s="7"/>
    </row>
    <row r="305" spans="1:12" x14ac:dyDescent="0.25">
      <c r="A305" t="s">
        <v>283</v>
      </c>
      <c r="B305" s="5">
        <v>201862</v>
      </c>
      <c r="C305" t="s">
        <v>152</v>
      </c>
      <c r="D305" s="1" t="str">
        <f t="shared" ref="D305:D318" si="6">"20226"</f>
        <v>20226</v>
      </c>
      <c r="E305" t="s">
        <v>10</v>
      </c>
      <c r="F305" t="s">
        <v>152</v>
      </c>
      <c r="G305" s="1" t="str">
        <f>"010"</f>
        <v>010</v>
      </c>
      <c r="H305" s="1">
        <v>2004</v>
      </c>
      <c r="I305" s="6">
        <v>69663100</v>
      </c>
      <c r="J305" s="6">
        <v>2030600</v>
      </c>
      <c r="K305" s="6">
        <v>67632500</v>
      </c>
      <c r="L305" s="7"/>
    </row>
    <row r="306" spans="1:12" x14ac:dyDescent="0.25">
      <c r="A306" t="s">
        <v>283</v>
      </c>
      <c r="B306" s="5">
        <v>201862</v>
      </c>
      <c r="C306" t="s">
        <v>152</v>
      </c>
      <c r="D306" s="1" t="str">
        <f t="shared" si="6"/>
        <v>20226</v>
      </c>
      <c r="E306" t="s">
        <v>10</v>
      </c>
      <c r="F306" t="s">
        <v>152</v>
      </c>
      <c r="G306" s="1" t="str">
        <f>"012"</f>
        <v>012</v>
      </c>
      <c r="H306" s="1">
        <v>2008</v>
      </c>
      <c r="I306" s="6">
        <v>2385400</v>
      </c>
      <c r="J306" s="6">
        <v>0</v>
      </c>
      <c r="K306" s="6">
        <v>2385400</v>
      </c>
      <c r="L306" s="7"/>
    </row>
    <row r="307" spans="1:12" x14ac:dyDescent="0.25">
      <c r="A307" t="s">
        <v>283</v>
      </c>
      <c r="B307" s="5">
        <v>201862</v>
      </c>
      <c r="C307" t="s">
        <v>152</v>
      </c>
      <c r="D307" s="1" t="str">
        <f t="shared" si="6"/>
        <v>20226</v>
      </c>
      <c r="E307" t="s">
        <v>10</v>
      </c>
      <c r="F307" t="s">
        <v>152</v>
      </c>
      <c r="G307" s="1" t="str">
        <f>"013"</f>
        <v>013</v>
      </c>
      <c r="H307" s="1">
        <v>2010</v>
      </c>
      <c r="I307" s="6">
        <v>6501900</v>
      </c>
      <c r="J307" s="6">
        <v>2732500</v>
      </c>
      <c r="K307" s="6">
        <v>3769400</v>
      </c>
      <c r="L307" s="7"/>
    </row>
    <row r="308" spans="1:12" x14ac:dyDescent="0.25">
      <c r="A308" t="s">
        <v>283</v>
      </c>
      <c r="B308" s="5">
        <v>201862</v>
      </c>
      <c r="C308" t="s">
        <v>152</v>
      </c>
      <c r="D308" s="1" t="str">
        <f t="shared" si="6"/>
        <v>20226</v>
      </c>
      <c r="E308" t="s">
        <v>10</v>
      </c>
      <c r="F308" t="s">
        <v>152</v>
      </c>
      <c r="G308" s="1" t="str">
        <f>"014"</f>
        <v>014</v>
      </c>
      <c r="H308" s="1">
        <v>2011</v>
      </c>
      <c r="I308" s="6">
        <v>7359400</v>
      </c>
      <c r="J308" s="6">
        <v>529000</v>
      </c>
      <c r="K308" s="6">
        <v>6830400</v>
      </c>
      <c r="L308" s="7"/>
    </row>
    <row r="309" spans="1:12" x14ac:dyDescent="0.25">
      <c r="A309" t="s">
        <v>283</v>
      </c>
      <c r="B309" s="5">
        <v>201862</v>
      </c>
      <c r="C309" t="s">
        <v>152</v>
      </c>
      <c r="D309" s="1" t="str">
        <f t="shared" si="6"/>
        <v>20226</v>
      </c>
      <c r="E309" t="s">
        <v>10</v>
      </c>
      <c r="F309" t="s">
        <v>152</v>
      </c>
      <c r="G309" s="1" t="str">
        <f>"015"</f>
        <v>015</v>
      </c>
      <c r="H309" s="1">
        <v>2011</v>
      </c>
      <c r="I309" s="6">
        <v>844600</v>
      </c>
      <c r="J309" s="6">
        <v>196200</v>
      </c>
      <c r="K309" s="6">
        <v>648400</v>
      </c>
      <c r="L309" s="7"/>
    </row>
    <row r="310" spans="1:12" x14ac:dyDescent="0.25">
      <c r="A310" t="s">
        <v>283</v>
      </c>
      <c r="B310" s="5">
        <v>201862</v>
      </c>
      <c r="C310" t="s">
        <v>152</v>
      </c>
      <c r="D310" s="1" t="str">
        <f t="shared" si="6"/>
        <v>20226</v>
      </c>
      <c r="E310" t="s">
        <v>10</v>
      </c>
      <c r="F310" t="s">
        <v>152</v>
      </c>
      <c r="G310" s="1" t="str">
        <f>"016"</f>
        <v>016</v>
      </c>
      <c r="H310" s="1">
        <v>2012</v>
      </c>
      <c r="I310" s="6">
        <v>1816800</v>
      </c>
      <c r="J310" s="6">
        <v>293600</v>
      </c>
      <c r="K310" s="6">
        <v>1523200</v>
      </c>
      <c r="L310" s="7"/>
    </row>
    <row r="311" spans="1:12" x14ac:dyDescent="0.25">
      <c r="A311" t="s">
        <v>283</v>
      </c>
      <c r="B311" s="5">
        <v>201862</v>
      </c>
      <c r="C311" t="s">
        <v>152</v>
      </c>
      <c r="D311" s="1" t="str">
        <f t="shared" si="6"/>
        <v>20226</v>
      </c>
      <c r="E311" t="s">
        <v>10</v>
      </c>
      <c r="F311" t="s">
        <v>152</v>
      </c>
      <c r="G311" s="1" t="str">
        <f>"017"</f>
        <v>017</v>
      </c>
      <c r="H311" s="1">
        <v>2012</v>
      </c>
      <c r="I311" s="6">
        <v>6226600</v>
      </c>
      <c r="J311" s="6">
        <v>1385700</v>
      </c>
      <c r="K311" s="6">
        <v>4840900</v>
      </c>
      <c r="L311" s="7"/>
    </row>
    <row r="312" spans="1:12" x14ac:dyDescent="0.25">
      <c r="A312" t="s">
        <v>283</v>
      </c>
      <c r="B312" s="5">
        <v>201862</v>
      </c>
      <c r="C312" t="s">
        <v>152</v>
      </c>
      <c r="D312" s="1" t="str">
        <f t="shared" si="6"/>
        <v>20226</v>
      </c>
      <c r="E312" t="s">
        <v>10</v>
      </c>
      <c r="F312" t="s">
        <v>152</v>
      </c>
      <c r="G312" s="1" t="str">
        <f>"018"</f>
        <v>018</v>
      </c>
      <c r="H312" s="1">
        <v>2014</v>
      </c>
      <c r="I312" s="6">
        <v>12324900</v>
      </c>
      <c r="J312" s="6">
        <v>3789200</v>
      </c>
      <c r="K312" s="6">
        <v>8535700</v>
      </c>
      <c r="L312" s="7"/>
    </row>
    <row r="313" spans="1:12" x14ac:dyDescent="0.25">
      <c r="A313" t="s">
        <v>283</v>
      </c>
      <c r="B313" s="5">
        <v>201862</v>
      </c>
      <c r="C313" t="s">
        <v>152</v>
      </c>
      <c r="D313" s="1" t="str">
        <f t="shared" si="6"/>
        <v>20226</v>
      </c>
      <c r="E313" t="s">
        <v>10</v>
      </c>
      <c r="F313" t="s">
        <v>152</v>
      </c>
      <c r="G313" s="1" t="str">
        <f>"019"</f>
        <v>019</v>
      </c>
      <c r="H313" s="1">
        <v>2015</v>
      </c>
      <c r="I313" s="6">
        <v>1598500</v>
      </c>
      <c r="J313" s="6">
        <v>759800</v>
      </c>
      <c r="K313" s="6">
        <v>838700</v>
      </c>
      <c r="L313" s="7"/>
    </row>
    <row r="314" spans="1:12" x14ac:dyDescent="0.25">
      <c r="A314" t="s">
        <v>283</v>
      </c>
      <c r="B314" s="5">
        <v>201862</v>
      </c>
      <c r="C314" t="s">
        <v>152</v>
      </c>
      <c r="D314" s="1" t="str">
        <f t="shared" si="6"/>
        <v>20226</v>
      </c>
      <c r="E314" t="s">
        <v>10</v>
      </c>
      <c r="F314" t="s">
        <v>152</v>
      </c>
      <c r="G314" s="1" t="str">
        <f>"020"</f>
        <v>020</v>
      </c>
      <c r="H314" s="1">
        <v>2017</v>
      </c>
      <c r="I314" s="6">
        <v>866500</v>
      </c>
      <c r="J314" s="6">
        <v>0</v>
      </c>
      <c r="K314" s="6">
        <v>866500</v>
      </c>
      <c r="L314" s="7"/>
    </row>
    <row r="315" spans="1:12" x14ac:dyDescent="0.25">
      <c r="A315" t="s">
        <v>283</v>
      </c>
      <c r="B315" s="5">
        <v>201862</v>
      </c>
      <c r="C315" t="s">
        <v>152</v>
      </c>
      <c r="D315" s="1" t="str">
        <f t="shared" si="6"/>
        <v>20226</v>
      </c>
      <c r="E315" t="s">
        <v>10</v>
      </c>
      <c r="F315" t="s">
        <v>152</v>
      </c>
      <c r="G315" s="1" t="str">
        <f>"021"</f>
        <v>021</v>
      </c>
      <c r="H315" s="1">
        <v>2017</v>
      </c>
      <c r="I315" s="6">
        <v>1581600</v>
      </c>
      <c r="J315" s="6">
        <v>2156400</v>
      </c>
      <c r="K315" s="6">
        <v>-574800</v>
      </c>
      <c r="L315" s="7"/>
    </row>
    <row r="316" spans="1:12" x14ac:dyDescent="0.25">
      <c r="A316" t="s">
        <v>283</v>
      </c>
      <c r="B316" s="5">
        <v>201862</v>
      </c>
      <c r="C316" t="s">
        <v>152</v>
      </c>
      <c r="D316" s="1" t="str">
        <f t="shared" si="6"/>
        <v>20226</v>
      </c>
      <c r="E316" t="s">
        <v>10</v>
      </c>
      <c r="F316" t="s">
        <v>152</v>
      </c>
      <c r="G316" s="1" t="str">
        <f>"022"</f>
        <v>022</v>
      </c>
      <c r="H316" s="1">
        <v>2017</v>
      </c>
      <c r="I316" s="6">
        <v>3875400</v>
      </c>
      <c r="J316" s="6">
        <v>1517700</v>
      </c>
      <c r="K316" s="6">
        <v>2357700</v>
      </c>
      <c r="L316" s="7"/>
    </row>
    <row r="317" spans="1:12" x14ac:dyDescent="0.25">
      <c r="A317" t="s">
        <v>283</v>
      </c>
      <c r="B317" s="5">
        <v>201862</v>
      </c>
      <c r="C317" t="s">
        <v>152</v>
      </c>
      <c r="D317" s="1" t="str">
        <f t="shared" si="6"/>
        <v>20226</v>
      </c>
      <c r="E317" t="s">
        <v>10</v>
      </c>
      <c r="F317" t="s">
        <v>152</v>
      </c>
      <c r="G317" s="1" t="str">
        <f>"023"</f>
        <v>023</v>
      </c>
      <c r="H317" s="1">
        <v>2018</v>
      </c>
      <c r="I317" s="6">
        <v>5970900</v>
      </c>
      <c r="J317" s="6">
        <v>5248100</v>
      </c>
      <c r="K317" s="6">
        <v>722800</v>
      </c>
      <c r="L317" s="7"/>
    </row>
    <row r="318" spans="1:12" x14ac:dyDescent="0.25">
      <c r="A318" t="s">
        <v>283</v>
      </c>
      <c r="B318" s="5">
        <v>201862</v>
      </c>
      <c r="C318" t="s">
        <v>152</v>
      </c>
      <c r="D318" s="1" t="str">
        <f t="shared" si="6"/>
        <v>20226</v>
      </c>
      <c r="E318" t="s">
        <v>10</v>
      </c>
      <c r="F318" t="s">
        <v>152</v>
      </c>
      <c r="G318" s="1" t="str">
        <f>"024"</f>
        <v>024</v>
      </c>
      <c r="H318" s="1">
        <v>2018</v>
      </c>
      <c r="I318" s="6">
        <v>5684000</v>
      </c>
      <c r="J318" s="6">
        <v>411500</v>
      </c>
      <c r="K318" s="6">
        <v>5272500</v>
      </c>
      <c r="L318" s="7"/>
    </row>
    <row r="319" spans="1:12" x14ac:dyDescent="0.25">
      <c r="A319" t="s">
        <v>284</v>
      </c>
      <c r="B319" s="5">
        <v>641870</v>
      </c>
      <c r="C319" t="s">
        <v>140</v>
      </c>
      <c r="D319" s="1" t="str">
        <f>"64126"</f>
        <v>64126</v>
      </c>
      <c r="E319" t="s">
        <v>15</v>
      </c>
      <c r="F319" t="s">
        <v>285</v>
      </c>
      <c r="G319" s="1" t="str">
        <f>"001"</f>
        <v>001</v>
      </c>
      <c r="H319" s="1">
        <v>2001</v>
      </c>
      <c r="I319" s="6">
        <v>107212100</v>
      </c>
      <c r="J319" s="6">
        <v>30220400</v>
      </c>
      <c r="K319" s="6">
        <v>76991700</v>
      </c>
      <c r="L319" s="7"/>
    </row>
    <row r="320" spans="1:12" x14ac:dyDescent="0.25">
      <c r="A320" t="s">
        <v>286</v>
      </c>
      <c r="B320" s="5">
        <v>281883</v>
      </c>
      <c r="C320" t="s">
        <v>287</v>
      </c>
      <c r="D320" s="1" t="str">
        <f>"28226"</f>
        <v>28226</v>
      </c>
      <c r="E320" t="s">
        <v>10</v>
      </c>
      <c r="F320" t="s">
        <v>288</v>
      </c>
      <c r="G320" s="1" t="str">
        <f>"006"</f>
        <v>006</v>
      </c>
      <c r="H320" s="1">
        <v>2000</v>
      </c>
      <c r="I320" s="6">
        <v>6780500</v>
      </c>
      <c r="J320" s="6">
        <v>1135400</v>
      </c>
      <c r="K320" s="6">
        <v>5645100</v>
      </c>
      <c r="L320" s="7"/>
    </row>
    <row r="321" spans="1:12" x14ac:dyDescent="0.25">
      <c r="A321" t="s">
        <v>286</v>
      </c>
      <c r="B321" s="5">
        <v>281883</v>
      </c>
      <c r="C321" t="s">
        <v>287</v>
      </c>
      <c r="D321" s="1" t="str">
        <f>"28226"</f>
        <v>28226</v>
      </c>
      <c r="E321" t="s">
        <v>10</v>
      </c>
      <c r="F321" t="s">
        <v>288</v>
      </c>
      <c r="G321" s="1" t="str">
        <f>"007"</f>
        <v>007</v>
      </c>
      <c r="H321" s="1">
        <v>2000</v>
      </c>
      <c r="I321" s="6">
        <v>29044000</v>
      </c>
      <c r="J321" s="6">
        <v>11587900</v>
      </c>
      <c r="K321" s="6">
        <v>17456100</v>
      </c>
      <c r="L321" s="7"/>
    </row>
    <row r="322" spans="1:12" x14ac:dyDescent="0.25">
      <c r="A322" t="s">
        <v>286</v>
      </c>
      <c r="B322" s="5">
        <v>281883</v>
      </c>
      <c r="C322" t="s">
        <v>287</v>
      </c>
      <c r="D322" s="1" t="str">
        <f>"28226"</f>
        <v>28226</v>
      </c>
      <c r="E322" t="s">
        <v>10</v>
      </c>
      <c r="F322" t="s">
        <v>288</v>
      </c>
      <c r="G322" s="1" t="str">
        <f>"008"</f>
        <v>008</v>
      </c>
      <c r="H322" s="1">
        <v>2009</v>
      </c>
      <c r="I322" s="6">
        <v>55421600</v>
      </c>
      <c r="J322" s="6">
        <v>28584200</v>
      </c>
      <c r="K322" s="6">
        <v>26837400</v>
      </c>
      <c r="L322" s="7"/>
    </row>
    <row r="323" spans="1:12" x14ac:dyDescent="0.25">
      <c r="A323" t="s">
        <v>289</v>
      </c>
      <c r="B323" s="5">
        <v>401900</v>
      </c>
      <c r="C323" t="s">
        <v>134</v>
      </c>
      <c r="D323" s="1" t="str">
        <f>"40226"</f>
        <v>40226</v>
      </c>
      <c r="E323" t="s">
        <v>10</v>
      </c>
      <c r="F323" t="s">
        <v>290</v>
      </c>
      <c r="G323" s="1" t="str">
        <f>"005"</f>
        <v>005</v>
      </c>
      <c r="H323" s="1">
        <v>2016</v>
      </c>
      <c r="I323" s="6">
        <v>33903100</v>
      </c>
      <c r="J323" s="6">
        <v>3043900</v>
      </c>
      <c r="K323" s="6">
        <v>30859200</v>
      </c>
      <c r="L323" s="7"/>
    </row>
    <row r="324" spans="1:12" x14ac:dyDescent="0.25">
      <c r="A324" t="s">
        <v>291</v>
      </c>
      <c r="B324" s="5">
        <v>481939</v>
      </c>
      <c r="C324" t="s">
        <v>32</v>
      </c>
      <c r="D324" s="1" t="str">
        <f>"48126"</f>
        <v>48126</v>
      </c>
      <c r="E324" t="s">
        <v>15</v>
      </c>
      <c r="F324" t="s">
        <v>292</v>
      </c>
      <c r="G324" s="1" t="str">
        <f>"003"</f>
        <v>003</v>
      </c>
      <c r="H324" s="1">
        <v>2007</v>
      </c>
      <c r="I324" s="6">
        <v>5735200</v>
      </c>
      <c r="J324" s="6">
        <v>1755300</v>
      </c>
      <c r="K324" s="6">
        <v>3979900</v>
      </c>
      <c r="L324" s="7"/>
    </row>
    <row r="325" spans="1:12" x14ac:dyDescent="0.25">
      <c r="A325" t="s">
        <v>293</v>
      </c>
      <c r="B325" s="5">
        <v>441953</v>
      </c>
      <c r="C325" t="s">
        <v>40</v>
      </c>
      <c r="D325" s="1" t="str">
        <f>"44018"</f>
        <v>44018</v>
      </c>
      <c r="E325" t="s">
        <v>17</v>
      </c>
      <c r="F325" t="s">
        <v>294</v>
      </c>
      <c r="G325" s="1" t="str">
        <f>"001A"</f>
        <v>001A</v>
      </c>
      <c r="H325" s="1">
        <v>2016</v>
      </c>
      <c r="I325" s="6">
        <v>3234700</v>
      </c>
      <c r="J325" s="6">
        <v>1993600</v>
      </c>
      <c r="K325" s="6">
        <v>1241100</v>
      </c>
      <c r="L325" s="7"/>
    </row>
    <row r="326" spans="1:12" x14ac:dyDescent="0.25">
      <c r="A326" t="s">
        <v>293</v>
      </c>
      <c r="B326" s="5">
        <v>441953</v>
      </c>
      <c r="C326" t="s">
        <v>40</v>
      </c>
      <c r="D326" s="1" t="str">
        <f>"44018"</f>
        <v>44018</v>
      </c>
      <c r="E326" t="s">
        <v>17</v>
      </c>
      <c r="F326" t="s">
        <v>294</v>
      </c>
      <c r="G326" s="1" t="str">
        <f>"002A"</f>
        <v>002A</v>
      </c>
      <c r="H326" s="1">
        <v>2017</v>
      </c>
      <c r="I326" s="6">
        <v>12729900</v>
      </c>
      <c r="J326" s="6">
        <v>11728400</v>
      </c>
      <c r="K326" s="6">
        <v>1001500</v>
      </c>
      <c r="L326" s="7"/>
    </row>
    <row r="327" spans="1:12" x14ac:dyDescent="0.25">
      <c r="A327" t="s">
        <v>295</v>
      </c>
      <c r="B327" s="5">
        <v>612009</v>
      </c>
      <c r="C327" t="s">
        <v>45</v>
      </c>
      <c r="D327" s="1" t="str">
        <f>"61231"</f>
        <v>61231</v>
      </c>
      <c r="E327" t="s">
        <v>10</v>
      </c>
      <c r="F327" t="s">
        <v>296</v>
      </c>
      <c r="G327" s="1" t="str">
        <f>"002"</f>
        <v>002</v>
      </c>
      <c r="H327" s="1">
        <v>2001</v>
      </c>
      <c r="I327" s="6">
        <v>10095300</v>
      </c>
      <c r="J327" s="6">
        <v>1038600</v>
      </c>
      <c r="K327" s="6">
        <v>9056700</v>
      </c>
      <c r="L327" s="7"/>
    </row>
    <row r="328" spans="1:12" x14ac:dyDescent="0.25">
      <c r="A328" t="s">
        <v>295</v>
      </c>
      <c r="B328" s="5">
        <v>612009</v>
      </c>
      <c r="C328" t="s">
        <v>45</v>
      </c>
      <c r="D328" s="1" t="str">
        <f>"61186"</f>
        <v>61186</v>
      </c>
      <c r="E328" t="s">
        <v>15</v>
      </c>
      <c r="F328" t="s">
        <v>45</v>
      </c>
      <c r="G328" s="1" t="str">
        <f>"001"</f>
        <v>001</v>
      </c>
      <c r="H328" s="1">
        <v>1997</v>
      </c>
      <c r="I328" s="6">
        <v>4951000</v>
      </c>
      <c r="J328" s="6">
        <v>2003400</v>
      </c>
      <c r="K328" s="6">
        <v>2947600</v>
      </c>
      <c r="L328" s="7"/>
    </row>
    <row r="329" spans="1:12" x14ac:dyDescent="0.25">
      <c r="A329" t="s">
        <v>297</v>
      </c>
      <c r="B329" s="5">
        <v>662058</v>
      </c>
      <c r="C329" t="s">
        <v>298</v>
      </c>
      <c r="D329" s="1" t="str">
        <f>"66131"</f>
        <v>66131</v>
      </c>
      <c r="E329" t="s">
        <v>15</v>
      </c>
      <c r="F329" t="s">
        <v>299</v>
      </c>
      <c r="G329" s="1" t="str">
        <f>"006"</f>
        <v>006</v>
      </c>
      <c r="H329" s="1">
        <v>2014</v>
      </c>
      <c r="I329" s="6">
        <v>22690500</v>
      </c>
      <c r="J329" s="6">
        <v>2796400</v>
      </c>
      <c r="K329" s="6">
        <v>19894100</v>
      </c>
      <c r="L329" s="7"/>
    </row>
    <row r="330" spans="1:12" x14ac:dyDescent="0.25">
      <c r="A330" t="s">
        <v>297</v>
      </c>
      <c r="B330" s="5">
        <v>662058</v>
      </c>
      <c r="C330" t="s">
        <v>298</v>
      </c>
      <c r="D330" s="1" t="str">
        <f>"66131"</f>
        <v>66131</v>
      </c>
      <c r="E330" t="s">
        <v>15</v>
      </c>
      <c r="F330" t="s">
        <v>299</v>
      </c>
      <c r="G330" s="1" t="str">
        <f>"007"</f>
        <v>007</v>
      </c>
      <c r="H330" s="1">
        <v>2018</v>
      </c>
      <c r="I330" s="6">
        <v>11696600</v>
      </c>
      <c r="J330" s="6">
        <v>9329900</v>
      </c>
      <c r="K330" s="6">
        <v>2366700</v>
      </c>
      <c r="L330" s="7"/>
    </row>
    <row r="331" spans="1:12" x14ac:dyDescent="0.25">
      <c r="A331" t="s">
        <v>297</v>
      </c>
      <c r="B331" s="5">
        <v>662058</v>
      </c>
      <c r="C331" t="s">
        <v>298</v>
      </c>
      <c r="D331" s="1" t="str">
        <f>"66131"</f>
        <v>66131</v>
      </c>
      <c r="E331" t="s">
        <v>15</v>
      </c>
      <c r="F331" t="s">
        <v>299</v>
      </c>
      <c r="G331" s="1" t="str">
        <f>"008"</f>
        <v>008</v>
      </c>
      <c r="H331" s="1">
        <v>2018</v>
      </c>
      <c r="I331" s="6">
        <v>14000000</v>
      </c>
      <c r="J331" s="6">
        <v>640700</v>
      </c>
      <c r="K331" s="6">
        <v>13359300</v>
      </c>
      <c r="L331" s="7"/>
    </row>
    <row r="332" spans="1:12" x14ac:dyDescent="0.25">
      <c r="A332" t="s">
        <v>300</v>
      </c>
      <c r="B332" s="5">
        <v>152114</v>
      </c>
      <c r="C332" t="s">
        <v>301</v>
      </c>
      <c r="D332" s="1" t="str">
        <f>"15181"</f>
        <v>15181</v>
      </c>
      <c r="E332" t="s">
        <v>15</v>
      </c>
      <c r="F332" t="s">
        <v>302</v>
      </c>
      <c r="G332" s="1" t="str">
        <f>"001"</f>
        <v>001</v>
      </c>
      <c r="H332" s="1">
        <v>2008</v>
      </c>
      <c r="I332" s="6">
        <v>61326100</v>
      </c>
      <c r="J332" s="6">
        <v>44718300</v>
      </c>
      <c r="K332" s="6">
        <v>16607800</v>
      </c>
      <c r="L332" s="7"/>
    </row>
    <row r="333" spans="1:12" x14ac:dyDescent="0.25">
      <c r="A333" t="s">
        <v>300</v>
      </c>
      <c r="B333" s="5">
        <v>152114</v>
      </c>
      <c r="C333" t="s">
        <v>301</v>
      </c>
      <c r="D333" s="1" t="str">
        <f>"15181"</f>
        <v>15181</v>
      </c>
      <c r="E333" t="s">
        <v>15</v>
      </c>
      <c r="F333" t="s">
        <v>302</v>
      </c>
      <c r="G333" s="1" t="str">
        <f>"002"</f>
        <v>002</v>
      </c>
      <c r="H333" s="1">
        <v>2018</v>
      </c>
      <c r="I333" s="6">
        <v>10004700</v>
      </c>
      <c r="J333" s="6">
        <v>9649500</v>
      </c>
      <c r="K333" s="6">
        <v>355200</v>
      </c>
      <c r="L333" s="7"/>
    </row>
    <row r="334" spans="1:12" x14ac:dyDescent="0.25">
      <c r="A334" t="s">
        <v>303</v>
      </c>
      <c r="B334" s="5">
        <v>422128</v>
      </c>
      <c r="C334" t="s">
        <v>304</v>
      </c>
      <c r="D334" s="1" t="str">
        <f>"42231"</f>
        <v>42231</v>
      </c>
      <c r="E334" t="s">
        <v>10</v>
      </c>
      <c r="F334" t="s">
        <v>305</v>
      </c>
      <c r="G334" s="1" t="str">
        <f>"002"</f>
        <v>002</v>
      </c>
      <c r="H334" s="1">
        <v>1993</v>
      </c>
      <c r="I334" s="6">
        <v>1360100</v>
      </c>
      <c r="J334" s="6">
        <v>47700</v>
      </c>
      <c r="K334" s="6">
        <v>1312400</v>
      </c>
      <c r="L334" s="7"/>
    </row>
    <row r="335" spans="1:12" x14ac:dyDescent="0.25">
      <c r="A335" t="s">
        <v>303</v>
      </c>
      <c r="B335" s="5">
        <v>422128</v>
      </c>
      <c r="C335" t="s">
        <v>304</v>
      </c>
      <c r="D335" s="1" t="str">
        <f>"42231"</f>
        <v>42231</v>
      </c>
      <c r="E335" t="s">
        <v>10</v>
      </c>
      <c r="F335" t="s">
        <v>305</v>
      </c>
      <c r="G335" s="1" t="str">
        <f>"003"</f>
        <v>003</v>
      </c>
      <c r="H335" s="1">
        <v>2000</v>
      </c>
      <c r="I335" s="6">
        <v>10460400</v>
      </c>
      <c r="J335" s="6">
        <v>7370500</v>
      </c>
      <c r="K335" s="6">
        <v>3089900</v>
      </c>
      <c r="L335" s="7"/>
    </row>
    <row r="336" spans="1:12" x14ac:dyDescent="0.25">
      <c r="A336" t="s">
        <v>306</v>
      </c>
      <c r="B336" s="5">
        <v>402184</v>
      </c>
      <c r="C336" t="s">
        <v>134</v>
      </c>
      <c r="D336" s="1" t="str">
        <f>"40231"</f>
        <v>40231</v>
      </c>
      <c r="E336" t="s">
        <v>10</v>
      </c>
      <c r="F336" t="s">
        <v>307</v>
      </c>
      <c r="G336" s="1" t="str">
        <f>"007"</f>
        <v>007</v>
      </c>
      <c r="H336" s="1">
        <v>1996</v>
      </c>
      <c r="I336" s="6">
        <v>91568500</v>
      </c>
      <c r="J336" s="6">
        <v>14036000</v>
      </c>
      <c r="K336" s="6">
        <v>77532500</v>
      </c>
      <c r="L336" s="7"/>
    </row>
    <row r="337" spans="1:12" x14ac:dyDescent="0.25">
      <c r="A337" t="s">
        <v>306</v>
      </c>
      <c r="B337" s="5">
        <v>402184</v>
      </c>
      <c r="C337" t="s">
        <v>134</v>
      </c>
      <c r="D337" s="1" t="str">
        <f>"40231"</f>
        <v>40231</v>
      </c>
      <c r="E337" t="s">
        <v>10</v>
      </c>
      <c r="F337" t="s">
        <v>307</v>
      </c>
      <c r="G337" s="1" t="str">
        <f>"008"</f>
        <v>008</v>
      </c>
      <c r="H337" s="1">
        <v>2002</v>
      </c>
      <c r="I337" s="6">
        <v>89502000</v>
      </c>
      <c r="J337" s="6">
        <v>73733700</v>
      </c>
      <c r="K337" s="6">
        <v>15768300</v>
      </c>
      <c r="L337" s="7"/>
    </row>
    <row r="338" spans="1:12" x14ac:dyDescent="0.25">
      <c r="A338" t="s">
        <v>308</v>
      </c>
      <c r="B338" s="5">
        <v>452217</v>
      </c>
      <c r="C338" t="s">
        <v>157</v>
      </c>
      <c r="D338" s="1" t="str">
        <f>"45131"</f>
        <v>45131</v>
      </c>
      <c r="E338" t="s">
        <v>15</v>
      </c>
      <c r="F338" t="s">
        <v>309</v>
      </c>
      <c r="G338" s="1" t="str">
        <f>"002"</f>
        <v>002</v>
      </c>
      <c r="H338" s="1">
        <v>1996</v>
      </c>
      <c r="I338" s="6">
        <v>26531900</v>
      </c>
      <c r="J338" s="6">
        <v>929500</v>
      </c>
      <c r="K338" s="6">
        <v>25602400</v>
      </c>
      <c r="L338" s="7"/>
    </row>
    <row r="339" spans="1:12" x14ac:dyDescent="0.25">
      <c r="A339" t="s">
        <v>308</v>
      </c>
      <c r="B339" s="5">
        <v>452217</v>
      </c>
      <c r="C339" t="s">
        <v>157</v>
      </c>
      <c r="D339" s="1" t="str">
        <f>"45131"</f>
        <v>45131</v>
      </c>
      <c r="E339" t="s">
        <v>15</v>
      </c>
      <c r="F339" t="s">
        <v>309</v>
      </c>
      <c r="G339" s="1" t="str">
        <f>"003"</f>
        <v>003</v>
      </c>
      <c r="H339" s="1">
        <v>1999</v>
      </c>
      <c r="I339" s="6">
        <v>74689400</v>
      </c>
      <c r="J339" s="6">
        <v>21039900</v>
      </c>
      <c r="K339" s="6">
        <v>53649500</v>
      </c>
      <c r="L339" s="7"/>
    </row>
    <row r="340" spans="1:12" x14ac:dyDescent="0.25">
      <c r="A340" t="s">
        <v>308</v>
      </c>
      <c r="B340" s="5">
        <v>452217</v>
      </c>
      <c r="C340" t="s">
        <v>157</v>
      </c>
      <c r="D340" s="1" t="str">
        <f>"45131"</f>
        <v>45131</v>
      </c>
      <c r="E340" t="s">
        <v>15</v>
      </c>
      <c r="F340" t="s">
        <v>309</v>
      </c>
      <c r="G340" s="1" t="str">
        <f>"004"</f>
        <v>004</v>
      </c>
      <c r="H340" s="1">
        <v>2004</v>
      </c>
      <c r="I340" s="6">
        <v>94898700</v>
      </c>
      <c r="J340" s="6">
        <v>47847400</v>
      </c>
      <c r="K340" s="6">
        <v>47051300</v>
      </c>
      <c r="L340" s="7"/>
    </row>
    <row r="341" spans="1:12" x14ac:dyDescent="0.25">
      <c r="A341" t="s">
        <v>308</v>
      </c>
      <c r="B341" s="5">
        <v>452217</v>
      </c>
      <c r="C341" t="s">
        <v>157</v>
      </c>
      <c r="D341" s="1" t="str">
        <f>"45131"</f>
        <v>45131</v>
      </c>
      <c r="E341" t="s">
        <v>15</v>
      </c>
      <c r="F341" t="s">
        <v>309</v>
      </c>
      <c r="G341" s="1" t="str">
        <f>"005"</f>
        <v>005</v>
      </c>
      <c r="H341" s="1">
        <v>2006</v>
      </c>
      <c r="I341" s="6">
        <v>48343200</v>
      </c>
      <c r="J341" s="6">
        <v>493500</v>
      </c>
      <c r="K341" s="6">
        <v>47849700</v>
      </c>
      <c r="L341" s="7"/>
    </row>
    <row r="342" spans="1:12" x14ac:dyDescent="0.25">
      <c r="A342" t="s">
        <v>310</v>
      </c>
      <c r="B342" s="5">
        <v>102226</v>
      </c>
      <c r="C342" t="s">
        <v>9</v>
      </c>
      <c r="D342" s="1" t="str">
        <f>"10131"</f>
        <v>10131</v>
      </c>
      <c r="E342" t="s">
        <v>15</v>
      </c>
      <c r="F342" t="s">
        <v>311</v>
      </c>
      <c r="G342" s="1" t="str">
        <f>"001"</f>
        <v>001</v>
      </c>
      <c r="H342" s="1">
        <v>2009</v>
      </c>
      <c r="I342" s="6">
        <v>1988900</v>
      </c>
      <c r="J342" s="6">
        <v>1363000</v>
      </c>
      <c r="K342" s="6">
        <v>625900</v>
      </c>
      <c r="L342" s="7"/>
    </row>
    <row r="343" spans="1:12" x14ac:dyDescent="0.25">
      <c r="A343" t="s">
        <v>312</v>
      </c>
      <c r="B343" s="5">
        <v>72233</v>
      </c>
      <c r="C343" t="s">
        <v>313</v>
      </c>
      <c r="D343" s="1" t="str">
        <f>"07131"</f>
        <v>07131</v>
      </c>
      <c r="E343" t="s">
        <v>15</v>
      </c>
      <c r="F343" t="s">
        <v>314</v>
      </c>
      <c r="G343" s="1" t="str">
        <f>"003"</f>
        <v>003</v>
      </c>
      <c r="H343" s="1">
        <v>1994</v>
      </c>
      <c r="I343" s="6">
        <v>9283900</v>
      </c>
      <c r="J343" s="6">
        <v>1157300</v>
      </c>
      <c r="K343" s="6">
        <v>8126600</v>
      </c>
      <c r="L343" s="7"/>
    </row>
    <row r="344" spans="1:12" x14ac:dyDescent="0.25">
      <c r="A344" t="s">
        <v>312</v>
      </c>
      <c r="B344" s="5">
        <v>72233</v>
      </c>
      <c r="C344" t="s">
        <v>313</v>
      </c>
      <c r="D344" s="1" t="str">
        <f>"07131"</f>
        <v>07131</v>
      </c>
      <c r="E344" t="s">
        <v>15</v>
      </c>
      <c r="F344" t="s">
        <v>314</v>
      </c>
      <c r="G344" s="1" t="str">
        <f>"004"</f>
        <v>004</v>
      </c>
      <c r="H344" s="1">
        <v>2005</v>
      </c>
      <c r="I344" s="6">
        <v>4261100</v>
      </c>
      <c r="J344" s="6">
        <v>1091000</v>
      </c>
      <c r="K344" s="6">
        <v>3170100</v>
      </c>
      <c r="L344" s="7"/>
    </row>
    <row r="345" spans="1:12" x14ac:dyDescent="0.25">
      <c r="A345" t="s">
        <v>312</v>
      </c>
      <c r="B345" s="5">
        <v>72233</v>
      </c>
      <c r="C345" t="s">
        <v>313</v>
      </c>
      <c r="D345" s="1" t="str">
        <f>"07131"</f>
        <v>07131</v>
      </c>
      <c r="E345" t="s">
        <v>15</v>
      </c>
      <c r="F345" t="s">
        <v>314</v>
      </c>
      <c r="G345" s="1" t="str">
        <f>"005"</f>
        <v>005</v>
      </c>
      <c r="H345" s="1">
        <v>2008</v>
      </c>
      <c r="I345" s="6">
        <v>67800</v>
      </c>
      <c r="J345" s="6">
        <v>212600</v>
      </c>
      <c r="K345" s="6">
        <v>-144800</v>
      </c>
      <c r="L345" s="7"/>
    </row>
    <row r="346" spans="1:12" x14ac:dyDescent="0.25">
      <c r="A346" t="s">
        <v>315</v>
      </c>
      <c r="B346" s="5">
        <v>52289</v>
      </c>
      <c r="C346" t="s">
        <v>53</v>
      </c>
      <c r="D346" s="1" t="str">
        <f>"05102"</f>
        <v>05102</v>
      </c>
      <c r="E346" t="s">
        <v>15</v>
      </c>
      <c r="F346" t="s">
        <v>316</v>
      </c>
      <c r="G346" s="1" t="str">
        <f>"001"</f>
        <v>001</v>
      </c>
      <c r="H346" s="1">
        <v>2012</v>
      </c>
      <c r="I346" s="6">
        <v>117149400</v>
      </c>
      <c r="J346" s="6">
        <v>84407400</v>
      </c>
      <c r="K346" s="6">
        <v>32742000</v>
      </c>
      <c r="L346" s="7"/>
    </row>
    <row r="347" spans="1:12" x14ac:dyDescent="0.25">
      <c r="A347" t="s">
        <v>315</v>
      </c>
      <c r="B347" s="5">
        <v>52289</v>
      </c>
      <c r="C347" t="s">
        <v>53</v>
      </c>
      <c r="D347" s="1" t="str">
        <f>"05106"</f>
        <v>05106</v>
      </c>
      <c r="E347" t="s">
        <v>15</v>
      </c>
      <c r="F347" t="s">
        <v>317</v>
      </c>
      <c r="G347" s="1" t="str">
        <f>"001"</f>
        <v>001</v>
      </c>
      <c r="H347" s="1">
        <v>2013</v>
      </c>
      <c r="I347" s="6">
        <v>33790200</v>
      </c>
      <c r="J347" s="6">
        <v>7198700</v>
      </c>
      <c r="K347" s="6">
        <v>26591500</v>
      </c>
      <c r="L347" s="7"/>
    </row>
    <row r="348" spans="1:12" x14ac:dyDescent="0.25">
      <c r="A348" t="s">
        <v>315</v>
      </c>
      <c r="B348" s="5">
        <v>52289</v>
      </c>
      <c r="C348" t="s">
        <v>53</v>
      </c>
      <c r="D348" s="1" t="str">
        <f>"05106"</f>
        <v>05106</v>
      </c>
      <c r="E348" t="s">
        <v>15</v>
      </c>
      <c r="F348" t="s">
        <v>317</v>
      </c>
      <c r="G348" s="1" t="str">
        <f>"002"</f>
        <v>002</v>
      </c>
      <c r="H348" s="1">
        <v>2016</v>
      </c>
      <c r="I348" s="6">
        <v>9173400</v>
      </c>
      <c r="J348" s="6">
        <v>2391100</v>
      </c>
      <c r="K348" s="6">
        <v>6782300</v>
      </c>
      <c r="L348" s="7"/>
    </row>
    <row r="349" spans="1:12" x14ac:dyDescent="0.25">
      <c r="A349" t="s">
        <v>315</v>
      </c>
      <c r="B349" s="5">
        <v>52289</v>
      </c>
      <c r="C349" t="s">
        <v>53</v>
      </c>
      <c r="D349" s="1" t="str">
        <f t="shared" ref="D349:D363" si="7">"05231"</f>
        <v>05231</v>
      </c>
      <c r="E349" t="s">
        <v>10</v>
      </c>
      <c r="F349" t="s">
        <v>318</v>
      </c>
      <c r="G349" s="1" t="str">
        <f>"004"</f>
        <v>004</v>
      </c>
      <c r="H349" s="1">
        <v>1998</v>
      </c>
      <c r="I349" s="6">
        <v>49634500</v>
      </c>
      <c r="J349" s="6">
        <v>26954000</v>
      </c>
      <c r="K349" s="6">
        <v>22680500</v>
      </c>
      <c r="L349" s="7"/>
    </row>
    <row r="350" spans="1:12" x14ac:dyDescent="0.25">
      <c r="A350" t="s">
        <v>315</v>
      </c>
      <c r="B350" s="5">
        <v>52289</v>
      </c>
      <c r="C350" t="s">
        <v>53</v>
      </c>
      <c r="D350" s="1" t="str">
        <f t="shared" si="7"/>
        <v>05231</v>
      </c>
      <c r="E350" t="s">
        <v>10</v>
      </c>
      <c r="F350" t="s">
        <v>318</v>
      </c>
      <c r="G350" s="1" t="str">
        <f>"005"</f>
        <v>005</v>
      </c>
      <c r="H350" s="1">
        <v>2000</v>
      </c>
      <c r="I350" s="6">
        <v>139263100</v>
      </c>
      <c r="J350" s="6">
        <v>60076800</v>
      </c>
      <c r="K350" s="6">
        <v>79186300</v>
      </c>
      <c r="L350" s="7"/>
    </row>
    <row r="351" spans="1:12" x14ac:dyDescent="0.25">
      <c r="A351" t="s">
        <v>315</v>
      </c>
      <c r="B351" s="5">
        <v>52289</v>
      </c>
      <c r="C351" t="s">
        <v>53</v>
      </c>
      <c r="D351" s="1" t="str">
        <f t="shared" si="7"/>
        <v>05231</v>
      </c>
      <c r="E351" t="s">
        <v>10</v>
      </c>
      <c r="F351" t="s">
        <v>318</v>
      </c>
      <c r="G351" s="1" t="str">
        <f>"007"</f>
        <v>007</v>
      </c>
      <c r="H351" s="1">
        <v>2002</v>
      </c>
      <c r="I351" s="6">
        <v>47146300</v>
      </c>
      <c r="J351" s="6">
        <v>14369500</v>
      </c>
      <c r="K351" s="6">
        <v>32776800</v>
      </c>
      <c r="L351" s="7"/>
    </row>
    <row r="352" spans="1:12" x14ac:dyDescent="0.25">
      <c r="A352" t="s">
        <v>315</v>
      </c>
      <c r="B352" s="5">
        <v>52289</v>
      </c>
      <c r="C352" t="s">
        <v>53</v>
      </c>
      <c r="D352" s="1" t="str">
        <f t="shared" si="7"/>
        <v>05231</v>
      </c>
      <c r="E352" t="s">
        <v>10</v>
      </c>
      <c r="F352" t="s">
        <v>318</v>
      </c>
      <c r="G352" s="1" t="str">
        <f>"008"</f>
        <v>008</v>
      </c>
      <c r="H352" s="1">
        <v>2002</v>
      </c>
      <c r="I352" s="6">
        <v>19387600</v>
      </c>
      <c r="J352" s="6">
        <v>6338700</v>
      </c>
      <c r="K352" s="6">
        <v>13048900</v>
      </c>
      <c r="L352" s="7"/>
    </row>
    <row r="353" spans="1:12" x14ac:dyDescent="0.25">
      <c r="A353" t="s">
        <v>315</v>
      </c>
      <c r="B353" s="5">
        <v>52289</v>
      </c>
      <c r="C353" t="s">
        <v>53</v>
      </c>
      <c r="D353" s="1" t="str">
        <f t="shared" si="7"/>
        <v>05231</v>
      </c>
      <c r="E353" t="s">
        <v>10</v>
      </c>
      <c r="F353" t="s">
        <v>318</v>
      </c>
      <c r="G353" s="1" t="str">
        <f>"009"</f>
        <v>009</v>
      </c>
      <c r="H353" s="1">
        <v>2004</v>
      </c>
      <c r="I353" s="6">
        <v>11521600</v>
      </c>
      <c r="J353" s="6">
        <v>3792300</v>
      </c>
      <c r="K353" s="6">
        <v>7729300</v>
      </c>
      <c r="L353" s="7"/>
    </row>
    <row r="354" spans="1:12" x14ac:dyDescent="0.25">
      <c r="A354" t="s">
        <v>315</v>
      </c>
      <c r="B354" s="5">
        <v>52289</v>
      </c>
      <c r="C354" t="s">
        <v>53</v>
      </c>
      <c r="D354" s="1" t="str">
        <f t="shared" si="7"/>
        <v>05231</v>
      </c>
      <c r="E354" t="s">
        <v>10</v>
      </c>
      <c r="F354" t="s">
        <v>318</v>
      </c>
      <c r="G354" s="1" t="str">
        <f>"010"</f>
        <v>010</v>
      </c>
      <c r="H354" s="1">
        <v>2004</v>
      </c>
      <c r="I354" s="6">
        <v>33838300</v>
      </c>
      <c r="J354" s="6">
        <v>24402500</v>
      </c>
      <c r="K354" s="6">
        <v>9435800</v>
      </c>
      <c r="L354" s="7"/>
    </row>
    <row r="355" spans="1:12" x14ac:dyDescent="0.25">
      <c r="A355" t="s">
        <v>315</v>
      </c>
      <c r="B355" s="5">
        <v>52289</v>
      </c>
      <c r="C355" t="s">
        <v>53</v>
      </c>
      <c r="D355" s="1" t="str">
        <f t="shared" si="7"/>
        <v>05231</v>
      </c>
      <c r="E355" t="s">
        <v>10</v>
      </c>
      <c r="F355" t="s">
        <v>318</v>
      </c>
      <c r="G355" s="1" t="str">
        <f>"012"</f>
        <v>012</v>
      </c>
      <c r="H355" s="1">
        <v>2005</v>
      </c>
      <c r="I355" s="6">
        <v>286604600</v>
      </c>
      <c r="J355" s="6">
        <v>196591800</v>
      </c>
      <c r="K355" s="6">
        <v>90012800</v>
      </c>
      <c r="L355" s="7"/>
    </row>
    <row r="356" spans="1:12" x14ac:dyDescent="0.25">
      <c r="A356" t="s">
        <v>315</v>
      </c>
      <c r="B356" s="5">
        <v>52289</v>
      </c>
      <c r="C356" t="s">
        <v>53</v>
      </c>
      <c r="D356" s="1" t="str">
        <f t="shared" si="7"/>
        <v>05231</v>
      </c>
      <c r="E356" t="s">
        <v>10</v>
      </c>
      <c r="F356" t="s">
        <v>318</v>
      </c>
      <c r="G356" s="1" t="str">
        <f>"013"</f>
        <v>013</v>
      </c>
      <c r="H356" s="1">
        <v>2005</v>
      </c>
      <c r="I356" s="6">
        <v>149063200</v>
      </c>
      <c r="J356" s="6">
        <v>46360500</v>
      </c>
      <c r="K356" s="6">
        <v>102702700</v>
      </c>
      <c r="L356" s="7"/>
    </row>
    <row r="357" spans="1:12" x14ac:dyDescent="0.25">
      <c r="A357" t="s">
        <v>315</v>
      </c>
      <c r="B357" s="5">
        <v>52289</v>
      </c>
      <c r="C357" t="s">
        <v>53</v>
      </c>
      <c r="D357" s="1" t="str">
        <f t="shared" si="7"/>
        <v>05231</v>
      </c>
      <c r="E357" t="s">
        <v>10</v>
      </c>
      <c r="F357" t="s">
        <v>318</v>
      </c>
      <c r="G357" s="1" t="str">
        <f>"014"</f>
        <v>014</v>
      </c>
      <c r="H357" s="1">
        <v>2006</v>
      </c>
      <c r="I357" s="6">
        <v>21452700</v>
      </c>
      <c r="J357" s="6">
        <v>6102200</v>
      </c>
      <c r="K357" s="6">
        <v>15350500</v>
      </c>
      <c r="L357" s="7"/>
    </row>
    <row r="358" spans="1:12" x14ac:dyDescent="0.25">
      <c r="A358" t="s">
        <v>315</v>
      </c>
      <c r="B358" s="5">
        <v>52289</v>
      </c>
      <c r="C358" t="s">
        <v>53</v>
      </c>
      <c r="D358" s="1" t="str">
        <f t="shared" si="7"/>
        <v>05231</v>
      </c>
      <c r="E358" t="s">
        <v>10</v>
      </c>
      <c r="F358" t="s">
        <v>318</v>
      </c>
      <c r="G358" s="1" t="str">
        <f>"016"</f>
        <v>016</v>
      </c>
      <c r="H358" s="1">
        <v>2007</v>
      </c>
      <c r="I358" s="6">
        <v>98492500</v>
      </c>
      <c r="J358" s="6">
        <v>82363200</v>
      </c>
      <c r="K358" s="6">
        <v>16129300</v>
      </c>
      <c r="L358" s="7"/>
    </row>
    <row r="359" spans="1:12" x14ac:dyDescent="0.25">
      <c r="A359" t="s">
        <v>315</v>
      </c>
      <c r="B359" s="5">
        <v>52289</v>
      </c>
      <c r="C359" t="s">
        <v>53</v>
      </c>
      <c r="D359" s="1" t="str">
        <f t="shared" si="7"/>
        <v>05231</v>
      </c>
      <c r="E359" t="s">
        <v>10</v>
      </c>
      <c r="F359" t="s">
        <v>318</v>
      </c>
      <c r="G359" s="1" t="str">
        <f>"017"</f>
        <v>017</v>
      </c>
      <c r="H359" s="1">
        <v>2008</v>
      </c>
      <c r="I359" s="6">
        <v>494300</v>
      </c>
      <c r="J359" s="6">
        <v>183900</v>
      </c>
      <c r="K359" s="6">
        <v>310400</v>
      </c>
      <c r="L359" s="7"/>
    </row>
    <row r="360" spans="1:12" x14ac:dyDescent="0.25">
      <c r="A360" t="s">
        <v>315</v>
      </c>
      <c r="B360" s="5">
        <v>52289</v>
      </c>
      <c r="C360" t="s">
        <v>53</v>
      </c>
      <c r="D360" s="1" t="str">
        <f t="shared" si="7"/>
        <v>05231</v>
      </c>
      <c r="E360" t="s">
        <v>10</v>
      </c>
      <c r="F360" t="s">
        <v>318</v>
      </c>
      <c r="G360" s="1" t="str">
        <f>"018"</f>
        <v>018</v>
      </c>
      <c r="H360" s="1">
        <v>2016</v>
      </c>
      <c r="I360" s="6">
        <v>45292200</v>
      </c>
      <c r="J360" s="6">
        <v>29760700</v>
      </c>
      <c r="K360" s="6">
        <v>15531500</v>
      </c>
      <c r="L360" s="7"/>
    </row>
    <row r="361" spans="1:12" x14ac:dyDescent="0.25">
      <c r="A361" t="s">
        <v>315</v>
      </c>
      <c r="B361" s="5">
        <v>52289</v>
      </c>
      <c r="C361" t="s">
        <v>53</v>
      </c>
      <c r="D361" s="1" t="str">
        <f t="shared" si="7"/>
        <v>05231</v>
      </c>
      <c r="E361" t="s">
        <v>10</v>
      </c>
      <c r="F361" t="s">
        <v>318</v>
      </c>
      <c r="G361" s="1" t="str">
        <f>"019"</f>
        <v>019</v>
      </c>
      <c r="H361" s="1">
        <v>2017</v>
      </c>
      <c r="I361" s="6">
        <v>35915200</v>
      </c>
      <c r="J361" s="6">
        <v>27027500</v>
      </c>
      <c r="K361" s="6">
        <v>8887700</v>
      </c>
      <c r="L361" s="7"/>
    </row>
    <row r="362" spans="1:12" x14ac:dyDescent="0.25">
      <c r="A362" t="s">
        <v>315</v>
      </c>
      <c r="B362" s="5">
        <v>52289</v>
      </c>
      <c r="C362" t="s">
        <v>53</v>
      </c>
      <c r="D362" s="1" t="str">
        <f t="shared" si="7"/>
        <v>05231</v>
      </c>
      <c r="E362" t="s">
        <v>10</v>
      </c>
      <c r="F362" t="s">
        <v>318</v>
      </c>
      <c r="G362" s="1" t="str">
        <f>"020"</f>
        <v>020</v>
      </c>
      <c r="H362" s="1">
        <v>2018</v>
      </c>
      <c r="I362" s="6">
        <v>5579200</v>
      </c>
      <c r="J362" s="6">
        <v>5285100</v>
      </c>
      <c r="K362" s="6">
        <v>294100</v>
      </c>
      <c r="L362" s="7"/>
    </row>
    <row r="363" spans="1:12" x14ac:dyDescent="0.25">
      <c r="A363" t="s">
        <v>315</v>
      </c>
      <c r="B363" s="5">
        <v>52289</v>
      </c>
      <c r="C363" t="s">
        <v>53</v>
      </c>
      <c r="D363" s="1" t="str">
        <f t="shared" si="7"/>
        <v>05231</v>
      </c>
      <c r="E363" t="s">
        <v>10</v>
      </c>
      <c r="F363" t="s">
        <v>318</v>
      </c>
      <c r="G363" s="1" t="str">
        <f>"021"</f>
        <v>021</v>
      </c>
      <c r="H363" s="1">
        <v>2018</v>
      </c>
      <c r="I363" s="6">
        <v>26992800</v>
      </c>
      <c r="J363" s="6">
        <v>25446300</v>
      </c>
      <c r="K363" s="6">
        <v>1546500</v>
      </c>
      <c r="L363" s="7"/>
    </row>
    <row r="364" spans="1:12" x14ac:dyDescent="0.25">
      <c r="A364" t="s">
        <v>319</v>
      </c>
      <c r="B364" s="5">
        <v>242310</v>
      </c>
      <c r="C364" t="s">
        <v>99</v>
      </c>
      <c r="D364" s="1" t="str">
        <f>"24231"</f>
        <v>24231</v>
      </c>
      <c r="E364" t="s">
        <v>10</v>
      </c>
      <c r="F364" t="s">
        <v>99</v>
      </c>
      <c r="G364" s="1" t="str">
        <f>"003"</f>
        <v>003</v>
      </c>
      <c r="H364" s="1">
        <v>2005</v>
      </c>
      <c r="I364" s="6">
        <v>25342500</v>
      </c>
      <c r="J364" s="6">
        <v>8995800</v>
      </c>
      <c r="K364" s="6">
        <v>16346700</v>
      </c>
      <c r="L364" s="7"/>
    </row>
    <row r="365" spans="1:12" x14ac:dyDescent="0.25">
      <c r="A365" t="s">
        <v>319</v>
      </c>
      <c r="B365" s="5">
        <v>242310</v>
      </c>
      <c r="C365" t="s">
        <v>99</v>
      </c>
      <c r="D365" s="1" t="str">
        <f>"24231"</f>
        <v>24231</v>
      </c>
      <c r="E365" t="s">
        <v>10</v>
      </c>
      <c r="F365" t="s">
        <v>99</v>
      </c>
      <c r="G365" s="1" t="str">
        <f>"004"</f>
        <v>004</v>
      </c>
      <c r="H365" s="1">
        <v>2009</v>
      </c>
      <c r="I365" s="6">
        <v>167500</v>
      </c>
      <c r="J365" s="6">
        <v>237700</v>
      </c>
      <c r="K365" s="6">
        <v>-70200</v>
      </c>
      <c r="L365" s="7"/>
    </row>
    <row r="366" spans="1:12" x14ac:dyDescent="0.25">
      <c r="A366" t="s">
        <v>320</v>
      </c>
      <c r="B366" s="5">
        <v>402296</v>
      </c>
      <c r="C366" t="s">
        <v>134</v>
      </c>
      <c r="D366" s="1" t="str">
        <f>"40131"</f>
        <v>40131</v>
      </c>
      <c r="E366" t="s">
        <v>15</v>
      </c>
      <c r="F366" t="s">
        <v>321</v>
      </c>
      <c r="G366" s="1" t="str">
        <f>"001"</f>
        <v>001</v>
      </c>
      <c r="H366" s="1">
        <v>2010</v>
      </c>
      <c r="I366" s="6">
        <v>11686400</v>
      </c>
      <c r="J366" s="6">
        <v>623100</v>
      </c>
      <c r="K366" s="6">
        <v>11063300</v>
      </c>
      <c r="L366" s="7"/>
    </row>
    <row r="367" spans="1:12" x14ac:dyDescent="0.25">
      <c r="A367" t="s">
        <v>320</v>
      </c>
      <c r="B367" s="5">
        <v>402296</v>
      </c>
      <c r="C367" t="s">
        <v>134</v>
      </c>
      <c r="D367" s="1" t="str">
        <f>"40131"</f>
        <v>40131</v>
      </c>
      <c r="E367" t="s">
        <v>15</v>
      </c>
      <c r="F367" t="s">
        <v>321</v>
      </c>
      <c r="G367" s="1" t="str">
        <f>"002"</f>
        <v>002</v>
      </c>
      <c r="H367" s="1">
        <v>2011</v>
      </c>
      <c r="I367" s="6">
        <v>188290000</v>
      </c>
      <c r="J367" s="6">
        <v>105493100</v>
      </c>
      <c r="K367" s="6">
        <v>82796900</v>
      </c>
      <c r="L367" s="7"/>
    </row>
    <row r="368" spans="1:12" x14ac:dyDescent="0.25">
      <c r="A368" t="s">
        <v>320</v>
      </c>
      <c r="B368" s="5">
        <v>402296</v>
      </c>
      <c r="C368" t="s">
        <v>134</v>
      </c>
      <c r="D368" s="1" t="str">
        <f>"40131"</f>
        <v>40131</v>
      </c>
      <c r="E368" t="s">
        <v>15</v>
      </c>
      <c r="F368" t="s">
        <v>321</v>
      </c>
      <c r="G368" s="1" t="str">
        <f>"003"</f>
        <v>003</v>
      </c>
      <c r="H368" s="1">
        <v>2011</v>
      </c>
      <c r="I368" s="6">
        <v>17100000</v>
      </c>
      <c r="J368" s="6">
        <v>6500900</v>
      </c>
      <c r="K368" s="6">
        <v>10599100</v>
      </c>
      <c r="L368" s="7"/>
    </row>
    <row r="369" spans="1:12" x14ac:dyDescent="0.25">
      <c r="A369" t="s">
        <v>320</v>
      </c>
      <c r="B369" s="5">
        <v>402296</v>
      </c>
      <c r="C369" t="s">
        <v>134</v>
      </c>
      <c r="D369" s="1" t="str">
        <f>"40131"</f>
        <v>40131</v>
      </c>
      <c r="E369" t="s">
        <v>15</v>
      </c>
      <c r="F369" t="s">
        <v>321</v>
      </c>
      <c r="G369" s="1" t="str">
        <f>"004"</f>
        <v>004</v>
      </c>
      <c r="H369" s="1">
        <v>2016</v>
      </c>
      <c r="I369" s="6">
        <v>31323500</v>
      </c>
      <c r="J369" s="6">
        <v>7476800</v>
      </c>
      <c r="K369" s="6">
        <v>23846700</v>
      </c>
      <c r="L369" s="7"/>
    </row>
    <row r="370" spans="1:12" x14ac:dyDescent="0.25">
      <c r="A370" t="s">
        <v>320</v>
      </c>
      <c r="B370" s="5">
        <v>402296</v>
      </c>
      <c r="C370" t="s">
        <v>134</v>
      </c>
      <c r="D370" s="1" t="str">
        <f>"40131"</f>
        <v>40131</v>
      </c>
      <c r="E370" t="s">
        <v>15</v>
      </c>
      <c r="F370" t="s">
        <v>321</v>
      </c>
      <c r="G370" s="1" t="str">
        <f>"005"</f>
        <v>005</v>
      </c>
      <c r="H370" s="1">
        <v>2018</v>
      </c>
      <c r="I370" s="6">
        <v>12012100</v>
      </c>
      <c r="J370" s="6">
        <v>5149200</v>
      </c>
      <c r="K370" s="6">
        <v>6862900</v>
      </c>
      <c r="L370" s="7"/>
    </row>
    <row r="371" spans="1:12" x14ac:dyDescent="0.25">
      <c r="A371" t="s">
        <v>322</v>
      </c>
      <c r="B371" s="5">
        <v>402303</v>
      </c>
      <c r="C371" t="s">
        <v>134</v>
      </c>
      <c r="D371" s="1" t="str">
        <f>"40236"</f>
        <v>40236</v>
      </c>
      <c r="E371" t="s">
        <v>10</v>
      </c>
      <c r="F371" t="s">
        <v>323</v>
      </c>
      <c r="G371" s="1" t="str">
        <f>"003"</f>
        <v>003</v>
      </c>
      <c r="H371" s="1">
        <v>2009</v>
      </c>
      <c r="I371" s="6">
        <v>80559500</v>
      </c>
      <c r="J371" s="6">
        <v>75731000</v>
      </c>
      <c r="K371" s="6">
        <v>4828500</v>
      </c>
      <c r="L371" s="7"/>
    </row>
    <row r="372" spans="1:12" x14ac:dyDescent="0.25">
      <c r="A372" t="s">
        <v>322</v>
      </c>
      <c r="B372" s="5">
        <v>402303</v>
      </c>
      <c r="C372" t="s">
        <v>134</v>
      </c>
      <c r="D372" s="1" t="str">
        <f>"40236"</f>
        <v>40236</v>
      </c>
      <c r="E372" t="s">
        <v>10</v>
      </c>
      <c r="F372" t="s">
        <v>323</v>
      </c>
      <c r="G372" s="1" t="str">
        <f>"004"</f>
        <v>004</v>
      </c>
      <c r="H372" s="1">
        <v>2015</v>
      </c>
      <c r="I372" s="6">
        <v>52581100</v>
      </c>
      <c r="J372" s="6">
        <v>25438700</v>
      </c>
      <c r="K372" s="6">
        <v>27142400</v>
      </c>
      <c r="L372" s="7"/>
    </row>
    <row r="373" spans="1:12" x14ac:dyDescent="0.25">
      <c r="A373" t="s">
        <v>322</v>
      </c>
      <c r="B373" s="5">
        <v>402303</v>
      </c>
      <c r="C373" t="s">
        <v>134</v>
      </c>
      <c r="D373" s="1" t="str">
        <f>"40236"</f>
        <v>40236</v>
      </c>
      <c r="E373" t="s">
        <v>10</v>
      </c>
      <c r="F373" t="s">
        <v>323</v>
      </c>
      <c r="G373" s="1" t="str">
        <f>"005"</f>
        <v>005</v>
      </c>
      <c r="H373" s="1">
        <v>2015</v>
      </c>
      <c r="I373" s="6">
        <v>6728200</v>
      </c>
      <c r="J373" s="6">
        <v>6921000</v>
      </c>
      <c r="K373" s="6">
        <v>-192800</v>
      </c>
      <c r="L373" s="7"/>
    </row>
    <row r="374" spans="1:12" x14ac:dyDescent="0.25">
      <c r="A374" t="s">
        <v>322</v>
      </c>
      <c r="B374" s="5">
        <v>402303</v>
      </c>
      <c r="C374" t="s">
        <v>134</v>
      </c>
      <c r="D374" s="1" t="str">
        <f>"40236"</f>
        <v>40236</v>
      </c>
      <c r="E374" t="s">
        <v>10</v>
      </c>
      <c r="F374" t="s">
        <v>323</v>
      </c>
      <c r="G374" s="1" t="str">
        <f>"006"</f>
        <v>006</v>
      </c>
      <c r="H374" s="1">
        <v>2015</v>
      </c>
      <c r="I374" s="6">
        <v>119952800</v>
      </c>
      <c r="J374" s="6">
        <v>7959100</v>
      </c>
      <c r="K374" s="6">
        <v>111993700</v>
      </c>
      <c r="L374" s="7"/>
    </row>
    <row r="375" spans="1:12" x14ac:dyDescent="0.25">
      <c r="A375" t="s">
        <v>324</v>
      </c>
      <c r="B375" s="5">
        <v>102394</v>
      </c>
      <c r="C375" t="s">
        <v>9</v>
      </c>
      <c r="D375" s="1" t="str">
        <f>"10231"</f>
        <v>10231</v>
      </c>
      <c r="E375" t="s">
        <v>10</v>
      </c>
      <c r="F375" t="s">
        <v>325</v>
      </c>
      <c r="G375" s="1" t="str">
        <f>"001"</f>
        <v>001</v>
      </c>
      <c r="H375" s="1">
        <v>1991</v>
      </c>
      <c r="I375" s="6">
        <v>1275600</v>
      </c>
      <c r="J375" s="6">
        <v>239000</v>
      </c>
      <c r="K375" s="6">
        <v>1036600</v>
      </c>
      <c r="L375" s="7"/>
    </row>
    <row r="376" spans="1:12" x14ac:dyDescent="0.25">
      <c r="A376" t="s">
        <v>324</v>
      </c>
      <c r="B376" s="5">
        <v>102394</v>
      </c>
      <c r="C376" t="s">
        <v>9</v>
      </c>
      <c r="D376" s="1" t="str">
        <f>"10231"</f>
        <v>10231</v>
      </c>
      <c r="E376" t="s">
        <v>10</v>
      </c>
      <c r="F376" t="s">
        <v>325</v>
      </c>
      <c r="G376" s="1" t="str">
        <f>"002"</f>
        <v>002</v>
      </c>
      <c r="H376" s="1">
        <v>1998</v>
      </c>
      <c r="I376" s="6">
        <v>257300</v>
      </c>
      <c r="J376" s="6">
        <v>58300</v>
      </c>
      <c r="K376" s="6">
        <v>199000</v>
      </c>
      <c r="L376" s="7"/>
    </row>
    <row r="377" spans="1:12" x14ac:dyDescent="0.25">
      <c r="A377" t="s">
        <v>326</v>
      </c>
      <c r="B377" s="5">
        <v>582415</v>
      </c>
      <c r="C377" t="s">
        <v>117</v>
      </c>
      <c r="D377" s="1" t="str">
        <f>"58131"</f>
        <v>58131</v>
      </c>
      <c r="E377" t="s">
        <v>15</v>
      </c>
      <c r="F377" t="s">
        <v>327</v>
      </c>
      <c r="G377" s="1" t="str">
        <f>"001"</f>
        <v>001</v>
      </c>
      <c r="H377" s="1">
        <v>2011</v>
      </c>
      <c r="I377" s="6">
        <v>1512400</v>
      </c>
      <c r="J377" s="6">
        <v>1251500</v>
      </c>
      <c r="K377" s="6">
        <v>260900</v>
      </c>
      <c r="L377" s="7"/>
    </row>
    <row r="378" spans="1:12" x14ac:dyDescent="0.25">
      <c r="A378" t="s">
        <v>326</v>
      </c>
      <c r="B378" s="5">
        <v>582415</v>
      </c>
      <c r="C378" t="s">
        <v>117</v>
      </c>
      <c r="D378" s="1" t="str">
        <f>"58131"</f>
        <v>58131</v>
      </c>
      <c r="E378" t="s">
        <v>15</v>
      </c>
      <c r="F378" t="s">
        <v>327</v>
      </c>
      <c r="G378" s="1" t="str">
        <f>"002"</f>
        <v>002</v>
      </c>
      <c r="H378" s="1">
        <v>2015</v>
      </c>
      <c r="I378" s="6">
        <v>2798500</v>
      </c>
      <c r="J378" s="6">
        <v>2482000</v>
      </c>
      <c r="K378" s="6">
        <v>316500</v>
      </c>
      <c r="L378" s="7"/>
    </row>
    <row r="379" spans="1:12" x14ac:dyDescent="0.25">
      <c r="A379" t="s">
        <v>328</v>
      </c>
      <c r="B379" s="5">
        <v>672420</v>
      </c>
      <c r="C379" t="s">
        <v>268</v>
      </c>
      <c r="D379" s="1" t="str">
        <f>"67147"</f>
        <v>67147</v>
      </c>
      <c r="E379" t="s">
        <v>15</v>
      </c>
      <c r="F379" t="s">
        <v>329</v>
      </c>
      <c r="G379" s="1" t="str">
        <f>"002"</f>
        <v>002</v>
      </c>
      <c r="H379" s="1">
        <v>2018</v>
      </c>
      <c r="I379" s="6">
        <v>10007600</v>
      </c>
      <c r="J379" s="6">
        <v>9756600</v>
      </c>
      <c r="K379" s="6">
        <v>251000</v>
      </c>
      <c r="L379" s="7"/>
    </row>
    <row r="380" spans="1:12" x14ac:dyDescent="0.25">
      <c r="A380" t="s">
        <v>328</v>
      </c>
      <c r="B380" s="5">
        <v>672420</v>
      </c>
      <c r="C380" t="s">
        <v>268</v>
      </c>
      <c r="D380" s="1" t="str">
        <f>"67181"</f>
        <v>67181</v>
      </c>
      <c r="E380" t="s">
        <v>15</v>
      </c>
      <c r="F380" t="s">
        <v>330</v>
      </c>
      <c r="G380" s="1" t="str">
        <f>"006"</f>
        <v>006</v>
      </c>
      <c r="H380" s="1">
        <v>2013</v>
      </c>
      <c r="I380" s="6">
        <v>64659100</v>
      </c>
      <c r="J380" s="6">
        <v>24103600</v>
      </c>
      <c r="K380" s="6">
        <v>40555500</v>
      </c>
      <c r="L380" s="7"/>
    </row>
    <row r="381" spans="1:12" x14ac:dyDescent="0.25">
      <c r="A381" t="s">
        <v>331</v>
      </c>
      <c r="B381" s="5">
        <v>662443</v>
      </c>
      <c r="C381" t="s">
        <v>86</v>
      </c>
      <c r="D381" s="1" t="str">
        <f>"14230"</f>
        <v>14230</v>
      </c>
      <c r="E381" t="s">
        <v>10</v>
      </c>
      <c r="F381" t="s">
        <v>332</v>
      </c>
      <c r="G381" s="1" t="str">
        <f>"007"</f>
        <v>007</v>
      </c>
      <c r="H381" s="1">
        <v>2011</v>
      </c>
      <c r="I381" s="6">
        <v>6273100</v>
      </c>
      <c r="J381" s="6">
        <v>13800</v>
      </c>
      <c r="K381" s="6">
        <v>6259300</v>
      </c>
      <c r="L381" s="7"/>
    </row>
    <row r="382" spans="1:12" x14ac:dyDescent="0.25">
      <c r="A382" t="s">
        <v>331</v>
      </c>
      <c r="B382" s="5">
        <v>662443</v>
      </c>
      <c r="C382" t="s">
        <v>86</v>
      </c>
      <c r="D382" s="1" t="str">
        <f>"14230"</f>
        <v>14230</v>
      </c>
      <c r="E382" t="s">
        <v>10</v>
      </c>
      <c r="F382" t="s">
        <v>332</v>
      </c>
      <c r="G382" s="1" t="str">
        <f>"009"</f>
        <v>009</v>
      </c>
      <c r="H382" s="1">
        <v>2015</v>
      </c>
      <c r="I382" s="6">
        <v>9828600</v>
      </c>
      <c r="J382" s="6">
        <v>4428900</v>
      </c>
      <c r="K382" s="6">
        <v>5399700</v>
      </c>
      <c r="L382" s="7"/>
    </row>
    <row r="383" spans="1:12" x14ac:dyDescent="0.25">
      <c r="A383" t="s">
        <v>331</v>
      </c>
      <c r="B383" s="5">
        <v>662443</v>
      </c>
      <c r="C383" t="s">
        <v>298</v>
      </c>
      <c r="D383" s="1" t="str">
        <f>"66236"</f>
        <v>66236</v>
      </c>
      <c r="E383" t="s">
        <v>10</v>
      </c>
      <c r="F383" t="s">
        <v>332</v>
      </c>
      <c r="G383" s="1" t="str">
        <f>"006"</f>
        <v>006</v>
      </c>
      <c r="H383" s="1">
        <v>2008</v>
      </c>
      <c r="I383" s="6">
        <v>1812400</v>
      </c>
      <c r="J383" s="6">
        <v>1100000</v>
      </c>
      <c r="K383" s="6">
        <v>712400</v>
      </c>
      <c r="L383" s="7"/>
    </row>
    <row r="384" spans="1:12" x14ac:dyDescent="0.25">
      <c r="A384" t="s">
        <v>331</v>
      </c>
      <c r="B384" s="5">
        <v>662443</v>
      </c>
      <c r="C384" t="s">
        <v>298</v>
      </c>
      <c r="D384" s="1" t="str">
        <f>"66236"</f>
        <v>66236</v>
      </c>
      <c r="E384" t="s">
        <v>10</v>
      </c>
      <c r="F384" t="s">
        <v>332</v>
      </c>
      <c r="G384" s="1" t="str">
        <f>"007"</f>
        <v>007</v>
      </c>
      <c r="H384" s="1">
        <v>2011</v>
      </c>
      <c r="I384" s="6">
        <v>2647000</v>
      </c>
      <c r="J384" s="6">
        <v>3600</v>
      </c>
      <c r="K384" s="6">
        <v>2643400</v>
      </c>
      <c r="L384" s="7"/>
    </row>
    <row r="385" spans="1:12" x14ac:dyDescent="0.25">
      <c r="A385" t="s">
        <v>331</v>
      </c>
      <c r="B385" s="5">
        <v>662443</v>
      </c>
      <c r="C385" t="s">
        <v>298</v>
      </c>
      <c r="D385" s="1" t="str">
        <f>"66236"</f>
        <v>66236</v>
      </c>
      <c r="E385" t="s">
        <v>10</v>
      </c>
      <c r="F385" t="s">
        <v>332</v>
      </c>
      <c r="G385" s="1" t="str">
        <f>"008"</f>
        <v>008</v>
      </c>
      <c r="H385" s="1">
        <v>2013</v>
      </c>
      <c r="I385" s="6">
        <v>9117200</v>
      </c>
      <c r="J385" s="6">
        <v>6047400</v>
      </c>
      <c r="K385" s="6">
        <v>3069800</v>
      </c>
      <c r="L385" s="7"/>
    </row>
    <row r="386" spans="1:12" x14ac:dyDescent="0.25">
      <c r="A386" t="s">
        <v>331</v>
      </c>
      <c r="B386" s="5">
        <v>662443</v>
      </c>
      <c r="C386" t="s">
        <v>298</v>
      </c>
      <c r="D386" s="1" t="str">
        <f>"66236"</f>
        <v>66236</v>
      </c>
      <c r="E386" t="s">
        <v>10</v>
      </c>
      <c r="F386" t="s">
        <v>332</v>
      </c>
      <c r="G386" s="1" t="str">
        <f>"010"</f>
        <v>010</v>
      </c>
      <c r="H386" s="1">
        <v>2017</v>
      </c>
      <c r="I386" s="6">
        <v>9766100</v>
      </c>
      <c r="J386" s="6">
        <v>4791600</v>
      </c>
      <c r="K386" s="6">
        <v>4974500</v>
      </c>
      <c r="L386" s="7"/>
    </row>
    <row r="387" spans="1:12" x14ac:dyDescent="0.25">
      <c r="A387" t="s">
        <v>331</v>
      </c>
      <c r="B387" s="5">
        <v>662443</v>
      </c>
      <c r="C387" t="s">
        <v>298</v>
      </c>
      <c r="D387" s="1" t="str">
        <f>"66236"</f>
        <v>66236</v>
      </c>
      <c r="E387" t="s">
        <v>10</v>
      </c>
      <c r="F387" t="s">
        <v>332</v>
      </c>
      <c r="G387" s="1" t="str">
        <f>"011"</f>
        <v>011</v>
      </c>
      <c r="H387" s="1">
        <v>2017</v>
      </c>
      <c r="I387" s="6">
        <v>15784900</v>
      </c>
      <c r="J387" s="6">
        <v>11588700</v>
      </c>
      <c r="K387" s="6">
        <v>4196200</v>
      </c>
      <c r="L387" s="7"/>
    </row>
    <row r="388" spans="1:12" x14ac:dyDescent="0.25">
      <c r="A388" t="s">
        <v>333</v>
      </c>
      <c r="B388" s="5">
        <v>672460</v>
      </c>
      <c r="C388" t="s">
        <v>268</v>
      </c>
      <c r="D388" s="1" t="str">
        <f>"67136"</f>
        <v>67136</v>
      </c>
      <c r="E388" t="s">
        <v>15</v>
      </c>
      <c r="F388" t="s">
        <v>334</v>
      </c>
      <c r="G388" s="1" t="str">
        <f>"004"</f>
        <v>004</v>
      </c>
      <c r="H388" s="1">
        <v>2008</v>
      </c>
      <c r="I388" s="6">
        <v>2873500</v>
      </c>
      <c r="J388" s="6">
        <v>1018300</v>
      </c>
      <c r="K388" s="6">
        <v>1855200</v>
      </c>
      <c r="L388" s="7"/>
    </row>
    <row r="389" spans="1:12" x14ac:dyDescent="0.25">
      <c r="A389" t="s">
        <v>333</v>
      </c>
      <c r="B389" s="5">
        <v>672460</v>
      </c>
      <c r="C389" t="s">
        <v>268</v>
      </c>
      <c r="D389" s="1" t="str">
        <f>"67136"</f>
        <v>67136</v>
      </c>
      <c r="E389" t="s">
        <v>15</v>
      </c>
      <c r="F389" t="s">
        <v>334</v>
      </c>
      <c r="G389" s="1" t="str">
        <f>"006"</f>
        <v>006</v>
      </c>
      <c r="H389" s="1">
        <v>2015</v>
      </c>
      <c r="I389" s="6">
        <v>13891700</v>
      </c>
      <c r="J389" s="6">
        <v>1330300</v>
      </c>
      <c r="K389" s="6">
        <v>12561400</v>
      </c>
      <c r="L389" s="7"/>
    </row>
    <row r="390" spans="1:12" x14ac:dyDescent="0.25">
      <c r="A390" t="s">
        <v>335</v>
      </c>
      <c r="B390" s="5">
        <v>572478</v>
      </c>
      <c r="C390" t="s">
        <v>336</v>
      </c>
      <c r="D390" s="1" t="str">
        <f>"57236"</f>
        <v>57236</v>
      </c>
      <c r="E390" t="s">
        <v>10</v>
      </c>
      <c r="F390" t="s">
        <v>337</v>
      </c>
      <c r="G390" s="1" t="str">
        <f>"005"</f>
        <v>005</v>
      </c>
      <c r="H390" s="1">
        <v>2018</v>
      </c>
      <c r="I390" s="6">
        <v>905300</v>
      </c>
      <c r="J390" s="6">
        <v>693400</v>
      </c>
      <c r="K390" s="6">
        <v>211900</v>
      </c>
      <c r="L390" s="7"/>
    </row>
    <row r="391" spans="1:12" x14ac:dyDescent="0.25">
      <c r="A391" t="s">
        <v>338</v>
      </c>
      <c r="B391" s="5">
        <v>252527</v>
      </c>
      <c r="C391" t="s">
        <v>77</v>
      </c>
      <c r="D391" s="1" t="str">
        <f>"25136"</f>
        <v>25136</v>
      </c>
      <c r="E391" t="s">
        <v>15</v>
      </c>
      <c r="F391" t="s">
        <v>339</v>
      </c>
      <c r="G391" s="1" t="str">
        <f>"002"</f>
        <v>002</v>
      </c>
      <c r="H391" s="1">
        <v>1999</v>
      </c>
      <c r="I391" s="6">
        <v>4929400</v>
      </c>
      <c r="J391" s="6">
        <v>973600</v>
      </c>
      <c r="K391" s="6">
        <v>3955800</v>
      </c>
      <c r="L391" s="7"/>
    </row>
    <row r="392" spans="1:12" x14ac:dyDescent="0.25">
      <c r="A392" t="s">
        <v>340</v>
      </c>
      <c r="B392" s="5">
        <v>82534</v>
      </c>
      <c r="C392" t="s">
        <v>38</v>
      </c>
      <c r="D392" s="1" t="str">
        <f>"08136"</f>
        <v>08136</v>
      </c>
      <c r="E392" t="s">
        <v>15</v>
      </c>
      <c r="F392" t="s">
        <v>341</v>
      </c>
      <c r="G392" s="1" t="str">
        <f>"001"</f>
        <v>001</v>
      </c>
      <c r="H392" s="1">
        <v>1996</v>
      </c>
      <c r="I392" s="6">
        <v>6431500</v>
      </c>
      <c r="J392" s="6">
        <v>1772900</v>
      </c>
      <c r="K392" s="6">
        <v>4658600</v>
      </c>
      <c r="L392" s="7"/>
    </row>
    <row r="393" spans="1:12" x14ac:dyDescent="0.25">
      <c r="A393" t="s">
        <v>340</v>
      </c>
      <c r="B393" s="5">
        <v>82534</v>
      </c>
      <c r="C393" t="s">
        <v>38</v>
      </c>
      <c r="D393" s="1" t="str">
        <f>"08136"</f>
        <v>08136</v>
      </c>
      <c r="E393" t="s">
        <v>15</v>
      </c>
      <c r="F393" t="s">
        <v>341</v>
      </c>
      <c r="G393" s="1" t="str">
        <f>"002"</f>
        <v>002</v>
      </c>
      <c r="H393" s="1">
        <v>2007</v>
      </c>
      <c r="I393" s="6">
        <v>21599300</v>
      </c>
      <c r="J393" s="6">
        <v>2371700</v>
      </c>
      <c r="K393" s="6">
        <v>19227600</v>
      </c>
      <c r="L393" s="7"/>
    </row>
    <row r="394" spans="1:12" x14ac:dyDescent="0.25">
      <c r="A394" t="s">
        <v>342</v>
      </c>
      <c r="B394" s="5">
        <v>622541</v>
      </c>
      <c r="C394" t="s">
        <v>224</v>
      </c>
      <c r="D394" s="1" t="str">
        <f>"62236"</f>
        <v>62236</v>
      </c>
      <c r="E394" t="s">
        <v>10</v>
      </c>
      <c r="F394" t="s">
        <v>343</v>
      </c>
      <c r="G394" s="1" t="str">
        <f>"002"</f>
        <v>002</v>
      </c>
      <c r="H394" s="1">
        <v>1993</v>
      </c>
      <c r="I394" s="6">
        <v>13441400</v>
      </c>
      <c r="J394" s="6">
        <v>483600</v>
      </c>
      <c r="K394" s="6">
        <v>12957800</v>
      </c>
      <c r="L394" s="7"/>
    </row>
    <row r="395" spans="1:12" x14ac:dyDescent="0.25">
      <c r="A395" t="s">
        <v>342</v>
      </c>
      <c r="B395" s="5">
        <v>622541</v>
      </c>
      <c r="C395" t="s">
        <v>224</v>
      </c>
      <c r="D395" s="1" t="str">
        <f>"62236"</f>
        <v>62236</v>
      </c>
      <c r="E395" t="s">
        <v>10</v>
      </c>
      <c r="F395" t="s">
        <v>343</v>
      </c>
      <c r="G395" s="1" t="str">
        <f>"004"</f>
        <v>004</v>
      </c>
      <c r="H395" s="1">
        <v>1998</v>
      </c>
      <c r="I395" s="6">
        <v>11966300</v>
      </c>
      <c r="J395" s="6">
        <v>2715800</v>
      </c>
      <c r="K395" s="6">
        <v>9250500</v>
      </c>
      <c r="L395" s="7"/>
    </row>
    <row r="396" spans="1:12" x14ac:dyDescent="0.25">
      <c r="A396" t="s">
        <v>344</v>
      </c>
      <c r="B396" s="5">
        <v>322562</v>
      </c>
      <c r="C396" t="s">
        <v>67</v>
      </c>
      <c r="D396" s="1" t="str">
        <f>"32136"</f>
        <v>32136</v>
      </c>
      <c r="E396" t="s">
        <v>15</v>
      </c>
      <c r="F396" t="s">
        <v>345</v>
      </c>
      <c r="G396" s="1" t="str">
        <f>"002"</f>
        <v>002</v>
      </c>
      <c r="H396" s="1">
        <v>2009</v>
      </c>
      <c r="I396" s="6">
        <v>14605000</v>
      </c>
      <c r="J396" s="6">
        <v>2647000</v>
      </c>
      <c r="K396" s="6">
        <v>11958000</v>
      </c>
      <c r="L396" s="7"/>
    </row>
    <row r="397" spans="1:12" x14ac:dyDescent="0.25">
      <c r="A397" t="s">
        <v>344</v>
      </c>
      <c r="B397" s="5">
        <v>322562</v>
      </c>
      <c r="C397" t="s">
        <v>67</v>
      </c>
      <c r="D397" s="1" t="str">
        <f>"32136"</f>
        <v>32136</v>
      </c>
      <c r="E397" t="s">
        <v>15</v>
      </c>
      <c r="F397" t="s">
        <v>345</v>
      </c>
      <c r="G397" s="1" t="str">
        <f>"003"</f>
        <v>003</v>
      </c>
      <c r="H397" s="1">
        <v>2015</v>
      </c>
      <c r="I397" s="6">
        <v>80371500</v>
      </c>
      <c r="J397" s="6">
        <v>37362300</v>
      </c>
      <c r="K397" s="6">
        <v>43009200</v>
      </c>
      <c r="L397" s="7"/>
    </row>
    <row r="398" spans="1:12" x14ac:dyDescent="0.25">
      <c r="A398" t="s">
        <v>346</v>
      </c>
      <c r="B398" s="5">
        <v>142576</v>
      </c>
      <c r="C398" t="s">
        <v>86</v>
      </c>
      <c r="D398" s="1" t="str">
        <f>"14236"</f>
        <v>14236</v>
      </c>
      <c r="E398" t="s">
        <v>10</v>
      </c>
      <c r="F398" t="s">
        <v>347</v>
      </c>
      <c r="G398" s="1" t="str">
        <f>"004"</f>
        <v>004</v>
      </c>
      <c r="H398" s="1">
        <v>2007</v>
      </c>
      <c r="I398" s="6">
        <v>12663100</v>
      </c>
      <c r="J398" s="6">
        <v>4962700</v>
      </c>
      <c r="K398" s="6">
        <v>7700400</v>
      </c>
      <c r="L398" s="7"/>
    </row>
    <row r="399" spans="1:12" x14ac:dyDescent="0.25">
      <c r="A399" t="s">
        <v>346</v>
      </c>
      <c r="B399" s="5">
        <v>142576</v>
      </c>
      <c r="C399" t="s">
        <v>86</v>
      </c>
      <c r="D399" s="1" t="str">
        <f>"14236"</f>
        <v>14236</v>
      </c>
      <c r="E399" t="s">
        <v>10</v>
      </c>
      <c r="F399" t="s">
        <v>347</v>
      </c>
      <c r="G399" s="1" t="str">
        <f>"005"</f>
        <v>005</v>
      </c>
      <c r="H399" s="1">
        <v>2015</v>
      </c>
      <c r="I399" s="6">
        <v>32308600</v>
      </c>
      <c r="J399" s="6">
        <v>4402600</v>
      </c>
      <c r="K399" s="6">
        <v>27906000</v>
      </c>
      <c r="L399" s="7"/>
    </row>
    <row r="400" spans="1:12" x14ac:dyDescent="0.25">
      <c r="A400" t="s">
        <v>346</v>
      </c>
      <c r="B400" s="5">
        <v>142576</v>
      </c>
      <c r="C400" t="s">
        <v>86</v>
      </c>
      <c r="D400" s="1" t="str">
        <f>"14236"</f>
        <v>14236</v>
      </c>
      <c r="E400" t="s">
        <v>10</v>
      </c>
      <c r="F400" t="s">
        <v>347</v>
      </c>
      <c r="G400" s="1" t="str">
        <f>"006"</f>
        <v>006</v>
      </c>
      <c r="H400" s="1">
        <v>2017</v>
      </c>
      <c r="I400" s="6">
        <v>14194500</v>
      </c>
      <c r="J400" s="6">
        <v>13427800</v>
      </c>
      <c r="K400" s="6">
        <v>766700</v>
      </c>
      <c r="L400" s="7"/>
    </row>
    <row r="401" spans="1:12" x14ac:dyDescent="0.25">
      <c r="A401" t="s">
        <v>348</v>
      </c>
      <c r="B401" s="5">
        <v>442583</v>
      </c>
      <c r="C401" t="s">
        <v>40</v>
      </c>
      <c r="D401" s="1" t="str">
        <f>"44022"</f>
        <v>44022</v>
      </c>
      <c r="E401" t="s">
        <v>17</v>
      </c>
      <c r="F401" t="s">
        <v>349</v>
      </c>
      <c r="G401" s="1" t="str">
        <f>"001A"</f>
        <v>001A</v>
      </c>
      <c r="H401" s="1">
        <v>2017</v>
      </c>
      <c r="I401" s="6">
        <v>14274000</v>
      </c>
      <c r="J401" s="6">
        <v>11510500</v>
      </c>
      <c r="K401" s="6">
        <v>2763500</v>
      </c>
      <c r="L401" s="7"/>
    </row>
    <row r="402" spans="1:12" x14ac:dyDescent="0.25">
      <c r="A402" t="s">
        <v>348</v>
      </c>
      <c r="B402" s="5">
        <v>442583</v>
      </c>
      <c r="C402" t="s">
        <v>40</v>
      </c>
      <c r="D402" s="1" t="str">
        <f>"44136"</f>
        <v>44136</v>
      </c>
      <c r="E402" t="s">
        <v>15</v>
      </c>
      <c r="F402" t="s">
        <v>350</v>
      </c>
      <c r="G402" s="1" t="str">
        <f>"003"</f>
        <v>003</v>
      </c>
      <c r="H402" s="1">
        <v>2013</v>
      </c>
      <c r="I402" s="6">
        <v>6651900</v>
      </c>
      <c r="J402" s="6">
        <v>487700</v>
      </c>
      <c r="K402" s="6">
        <v>6164200</v>
      </c>
      <c r="L402" s="7"/>
    </row>
    <row r="403" spans="1:12" x14ac:dyDescent="0.25">
      <c r="A403" t="s">
        <v>348</v>
      </c>
      <c r="B403" s="5">
        <v>442583</v>
      </c>
      <c r="C403" t="s">
        <v>40</v>
      </c>
      <c r="D403" s="1" t="str">
        <f>"44136"</f>
        <v>44136</v>
      </c>
      <c r="E403" t="s">
        <v>15</v>
      </c>
      <c r="F403" t="s">
        <v>350</v>
      </c>
      <c r="G403" s="1" t="str">
        <f>"004"</f>
        <v>004</v>
      </c>
      <c r="H403" s="1">
        <v>2017</v>
      </c>
      <c r="I403" s="6">
        <v>1803500</v>
      </c>
      <c r="J403" s="6">
        <v>510300</v>
      </c>
      <c r="K403" s="6">
        <v>1293200</v>
      </c>
      <c r="L403" s="7"/>
    </row>
    <row r="404" spans="1:12" x14ac:dyDescent="0.25">
      <c r="A404" t="s">
        <v>348</v>
      </c>
      <c r="B404" s="5">
        <v>442583</v>
      </c>
      <c r="C404" t="s">
        <v>40</v>
      </c>
      <c r="D404" s="1" t="str">
        <f>"44136"</f>
        <v>44136</v>
      </c>
      <c r="E404" t="s">
        <v>15</v>
      </c>
      <c r="F404" t="s">
        <v>350</v>
      </c>
      <c r="G404" s="1" t="str">
        <f>"005"</f>
        <v>005</v>
      </c>
      <c r="H404" s="1">
        <v>2017</v>
      </c>
      <c r="I404" s="6">
        <v>518400</v>
      </c>
      <c r="J404" s="6">
        <v>522700</v>
      </c>
      <c r="K404" s="6">
        <v>-4300</v>
      </c>
      <c r="L404" s="7"/>
    </row>
    <row r="405" spans="1:12" x14ac:dyDescent="0.25">
      <c r="A405" t="s">
        <v>351</v>
      </c>
      <c r="B405" s="5">
        <v>52604</v>
      </c>
      <c r="C405" t="s">
        <v>53</v>
      </c>
      <c r="D405" s="1" t="str">
        <f t="shared" ref="D405:D410" si="8">"05136"</f>
        <v>05136</v>
      </c>
      <c r="E405" t="s">
        <v>15</v>
      </c>
      <c r="F405" t="s">
        <v>352</v>
      </c>
      <c r="G405" s="1" t="str">
        <f>"003"</f>
        <v>003</v>
      </c>
      <c r="H405" s="1">
        <v>2006</v>
      </c>
      <c r="I405" s="6">
        <v>42146500</v>
      </c>
      <c r="J405" s="6">
        <v>16302800</v>
      </c>
      <c r="K405" s="6">
        <v>25843700</v>
      </c>
      <c r="L405" s="7"/>
    </row>
    <row r="406" spans="1:12" x14ac:dyDescent="0.25">
      <c r="A406" t="s">
        <v>351</v>
      </c>
      <c r="B406" s="5">
        <v>52604</v>
      </c>
      <c r="C406" t="s">
        <v>53</v>
      </c>
      <c r="D406" s="1" t="str">
        <f t="shared" si="8"/>
        <v>05136</v>
      </c>
      <c r="E406" t="s">
        <v>15</v>
      </c>
      <c r="F406" t="s">
        <v>352</v>
      </c>
      <c r="G406" s="1" t="str">
        <f>"004"</f>
        <v>004</v>
      </c>
      <c r="H406" s="1">
        <v>2007</v>
      </c>
      <c r="I406" s="6">
        <v>105855300</v>
      </c>
      <c r="J406" s="6">
        <v>68155700</v>
      </c>
      <c r="K406" s="6">
        <v>37699600</v>
      </c>
      <c r="L406" s="7"/>
    </row>
    <row r="407" spans="1:12" x14ac:dyDescent="0.25">
      <c r="A407" t="s">
        <v>351</v>
      </c>
      <c r="B407" s="5">
        <v>52604</v>
      </c>
      <c r="C407" t="s">
        <v>53</v>
      </c>
      <c r="D407" s="1" t="str">
        <f t="shared" si="8"/>
        <v>05136</v>
      </c>
      <c r="E407" t="s">
        <v>15</v>
      </c>
      <c r="F407" t="s">
        <v>352</v>
      </c>
      <c r="G407" s="1" t="str">
        <f>"005"</f>
        <v>005</v>
      </c>
      <c r="H407" s="1">
        <v>2008</v>
      </c>
      <c r="I407" s="6">
        <v>13599400</v>
      </c>
      <c r="J407" s="6">
        <v>9872400</v>
      </c>
      <c r="K407" s="6">
        <v>3727000</v>
      </c>
      <c r="L407" s="7"/>
    </row>
    <row r="408" spans="1:12" x14ac:dyDescent="0.25">
      <c r="A408" t="s">
        <v>351</v>
      </c>
      <c r="B408" s="5">
        <v>52604</v>
      </c>
      <c r="C408" t="s">
        <v>53</v>
      </c>
      <c r="D408" s="1" t="str">
        <f t="shared" si="8"/>
        <v>05136</v>
      </c>
      <c r="E408" t="s">
        <v>15</v>
      </c>
      <c r="F408" t="s">
        <v>352</v>
      </c>
      <c r="G408" s="1" t="str">
        <f>"006"</f>
        <v>006</v>
      </c>
      <c r="H408" s="1">
        <v>2008</v>
      </c>
      <c r="I408" s="6">
        <v>35932400</v>
      </c>
      <c r="J408" s="6">
        <v>7930100</v>
      </c>
      <c r="K408" s="6">
        <v>28002300</v>
      </c>
      <c r="L408" s="7"/>
    </row>
    <row r="409" spans="1:12" x14ac:dyDescent="0.25">
      <c r="A409" t="s">
        <v>351</v>
      </c>
      <c r="B409" s="5">
        <v>52604</v>
      </c>
      <c r="C409" t="s">
        <v>53</v>
      </c>
      <c r="D409" s="1" t="str">
        <f t="shared" si="8"/>
        <v>05136</v>
      </c>
      <c r="E409" t="s">
        <v>15</v>
      </c>
      <c r="F409" t="s">
        <v>352</v>
      </c>
      <c r="G409" s="1" t="str">
        <f>"007"</f>
        <v>007</v>
      </c>
      <c r="H409" s="1">
        <v>2012</v>
      </c>
      <c r="I409" s="6">
        <v>21650200</v>
      </c>
      <c r="J409" s="6">
        <v>18245700</v>
      </c>
      <c r="K409" s="6">
        <v>3404500</v>
      </c>
      <c r="L409" s="7"/>
    </row>
    <row r="410" spans="1:12" x14ac:dyDescent="0.25">
      <c r="A410" t="s">
        <v>351</v>
      </c>
      <c r="B410" s="5">
        <v>52604</v>
      </c>
      <c r="C410" t="s">
        <v>53</v>
      </c>
      <c r="D410" s="1" t="str">
        <f t="shared" si="8"/>
        <v>05136</v>
      </c>
      <c r="E410" t="s">
        <v>15</v>
      </c>
      <c r="F410" t="s">
        <v>352</v>
      </c>
      <c r="G410" s="1" t="str">
        <f>"008"</f>
        <v>008</v>
      </c>
      <c r="H410" s="1">
        <v>2015</v>
      </c>
      <c r="I410" s="6">
        <v>31046500</v>
      </c>
      <c r="J410" s="6">
        <v>8378100</v>
      </c>
      <c r="K410" s="6">
        <v>22668400</v>
      </c>
      <c r="L410" s="7"/>
    </row>
    <row r="411" spans="1:12" x14ac:dyDescent="0.25">
      <c r="A411" t="s">
        <v>351</v>
      </c>
      <c r="B411" s="5">
        <v>52604</v>
      </c>
      <c r="C411" t="s">
        <v>53</v>
      </c>
      <c r="D411" s="1" t="str">
        <f>"05178"</f>
        <v>05178</v>
      </c>
      <c r="E411" t="s">
        <v>15</v>
      </c>
      <c r="F411" t="s">
        <v>353</v>
      </c>
      <c r="G411" s="1" t="str">
        <f>"001"</f>
        <v>001</v>
      </c>
      <c r="H411" s="1">
        <v>2004</v>
      </c>
      <c r="I411" s="6">
        <v>56761000</v>
      </c>
      <c r="J411" s="6">
        <v>10470700</v>
      </c>
      <c r="K411" s="6">
        <v>46290300</v>
      </c>
      <c r="L411" s="7"/>
    </row>
    <row r="412" spans="1:12" x14ac:dyDescent="0.25">
      <c r="A412" t="s">
        <v>351</v>
      </c>
      <c r="B412" s="5">
        <v>52604</v>
      </c>
      <c r="C412" t="s">
        <v>53</v>
      </c>
      <c r="D412" s="1" t="str">
        <f>"05178"</f>
        <v>05178</v>
      </c>
      <c r="E412" t="s">
        <v>15</v>
      </c>
      <c r="F412" t="s">
        <v>353</v>
      </c>
      <c r="G412" s="1" t="str">
        <f>"002"</f>
        <v>002</v>
      </c>
      <c r="H412" s="1">
        <v>2006</v>
      </c>
      <c r="I412" s="6">
        <v>25701300</v>
      </c>
      <c r="J412" s="6">
        <v>10526200</v>
      </c>
      <c r="K412" s="6">
        <v>15175100</v>
      </c>
      <c r="L412" s="7"/>
    </row>
    <row r="413" spans="1:12" x14ac:dyDescent="0.25">
      <c r="A413" t="s">
        <v>351</v>
      </c>
      <c r="B413" s="5">
        <v>52604</v>
      </c>
      <c r="C413" t="s">
        <v>53</v>
      </c>
      <c r="D413" s="1" t="str">
        <f>"05178"</f>
        <v>05178</v>
      </c>
      <c r="E413" t="s">
        <v>15</v>
      </c>
      <c r="F413" t="s">
        <v>353</v>
      </c>
      <c r="G413" s="1" t="str">
        <f>"004"</f>
        <v>004</v>
      </c>
      <c r="H413" s="1">
        <v>2014</v>
      </c>
      <c r="I413" s="6">
        <v>68607800</v>
      </c>
      <c r="J413" s="6">
        <v>34008700</v>
      </c>
      <c r="K413" s="6">
        <v>34599100</v>
      </c>
      <c r="L413" s="7"/>
    </row>
    <row r="414" spans="1:12" x14ac:dyDescent="0.25">
      <c r="A414" t="s">
        <v>354</v>
      </c>
      <c r="B414" s="5">
        <v>592605</v>
      </c>
      <c r="C414" t="s">
        <v>159</v>
      </c>
      <c r="D414" s="1" t="str">
        <f>"59135"</f>
        <v>59135</v>
      </c>
      <c r="E414" t="s">
        <v>15</v>
      </c>
      <c r="F414" t="s">
        <v>355</v>
      </c>
      <c r="G414" s="1" t="str">
        <f>"001"</f>
        <v>001</v>
      </c>
      <c r="H414" s="1">
        <v>2005</v>
      </c>
      <c r="I414" s="6">
        <v>2579900</v>
      </c>
      <c r="J414" s="6">
        <v>1793600</v>
      </c>
      <c r="K414" s="6">
        <v>786300</v>
      </c>
      <c r="L414" s="7"/>
    </row>
    <row r="415" spans="1:12" x14ac:dyDescent="0.25">
      <c r="A415" t="s">
        <v>354</v>
      </c>
      <c r="B415" s="5">
        <v>592605</v>
      </c>
      <c r="C415" t="s">
        <v>159</v>
      </c>
      <c r="D415" s="1" t="str">
        <f>"59135"</f>
        <v>59135</v>
      </c>
      <c r="E415" t="s">
        <v>15</v>
      </c>
      <c r="F415" t="s">
        <v>355</v>
      </c>
      <c r="G415" s="1" t="str">
        <f>"002"</f>
        <v>002</v>
      </c>
      <c r="H415" s="1">
        <v>2011</v>
      </c>
      <c r="I415" s="6">
        <v>3666900</v>
      </c>
      <c r="J415" s="6">
        <v>72900</v>
      </c>
      <c r="K415" s="6">
        <v>3594000</v>
      </c>
      <c r="L415" s="7"/>
    </row>
    <row r="416" spans="1:12" x14ac:dyDescent="0.25">
      <c r="A416" t="s">
        <v>356</v>
      </c>
      <c r="B416" s="5">
        <v>552611</v>
      </c>
      <c r="C416" t="s">
        <v>63</v>
      </c>
      <c r="D416" s="1" t="str">
        <f>"55236"</f>
        <v>55236</v>
      </c>
      <c r="E416" t="s">
        <v>10</v>
      </c>
      <c r="F416" t="s">
        <v>357</v>
      </c>
      <c r="G416" s="1" t="str">
        <f>"005"</f>
        <v>005</v>
      </c>
      <c r="H416" s="1">
        <v>2017</v>
      </c>
      <c r="I416" s="6">
        <v>17903200</v>
      </c>
      <c r="J416" s="6">
        <v>6322400</v>
      </c>
      <c r="K416" s="6">
        <v>11580800</v>
      </c>
      <c r="L416" s="7"/>
    </row>
    <row r="417" spans="1:12" x14ac:dyDescent="0.25">
      <c r="A417" t="s">
        <v>356</v>
      </c>
      <c r="B417" s="5">
        <v>552611</v>
      </c>
      <c r="C417" t="s">
        <v>63</v>
      </c>
      <c r="D417" s="1" t="str">
        <f>"55236"</f>
        <v>55236</v>
      </c>
      <c r="E417" t="s">
        <v>10</v>
      </c>
      <c r="F417" t="s">
        <v>357</v>
      </c>
      <c r="G417" s="1" t="str">
        <f>"006"</f>
        <v>006</v>
      </c>
      <c r="H417" s="1">
        <v>2018</v>
      </c>
      <c r="I417" s="6">
        <v>110407400</v>
      </c>
      <c r="J417" s="6">
        <v>97875200</v>
      </c>
      <c r="K417" s="6">
        <v>12532200</v>
      </c>
      <c r="L417" s="7"/>
    </row>
    <row r="418" spans="1:12" x14ac:dyDescent="0.25">
      <c r="A418" t="s">
        <v>358</v>
      </c>
      <c r="B418" s="5">
        <v>262618</v>
      </c>
      <c r="C418" t="s">
        <v>359</v>
      </c>
      <c r="D418" s="1" t="str">
        <f>"26236"</f>
        <v>26236</v>
      </c>
      <c r="E418" t="s">
        <v>10</v>
      </c>
      <c r="F418" t="s">
        <v>360</v>
      </c>
      <c r="G418" s="1" t="str">
        <f>"003"</f>
        <v>003</v>
      </c>
      <c r="H418" s="1">
        <v>1994</v>
      </c>
      <c r="I418" s="6">
        <v>5795000</v>
      </c>
      <c r="J418" s="6">
        <v>1178800</v>
      </c>
      <c r="K418" s="6">
        <v>4616200</v>
      </c>
      <c r="L418" s="7"/>
    </row>
    <row r="419" spans="1:12" x14ac:dyDescent="0.25">
      <c r="A419" t="s">
        <v>361</v>
      </c>
      <c r="B419" s="5">
        <v>142625</v>
      </c>
      <c r="C419" t="s">
        <v>86</v>
      </c>
      <c r="D419" s="1" t="str">
        <f>"14136"</f>
        <v>14136</v>
      </c>
      <c r="E419" t="s">
        <v>15</v>
      </c>
      <c r="F419" t="s">
        <v>362</v>
      </c>
      <c r="G419" s="1" t="str">
        <f>"001"</f>
        <v>001</v>
      </c>
      <c r="H419" s="1">
        <v>2017</v>
      </c>
      <c r="I419" s="6">
        <v>6781700</v>
      </c>
      <c r="J419" s="6">
        <v>5412600</v>
      </c>
      <c r="K419" s="6">
        <v>1369100</v>
      </c>
      <c r="L419" s="7"/>
    </row>
    <row r="420" spans="1:12" x14ac:dyDescent="0.25">
      <c r="A420" t="s">
        <v>363</v>
      </c>
      <c r="B420" s="5">
        <v>612632</v>
      </c>
      <c r="C420" t="s">
        <v>45</v>
      </c>
      <c r="D420" s="1" t="str">
        <f>"61241"</f>
        <v>61241</v>
      </c>
      <c r="E420" t="s">
        <v>10</v>
      </c>
      <c r="F420" t="s">
        <v>364</v>
      </c>
      <c r="G420" s="1" t="str">
        <f>"002"</f>
        <v>002</v>
      </c>
      <c r="H420" s="1">
        <v>2006</v>
      </c>
      <c r="I420" s="6">
        <v>8444100</v>
      </c>
      <c r="J420" s="6">
        <v>2007200</v>
      </c>
      <c r="K420" s="6">
        <v>6436900</v>
      </c>
      <c r="L420" s="7"/>
    </row>
    <row r="421" spans="1:12" x14ac:dyDescent="0.25">
      <c r="A421" t="s">
        <v>363</v>
      </c>
      <c r="B421" s="5">
        <v>612632</v>
      </c>
      <c r="C421" t="s">
        <v>45</v>
      </c>
      <c r="D421" s="1" t="str">
        <f>"61291"</f>
        <v>61291</v>
      </c>
      <c r="E421" t="s">
        <v>10</v>
      </c>
      <c r="F421" t="s">
        <v>365</v>
      </c>
      <c r="G421" s="1" t="str">
        <f>"003"</f>
        <v>003</v>
      </c>
      <c r="H421" s="1">
        <v>2006</v>
      </c>
      <c r="I421" s="6">
        <v>500000</v>
      </c>
      <c r="J421" s="6">
        <v>356800</v>
      </c>
      <c r="K421" s="6">
        <v>143200</v>
      </c>
      <c r="L421" s="7"/>
    </row>
    <row r="422" spans="1:12" x14ac:dyDescent="0.25">
      <c r="A422" t="s">
        <v>366</v>
      </c>
      <c r="B422" s="5">
        <v>252646</v>
      </c>
      <c r="C422" t="s">
        <v>120</v>
      </c>
      <c r="D422" s="1" t="str">
        <f>"22147"</f>
        <v>22147</v>
      </c>
      <c r="E422" t="s">
        <v>15</v>
      </c>
      <c r="F422" t="s">
        <v>367</v>
      </c>
      <c r="G422" s="1" t="str">
        <f>"002"</f>
        <v>002</v>
      </c>
      <c r="H422" s="1">
        <v>1996</v>
      </c>
      <c r="I422" s="6">
        <v>602300</v>
      </c>
      <c r="J422" s="6">
        <v>293300</v>
      </c>
      <c r="K422" s="6">
        <v>309000</v>
      </c>
      <c r="L422" s="7"/>
    </row>
    <row r="423" spans="1:12" x14ac:dyDescent="0.25">
      <c r="A423" t="s">
        <v>366</v>
      </c>
      <c r="B423" s="5">
        <v>252646</v>
      </c>
      <c r="C423" t="s">
        <v>120</v>
      </c>
      <c r="D423" s="1" t="str">
        <f>"22151"</f>
        <v>22151</v>
      </c>
      <c r="E423" t="s">
        <v>15</v>
      </c>
      <c r="F423" t="s">
        <v>368</v>
      </c>
      <c r="G423" s="1" t="str">
        <f>"001"</f>
        <v>001</v>
      </c>
      <c r="H423" s="1">
        <v>2014</v>
      </c>
      <c r="I423" s="6">
        <v>2493900</v>
      </c>
      <c r="J423" s="6">
        <v>1968700</v>
      </c>
      <c r="K423" s="6">
        <v>525200</v>
      </c>
      <c r="L423" s="7"/>
    </row>
    <row r="424" spans="1:12" x14ac:dyDescent="0.25">
      <c r="A424" t="s">
        <v>366</v>
      </c>
      <c r="B424" s="5">
        <v>252646</v>
      </c>
      <c r="C424" t="s">
        <v>77</v>
      </c>
      <c r="D424" s="1" t="str">
        <f>"25147"</f>
        <v>25147</v>
      </c>
      <c r="E424" t="s">
        <v>15</v>
      </c>
      <c r="F424" t="s">
        <v>367</v>
      </c>
      <c r="G424" s="1" t="str">
        <f>"001"</f>
        <v>001</v>
      </c>
      <c r="H424" s="1">
        <v>1992</v>
      </c>
      <c r="I424" s="6">
        <v>2980200</v>
      </c>
      <c r="J424" s="6">
        <v>49600</v>
      </c>
      <c r="K424" s="6">
        <v>2930600</v>
      </c>
      <c r="L424" s="7"/>
    </row>
    <row r="425" spans="1:12" x14ac:dyDescent="0.25">
      <c r="A425" t="s">
        <v>369</v>
      </c>
      <c r="B425" s="5">
        <v>532695</v>
      </c>
      <c r="C425" t="s">
        <v>95</v>
      </c>
      <c r="D425" s="1" t="str">
        <f t="shared" ref="D425:D437" si="9">"53241"</f>
        <v>53241</v>
      </c>
      <c r="E425" t="s">
        <v>10</v>
      </c>
      <c r="F425" t="s">
        <v>370</v>
      </c>
      <c r="G425" s="1" t="str">
        <f>"017"</f>
        <v>017</v>
      </c>
      <c r="H425" s="1">
        <v>1997</v>
      </c>
      <c r="I425" s="6">
        <v>3043700</v>
      </c>
      <c r="J425" s="6">
        <v>1407500</v>
      </c>
      <c r="K425" s="6">
        <v>1636200</v>
      </c>
      <c r="L425" s="7"/>
    </row>
    <row r="426" spans="1:12" x14ac:dyDescent="0.25">
      <c r="A426" t="s">
        <v>369</v>
      </c>
      <c r="B426" s="5">
        <v>532695</v>
      </c>
      <c r="C426" t="s">
        <v>95</v>
      </c>
      <c r="D426" s="1" t="str">
        <f t="shared" si="9"/>
        <v>53241</v>
      </c>
      <c r="E426" t="s">
        <v>10</v>
      </c>
      <c r="F426" t="s">
        <v>370</v>
      </c>
      <c r="G426" s="1" t="str">
        <f>"021"</f>
        <v>021</v>
      </c>
      <c r="H426" s="1">
        <v>1999</v>
      </c>
      <c r="I426" s="6">
        <v>11763700</v>
      </c>
      <c r="J426" s="6">
        <v>2200</v>
      </c>
      <c r="K426" s="6">
        <v>11761500</v>
      </c>
      <c r="L426" s="7"/>
    </row>
    <row r="427" spans="1:12" x14ac:dyDescent="0.25">
      <c r="A427" t="s">
        <v>369</v>
      </c>
      <c r="B427" s="5">
        <v>532695</v>
      </c>
      <c r="C427" t="s">
        <v>95</v>
      </c>
      <c r="D427" s="1" t="str">
        <f t="shared" si="9"/>
        <v>53241</v>
      </c>
      <c r="E427" t="s">
        <v>10</v>
      </c>
      <c r="F427" t="s">
        <v>370</v>
      </c>
      <c r="G427" s="1" t="str">
        <f>"022"</f>
        <v>022</v>
      </c>
      <c r="H427" s="1">
        <v>1999</v>
      </c>
      <c r="I427" s="6">
        <v>61496200</v>
      </c>
      <c r="J427" s="6">
        <v>5508500</v>
      </c>
      <c r="K427" s="6">
        <v>55987700</v>
      </c>
      <c r="L427" s="7"/>
    </row>
    <row r="428" spans="1:12" x14ac:dyDescent="0.25">
      <c r="A428" t="s">
        <v>369</v>
      </c>
      <c r="B428" s="5">
        <v>532695</v>
      </c>
      <c r="C428" t="s">
        <v>95</v>
      </c>
      <c r="D428" s="1" t="str">
        <f t="shared" si="9"/>
        <v>53241</v>
      </c>
      <c r="E428" t="s">
        <v>10</v>
      </c>
      <c r="F428" t="s">
        <v>370</v>
      </c>
      <c r="G428" s="1" t="str">
        <f>"023"</f>
        <v>023</v>
      </c>
      <c r="H428" s="1">
        <v>2002</v>
      </c>
      <c r="I428" s="6">
        <v>7650700</v>
      </c>
      <c r="J428" s="6">
        <v>4973700</v>
      </c>
      <c r="K428" s="6">
        <v>2677000</v>
      </c>
      <c r="L428" s="7"/>
    </row>
    <row r="429" spans="1:12" x14ac:dyDescent="0.25">
      <c r="A429" t="s">
        <v>369</v>
      </c>
      <c r="B429" s="5">
        <v>532695</v>
      </c>
      <c r="C429" t="s">
        <v>95</v>
      </c>
      <c r="D429" s="1" t="str">
        <f t="shared" si="9"/>
        <v>53241</v>
      </c>
      <c r="E429" t="s">
        <v>10</v>
      </c>
      <c r="F429" t="s">
        <v>370</v>
      </c>
      <c r="G429" s="1" t="str">
        <f>"026"</f>
        <v>026</v>
      </c>
      <c r="H429" s="1">
        <v>2004</v>
      </c>
      <c r="I429" s="6">
        <v>48349900</v>
      </c>
      <c r="J429" s="6">
        <v>33643100</v>
      </c>
      <c r="K429" s="6">
        <v>14706800</v>
      </c>
      <c r="L429" s="7"/>
    </row>
    <row r="430" spans="1:12" x14ac:dyDescent="0.25">
      <c r="A430" t="s">
        <v>369</v>
      </c>
      <c r="B430" s="5">
        <v>532695</v>
      </c>
      <c r="C430" t="s">
        <v>95</v>
      </c>
      <c r="D430" s="1" t="str">
        <f t="shared" si="9"/>
        <v>53241</v>
      </c>
      <c r="E430" t="s">
        <v>10</v>
      </c>
      <c r="F430" t="s">
        <v>370</v>
      </c>
      <c r="G430" s="1" t="str">
        <f>"027"</f>
        <v>027</v>
      </c>
      <c r="H430" s="1">
        <v>2003</v>
      </c>
      <c r="I430" s="6">
        <v>4339500</v>
      </c>
      <c r="J430" s="6">
        <v>4064800</v>
      </c>
      <c r="K430" s="6">
        <v>274700</v>
      </c>
      <c r="L430" s="7"/>
    </row>
    <row r="431" spans="1:12" x14ac:dyDescent="0.25">
      <c r="A431" t="s">
        <v>369</v>
      </c>
      <c r="B431" s="5">
        <v>532695</v>
      </c>
      <c r="C431" t="s">
        <v>95</v>
      </c>
      <c r="D431" s="1" t="str">
        <f t="shared" si="9"/>
        <v>53241</v>
      </c>
      <c r="E431" t="s">
        <v>10</v>
      </c>
      <c r="F431" t="s">
        <v>370</v>
      </c>
      <c r="G431" s="1" t="str">
        <f>"028"</f>
        <v>028</v>
      </c>
      <c r="H431" s="1">
        <v>2006</v>
      </c>
      <c r="I431" s="6">
        <v>2489700</v>
      </c>
      <c r="J431" s="6">
        <v>2471400</v>
      </c>
      <c r="K431" s="6">
        <v>18300</v>
      </c>
      <c r="L431" s="7"/>
    </row>
    <row r="432" spans="1:12" x14ac:dyDescent="0.25">
      <c r="A432" t="s">
        <v>369</v>
      </c>
      <c r="B432" s="5">
        <v>532695</v>
      </c>
      <c r="C432" t="s">
        <v>95</v>
      </c>
      <c r="D432" s="1" t="str">
        <f t="shared" si="9"/>
        <v>53241</v>
      </c>
      <c r="E432" t="s">
        <v>10</v>
      </c>
      <c r="F432" t="s">
        <v>370</v>
      </c>
      <c r="G432" s="1" t="str">
        <f>"029"</f>
        <v>029</v>
      </c>
      <c r="H432" s="1">
        <v>2007</v>
      </c>
      <c r="I432" s="6">
        <v>9151100</v>
      </c>
      <c r="J432" s="6">
        <v>6610100</v>
      </c>
      <c r="K432" s="6">
        <v>2541000</v>
      </c>
      <c r="L432" s="7"/>
    </row>
    <row r="433" spans="1:12" x14ac:dyDescent="0.25">
      <c r="A433" t="s">
        <v>369</v>
      </c>
      <c r="B433" s="5">
        <v>532695</v>
      </c>
      <c r="C433" t="s">
        <v>95</v>
      </c>
      <c r="D433" s="1" t="str">
        <f t="shared" si="9"/>
        <v>53241</v>
      </c>
      <c r="E433" t="s">
        <v>10</v>
      </c>
      <c r="F433" t="s">
        <v>370</v>
      </c>
      <c r="G433" s="1" t="str">
        <f>"032"</f>
        <v>032</v>
      </c>
      <c r="H433" s="1">
        <v>2008</v>
      </c>
      <c r="I433" s="6">
        <v>117965200</v>
      </c>
      <c r="J433" s="6">
        <v>54834800</v>
      </c>
      <c r="K433" s="6">
        <v>63130400</v>
      </c>
      <c r="L433" s="7"/>
    </row>
    <row r="434" spans="1:12" x14ac:dyDescent="0.25">
      <c r="A434" t="s">
        <v>369</v>
      </c>
      <c r="B434" s="5">
        <v>532695</v>
      </c>
      <c r="C434" t="s">
        <v>95</v>
      </c>
      <c r="D434" s="1" t="str">
        <f t="shared" si="9"/>
        <v>53241</v>
      </c>
      <c r="E434" t="s">
        <v>10</v>
      </c>
      <c r="F434" t="s">
        <v>370</v>
      </c>
      <c r="G434" s="1" t="str">
        <f>"033"</f>
        <v>033</v>
      </c>
      <c r="H434" s="1">
        <v>2008</v>
      </c>
      <c r="I434" s="6">
        <v>19024100</v>
      </c>
      <c r="J434" s="6">
        <v>7048500</v>
      </c>
      <c r="K434" s="6">
        <v>11975600</v>
      </c>
      <c r="L434" s="7"/>
    </row>
    <row r="435" spans="1:12" x14ac:dyDescent="0.25">
      <c r="A435" t="s">
        <v>369</v>
      </c>
      <c r="B435" s="5">
        <v>532695</v>
      </c>
      <c r="C435" t="s">
        <v>95</v>
      </c>
      <c r="D435" s="1" t="str">
        <f t="shared" si="9"/>
        <v>53241</v>
      </c>
      <c r="E435" t="s">
        <v>10</v>
      </c>
      <c r="F435" t="s">
        <v>370</v>
      </c>
      <c r="G435" s="1" t="str">
        <f>"035"</f>
        <v>035</v>
      </c>
      <c r="H435" s="1">
        <v>2011</v>
      </c>
      <c r="I435" s="6">
        <v>83879600</v>
      </c>
      <c r="J435" s="6">
        <v>27730500</v>
      </c>
      <c r="K435" s="6">
        <v>56149100</v>
      </c>
      <c r="L435" s="7"/>
    </row>
    <row r="436" spans="1:12" x14ac:dyDescent="0.25">
      <c r="A436" t="s">
        <v>369</v>
      </c>
      <c r="B436" s="5">
        <v>532695</v>
      </c>
      <c r="C436" t="s">
        <v>95</v>
      </c>
      <c r="D436" s="1" t="str">
        <f t="shared" si="9"/>
        <v>53241</v>
      </c>
      <c r="E436" t="s">
        <v>10</v>
      </c>
      <c r="F436" t="s">
        <v>370</v>
      </c>
      <c r="G436" s="1" t="str">
        <f>"036"</f>
        <v>036</v>
      </c>
      <c r="H436" s="1">
        <v>2016</v>
      </c>
      <c r="I436" s="6">
        <v>96046100</v>
      </c>
      <c r="J436" s="6">
        <v>89009600</v>
      </c>
      <c r="K436" s="6">
        <v>7036500</v>
      </c>
      <c r="L436" s="7"/>
    </row>
    <row r="437" spans="1:12" x14ac:dyDescent="0.25">
      <c r="A437" t="s">
        <v>369</v>
      </c>
      <c r="B437" s="5">
        <v>532695</v>
      </c>
      <c r="C437" t="s">
        <v>95</v>
      </c>
      <c r="D437" s="1" t="str">
        <f t="shared" si="9"/>
        <v>53241</v>
      </c>
      <c r="E437" t="s">
        <v>10</v>
      </c>
      <c r="F437" t="s">
        <v>370</v>
      </c>
      <c r="G437" s="1" t="str">
        <f>"037"</f>
        <v>037</v>
      </c>
      <c r="H437" s="1">
        <v>2017</v>
      </c>
      <c r="I437" s="6">
        <v>20124100</v>
      </c>
      <c r="J437" s="6">
        <v>7260400</v>
      </c>
      <c r="K437" s="6">
        <v>12863700</v>
      </c>
      <c r="L437" s="7"/>
    </row>
    <row r="438" spans="1:12" x14ac:dyDescent="0.25">
      <c r="A438" t="s">
        <v>371</v>
      </c>
      <c r="B438" s="5">
        <v>282702</v>
      </c>
      <c r="C438" t="s">
        <v>287</v>
      </c>
      <c r="D438" s="1" t="str">
        <f>"28241"</f>
        <v>28241</v>
      </c>
      <c r="E438" t="s">
        <v>10</v>
      </c>
      <c r="F438" t="s">
        <v>287</v>
      </c>
      <c r="G438" s="1" t="str">
        <f>"004"</f>
        <v>004</v>
      </c>
      <c r="H438" s="1">
        <v>2000</v>
      </c>
      <c r="I438" s="6">
        <v>1626800</v>
      </c>
      <c r="J438" s="6">
        <v>0</v>
      </c>
      <c r="K438" s="6">
        <v>1626800</v>
      </c>
      <c r="L438" s="7"/>
    </row>
    <row r="439" spans="1:12" x14ac:dyDescent="0.25">
      <c r="A439" t="s">
        <v>371</v>
      </c>
      <c r="B439" s="5">
        <v>282702</v>
      </c>
      <c r="C439" t="s">
        <v>287</v>
      </c>
      <c r="D439" s="1" t="str">
        <f>"28241"</f>
        <v>28241</v>
      </c>
      <c r="E439" t="s">
        <v>10</v>
      </c>
      <c r="F439" t="s">
        <v>287</v>
      </c>
      <c r="G439" s="1" t="str">
        <f>"005"</f>
        <v>005</v>
      </c>
      <c r="H439" s="1">
        <v>2001</v>
      </c>
      <c r="I439" s="6">
        <v>32552600</v>
      </c>
      <c r="J439" s="6">
        <v>21437300</v>
      </c>
      <c r="K439" s="6">
        <v>11115300</v>
      </c>
      <c r="L439" s="7"/>
    </row>
    <row r="440" spans="1:12" x14ac:dyDescent="0.25">
      <c r="A440" t="s">
        <v>371</v>
      </c>
      <c r="B440" s="5">
        <v>282702</v>
      </c>
      <c r="C440" t="s">
        <v>287</v>
      </c>
      <c r="D440" s="1" t="str">
        <f>"28241"</f>
        <v>28241</v>
      </c>
      <c r="E440" t="s">
        <v>10</v>
      </c>
      <c r="F440" t="s">
        <v>287</v>
      </c>
      <c r="G440" s="1" t="str">
        <f>"006"</f>
        <v>006</v>
      </c>
      <c r="H440" s="1">
        <v>2009</v>
      </c>
      <c r="I440" s="6">
        <v>7673200</v>
      </c>
      <c r="J440" s="6">
        <v>0</v>
      </c>
      <c r="K440" s="6">
        <v>7673200</v>
      </c>
      <c r="L440" s="7"/>
    </row>
    <row r="441" spans="1:12" x14ac:dyDescent="0.25">
      <c r="A441" t="s">
        <v>371</v>
      </c>
      <c r="B441" s="5">
        <v>282702</v>
      </c>
      <c r="C441" t="s">
        <v>287</v>
      </c>
      <c r="D441" s="1" t="str">
        <f>"28241"</f>
        <v>28241</v>
      </c>
      <c r="E441" t="s">
        <v>10</v>
      </c>
      <c r="F441" t="s">
        <v>287</v>
      </c>
      <c r="G441" s="1" t="str">
        <f>"007"</f>
        <v>007</v>
      </c>
      <c r="H441" s="1">
        <v>2012</v>
      </c>
      <c r="I441" s="6">
        <v>10370900</v>
      </c>
      <c r="J441" s="6">
        <v>18200</v>
      </c>
      <c r="K441" s="6">
        <v>10352700</v>
      </c>
      <c r="L441" s="7"/>
    </row>
    <row r="442" spans="1:12" x14ac:dyDescent="0.25">
      <c r="A442" t="s">
        <v>371</v>
      </c>
      <c r="B442" s="5">
        <v>282702</v>
      </c>
      <c r="C442" t="s">
        <v>287</v>
      </c>
      <c r="D442" s="1" t="str">
        <f>"28241"</f>
        <v>28241</v>
      </c>
      <c r="E442" t="s">
        <v>10</v>
      </c>
      <c r="F442" t="s">
        <v>287</v>
      </c>
      <c r="G442" s="1" t="str">
        <f>"008"</f>
        <v>008</v>
      </c>
      <c r="H442" s="1">
        <v>2015</v>
      </c>
      <c r="I442" s="6">
        <v>1596200</v>
      </c>
      <c r="J442" s="6">
        <v>873200</v>
      </c>
      <c r="K442" s="6">
        <v>723000</v>
      </c>
      <c r="L442" s="7"/>
    </row>
    <row r="443" spans="1:12" x14ac:dyDescent="0.25">
      <c r="A443" t="s">
        <v>372</v>
      </c>
      <c r="B443" s="5">
        <v>282730</v>
      </c>
      <c r="C443" t="s">
        <v>287</v>
      </c>
      <c r="D443" s="1" t="str">
        <f>"28141"</f>
        <v>28141</v>
      </c>
      <c r="E443" t="s">
        <v>15</v>
      </c>
      <c r="F443" t="s">
        <v>373</v>
      </c>
      <c r="G443" s="1" t="str">
        <f>"002"</f>
        <v>002</v>
      </c>
      <c r="H443" s="1">
        <v>1994</v>
      </c>
      <c r="I443" s="6">
        <v>78644000</v>
      </c>
      <c r="J443" s="6">
        <v>11378800</v>
      </c>
      <c r="K443" s="6">
        <v>67265200</v>
      </c>
      <c r="L443" s="7"/>
    </row>
    <row r="444" spans="1:12" x14ac:dyDescent="0.25">
      <c r="A444" t="s">
        <v>372</v>
      </c>
      <c r="B444" s="5">
        <v>282730</v>
      </c>
      <c r="C444" t="s">
        <v>287</v>
      </c>
      <c r="D444" s="1" t="str">
        <f>"28141"</f>
        <v>28141</v>
      </c>
      <c r="E444" t="s">
        <v>15</v>
      </c>
      <c r="F444" t="s">
        <v>373</v>
      </c>
      <c r="G444" s="1" t="str">
        <f>"003"</f>
        <v>003</v>
      </c>
      <c r="H444" s="1">
        <v>1995</v>
      </c>
      <c r="I444" s="6">
        <v>64386600</v>
      </c>
      <c r="J444" s="6">
        <v>701400</v>
      </c>
      <c r="K444" s="6">
        <v>63685200</v>
      </c>
      <c r="L444" s="7"/>
    </row>
    <row r="445" spans="1:12" x14ac:dyDescent="0.25">
      <c r="A445" t="s">
        <v>374</v>
      </c>
      <c r="B445" s="5">
        <v>442758</v>
      </c>
      <c r="C445" t="s">
        <v>38</v>
      </c>
      <c r="D445" s="1" t="str">
        <f>"08179"</f>
        <v>08179</v>
      </c>
      <c r="E445" t="s">
        <v>15</v>
      </c>
      <c r="F445" t="s">
        <v>375</v>
      </c>
      <c r="G445" s="1" t="str">
        <f>"001"</f>
        <v>001</v>
      </c>
      <c r="H445" s="1">
        <v>1992</v>
      </c>
      <c r="I445" s="6">
        <v>13726700</v>
      </c>
      <c r="J445" s="6">
        <v>81600</v>
      </c>
      <c r="K445" s="6">
        <v>13645100</v>
      </c>
      <c r="L445" s="7"/>
    </row>
    <row r="446" spans="1:12" x14ac:dyDescent="0.25">
      <c r="A446" t="s">
        <v>374</v>
      </c>
      <c r="B446" s="5">
        <v>442758</v>
      </c>
      <c r="C446" t="s">
        <v>38</v>
      </c>
      <c r="D446" s="1" t="str">
        <f>"08179"</f>
        <v>08179</v>
      </c>
      <c r="E446" t="s">
        <v>15</v>
      </c>
      <c r="F446" t="s">
        <v>375</v>
      </c>
      <c r="G446" s="1" t="str">
        <f>"002"</f>
        <v>002</v>
      </c>
      <c r="H446" s="1">
        <v>2013</v>
      </c>
      <c r="I446" s="6">
        <v>4680700</v>
      </c>
      <c r="J446" s="6">
        <v>2827500</v>
      </c>
      <c r="K446" s="6">
        <v>1853200</v>
      </c>
      <c r="L446" s="7"/>
    </row>
    <row r="447" spans="1:12" x14ac:dyDescent="0.25">
      <c r="A447" t="s">
        <v>374</v>
      </c>
      <c r="B447" s="5">
        <v>442758</v>
      </c>
      <c r="C447" t="s">
        <v>38</v>
      </c>
      <c r="D447" s="1" t="str">
        <f>"08179"</f>
        <v>08179</v>
      </c>
      <c r="E447" t="s">
        <v>15</v>
      </c>
      <c r="F447" t="s">
        <v>375</v>
      </c>
      <c r="G447" s="1" t="str">
        <f>"003"</f>
        <v>003</v>
      </c>
      <c r="H447" s="1">
        <v>2013</v>
      </c>
      <c r="I447" s="6">
        <v>9843000</v>
      </c>
      <c r="J447" s="6">
        <v>8668600</v>
      </c>
      <c r="K447" s="6">
        <v>1174400</v>
      </c>
      <c r="L447" s="7"/>
    </row>
    <row r="448" spans="1:12" x14ac:dyDescent="0.25">
      <c r="A448" t="s">
        <v>374</v>
      </c>
      <c r="B448" s="5">
        <v>442758</v>
      </c>
      <c r="C448" t="s">
        <v>40</v>
      </c>
      <c r="D448" s="1" t="str">
        <f t="shared" ref="D448:D453" si="10">"44241"</f>
        <v>44241</v>
      </c>
      <c r="E448" t="s">
        <v>10</v>
      </c>
      <c r="F448" t="s">
        <v>376</v>
      </c>
      <c r="G448" s="1" t="str">
        <f>"001E"</f>
        <v>001E</v>
      </c>
      <c r="H448" s="1">
        <v>2005</v>
      </c>
      <c r="I448" s="6">
        <v>4255800</v>
      </c>
      <c r="J448" s="6">
        <v>32800</v>
      </c>
      <c r="K448" s="6">
        <v>4223000</v>
      </c>
      <c r="L448" s="7"/>
    </row>
    <row r="449" spans="1:12" x14ac:dyDescent="0.25">
      <c r="A449" t="s">
        <v>374</v>
      </c>
      <c r="B449" s="5">
        <v>442758</v>
      </c>
      <c r="C449" t="s">
        <v>40</v>
      </c>
      <c r="D449" s="1" t="str">
        <f t="shared" si="10"/>
        <v>44241</v>
      </c>
      <c r="E449" t="s">
        <v>10</v>
      </c>
      <c r="F449" t="s">
        <v>376</v>
      </c>
      <c r="G449" s="1" t="str">
        <f>"004"</f>
        <v>004</v>
      </c>
      <c r="H449" s="1">
        <v>2000</v>
      </c>
      <c r="I449" s="6">
        <v>19731500</v>
      </c>
      <c r="J449" s="6">
        <v>16049300</v>
      </c>
      <c r="K449" s="6">
        <v>3682200</v>
      </c>
      <c r="L449" s="7"/>
    </row>
    <row r="450" spans="1:12" x14ac:dyDescent="0.25">
      <c r="A450" t="s">
        <v>374</v>
      </c>
      <c r="B450" s="5">
        <v>442758</v>
      </c>
      <c r="C450" t="s">
        <v>40</v>
      </c>
      <c r="D450" s="1" t="str">
        <f t="shared" si="10"/>
        <v>44241</v>
      </c>
      <c r="E450" t="s">
        <v>10</v>
      </c>
      <c r="F450" t="s">
        <v>376</v>
      </c>
      <c r="G450" s="1" t="str">
        <f>"005"</f>
        <v>005</v>
      </c>
      <c r="H450" s="1">
        <v>2003</v>
      </c>
      <c r="I450" s="6">
        <v>4234800</v>
      </c>
      <c r="J450" s="6">
        <v>1077900</v>
      </c>
      <c r="K450" s="6">
        <v>3156900</v>
      </c>
      <c r="L450" s="7"/>
    </row>
    <row r="451" spans="1:12" x14ac:dyDescent="0.25">
      <c r="A451" t="s">
        <v>374</v>
      </c>
      <c r="B451" s="5">
        <v>442758</v>
      </c>
      <c r="C451" t="s">
        <v>40</v>
      </c>
      <c r="D451" s="1" t="str">
        <f t="shared" si="10"/>
        <v>44241</v>
      </c>
      <c r="E451" t="s">
        <v>10</v>
      </c>
      <c r="F451" t="s">
        <v>376</v>
      </c>
      <c r="G451" s="1" t="str">
        <f>"006"</f>
        <v>006</v>
      </c>
      <c r="H451" s="1">
        <v>2006</v>
      </c>
      <c r="I451" s="6">
        <v>42272300</v>
      </c>
      <c r="J451" s="6">
        <v>3151700</v>
      </c>
      <c r="K451" s="6">
        <v>39120600</v>
      </c>
      <c r="L451" s="7"/>
    </row>
    <row r="452" spans="1:12" x14ac:dyDescent="0.25">
      <c r="A452" t="s">
        <v>374</v>
      </c>
      <c r="B452" s="5">
        <v>442758</v>
      </c>
      <c r="C452" t="s">
        <v>40</v>
      </c>
      <c r="D452" s="1" t="str">
        <f t="shared" si="10"/>
        <v>44241</v>
      </c>
      <c r="E452" t="s">
        <v>10</v>
      </c>
      <c r="F452" t="s">
        <v>376</v>
      </c>
      <c r="G452" s="1" t="str">
        <f>"008"</f>
        <v>008</v>
      </c>
      <c r="H452" s="1">
        <v>2013</v>
      </c>
      <c r="I452" s="6">
        <v>8075800</v>
      </c>
      <c r="J452" s="6">
        <v>2571200</v>
      </c>
      <c r="K452" s="6">
        <v>5504600</v>
      </c>
      <c r="L452" s="7"/>
    </row>
    <row r="453" spans="1:12" x14ac:dyDescent="0.25">
      <c r="A453" t="s">
        <v>374</v>
      </c>
      <c r="B453" s="5">
        <v>442758</v>
      </c>
      <c r="C453" t="s">
        <v>40</v>
      </c>
      <c r="D453" s="1" t="str">
        <f t="shared" si="10"/>
        <v>44241</v>
      </c>
      <c r="E453" t="s">
        <v>10</v>
      </c>
      <c r="F453" t="s">
        <v>376</v>
      </c>
      <c r="G453" s="1" t="str">
        <f>"009"</f>
        <v>009</v>
      </c>
      <c r="H453" s="1">
        <v>2016</v>
      </c>
      <c r="I453" s="6">
        <v>2218400</v>
      </c>
      <c r="J453" s="6">
        <v>1306600</v>
      </c>
      <c r="K453" s="6">
        <v>911800</v>
      </c>
      <c r="L453" s="7"/>
    </row>
    <row r="454" spans="1:12" x14ac:dyDescent="0.25">
      <c r="A454" t="s">
        <v>374</v>
      </c>
      <c r="B454" s="5">
        <v>442758</v>
      </c>
      <c r="C454" t="s">
        <v>40</v>
      </c>
      <c r="D454" s="1" t="str">
        <f>"44146"</f>
        <v>44146</v>
      </c>
      <c r="E454" t="s">
        <v>15</v>
      </c>
      <c r="F454" t="s">
        <v>43</v>
      </c>
      <c r="G454" s="1" t="str">
        <f>"004"</f>
        <v>004</v>
      </c>
      <c r="H454" s="1">
        <v>2007</v>
      </c>
      <c r="I454" s="6">
        <v>81600</v>
      </c>
      <c r="J454" s="6">
        <v>183600</v>
      </c>
      <c r="K454" s="6">
        <v>-102000</v>
      </c>
      <c r="L454" s="7"/>
    </row>
    <row r="455" spans="1:12" x14ac:dyDescent="0.25">
      <c r="A455" t="s">
        <v>374</v>
      </c>
      <c r="B455" s="5">
        <v>442758</v>
      </c>
      <c r="C455" t="s">
        <v>40</v>
      </c>
      <c r="D455" s="1" t="str">
        <f>"44146"</f>
        <v>44146</v>
      </c>
      <c r="E455" t="s">
        <v>15</v>
      </c>
      <c r="F455" t="s">
        <v>43</v>
      </c>
      <c r="G455" s="1" t="str">
        <f>"005"</f>
        <v>005</v>
      </c>
      <c r="H455" s="1">
        <v>2013</v>
      </c>
      <c r="I455" s="6">
        <v>9604600</v>
      </c>
      <c r="J455" s="6">
        <v>5504700</v>
      </c>
      <c r="K455" s="6">
        <v>4099900</v>
      </c>
      <c r="L455" s="7"/>
    </row>
    <row r="456" spans="1:12" x14ac:dyDescent="0.25">
      <c r="A456" t="s">
        <v>374</v>
      </c>
      <c r="B456" s="5">
        <v>442758</v>
      </c>
      <c r="C456" t="s">
        <v>40</v>
      </c>
      <c r="D456" s="1" t="str">
        <f>"44146"</f>
        <v>44146</v>
      </c>
      <c r="E456" t="s">
        <v>15</v>
      </c>
      <c r="F456" t="s">
        <v>43</v>
      </c>
      <c r="G456" s="1" t="str">
        <f>"006"</f>
        <v>006</v>
      </c>
      <c r="H456" s="1">
        <v>2016</v>
      </c>
      <c r="I456" s="6">
        <v>51194400</v>
      </c>
      <c r="J456" s="6">
        <v>2075700</v>
      </c>
      <c r="K456" s="6">
        <v>49118700</v>
      </c>
      <c r="L456" s="7"/>
    </row>
    <row r="457" spans="1:12" x14ac:dyDescent="0.25">
      <c r="A457" t="s">
        <v>374</v>
      </c>
      <c r="B457" s="5">
        <v>442758</v>
      </c>
      <c r="C457" t="s">
        <v>40</v>
      </c>
      <c r="D457" s="1" t="str">
        <f>"44146"</f>
        <v>44146</v>
      </c>
      <c r="E457" t="s">
        <v>15</v>
      </c>
      <c r="F457" t="s">
        <v>43</v>
      </c>
      <c r="G457" s="1" t="str">
        <f>"007"</f>
        <v>007</v>
      </c>
      <c r="H457" s="1">
        <v>2018</v>
      </c>
      <c r="I457" s="6">
        <v>8064200</v>
      </c>
      <c r="J457" s="6">
        <v>3436200</v>
      </c>
      <c r="K457" s="6">
        <v>4628000</v>
      </c>
      <c r="L457" s="7"/>
    </row>
    <row r="458" spans="1:12" x14ac:dyDescent="0.25">
      <c r="A458" t="s">
        <v>377</v>
      </c>
      <c r="B458" s="5">
        <v>302793</v>
      </c>
      <c r="C458" t="s">
        <v>129</v>
      </c>
      <c r="D458" s="1" t="str">
        <f t="shared" ref="D458:D478" si="11">"30241"</f>
        <v>30241</v>
      </c>
      <c r="E458" t="s">
        <v>10</v>
      </c>
      <c r="F458" t="s">
        <v>129</v>
      </c>
      <c r="G458" s="1" t="str">
        <f>"001"</f>
        <v>001</v>
      </c>
      <c r="H458" s="1">
        <v>1979</v>
      </c>
      <c r="I458" s="6">
        <v>78665600</v>
      </c>
      <c r="J458" s="6">
        <v>2273000</v>
      </c>
      <c r="K458" s="6">
        <v>76392600</v>
      </c>
      <c r="L458" s="7"/>
    </row>
    <row r="459" spans="1:12" x14ac:dyDescent="0.25">
      <c r="A459" t="s">
        <v>377</v>
      </c>
      <c r="B459" s="5">
        <v>302793</v>
      </c>
      <c r="C459" t="s">
        <v>129</v>
      </c>
      <c r="D459" s="1" t="str">
        <f t="shared" si="11"/>
        <v>30241</v>
      </c>
      <c r="E459" t="s">
        <v>10</v>
      </c>
      <c r="F459" t="s">
        <v>129</v>
      </c>
      <c r="G459" s="1" t="str">
        <f>"004"</f>
        <v>004</v>
      </c>
      <c r="H459" s="1">
        <v>1989</v>
      </c>
      <c r="I459" s="6">
        <v>118874000</v>
      </c>
      <c r="J459" s="6">
        <v>16173300</v>
      </c>
      <c r="K459" s="6">
        <v>102700700</v>
      </c>
      <c r="L459" s="7"/>
    </row>
    <row r="460" spans="1:12" x14ac:dyDescent="0.25">
      <c r="A460" t="s">
        <v>377</v>
      </c>
      <c r="B460" s="5">
        <v>302793</v>
      </c>
      <c r="C460" t="s">
        <v>129</v>
      </c>
      <c r="D460" s="1" t="str">
        <f t="shared" si="11"/>
        <v>30241</v>
      </c>
      <c r="E460" t="s">
        <v>10</v>
      </c>
      <c r="F460" t="s">
        <v>129</v>
      </c>
      <c r="G460" s="1" t="str">
        <f>"005"</f>
        <v>005</v>
      </c>
      <c r="H460" s="1">
        <v>1994</v>
      </c>
      <c r="I460" s="6">
        <v>108183000</v>
      </c>
      <c r="J460" s="6">
        <v>319700</v>
      </c>
      <c r="K460" s="6">
        <v>107863300</v>
      </c>
      <c r="L460" s="7"/>
    </row>
    <row r="461" spans="1:12" x14ac:dyDescent="0.25">
      <c r="A461" t="s">
        <v>377</v>
      </c>
      <c r="B461" s="5">
        <v>302793</v>
      </c>
      <c r="C461" t="s">
        <v>129</v>
      </c>
      <c r="D461" s="1" t="str">
        <f t="shared" si="11"/>
        <v>30241</v>
      </c>
      <c r="E461" t="s">
        <v>10</v>
      </c>
      <c r="F461" t="s">
        <v>129</v>
      </c>
      <c r="G461" s="1" t="str">
        <f>"006"</f>
        <v>006</v>
      </c>
      <c r="H461" s="1">
        <v>1997</v>
      </c>
      <c r="I461" s="6">
        <v>17516000</v>
      </c>
      <c r="J461" s="6">
        <v>3716200</v>
      </c>
      <c r="K461" s="6">
        <v>13799800</v>
      </c>
      <c r="L461" s="7"/>
    </row>
    <row r="462" spans="1:12" x14ac:dyDescent="0.25">
      <c r="A462" t="s">
        <v>377</v>
      </c>
      <c r="B462" s="5">
        <v>302793</v>
      </c>
      <c r="C462" t="s">
        <v>129</v>
      </c>
      <c r="D462" s="1" t="str">
        <f t="shared" si="11"/>
        <v>30241</v>
      </c>
      <c r="E462" t="s">
        <v>10</v>
      </c>
      <c r="F462" t="s">
        <v>129</v>
      </c>
      <c r="G462" s="1" t="str">
        <f>"007"</f>
        <v>007</v>
      </c>
      <c r="H462" s="1">
        <v>2002</v>
      </c>
      <c r="I462" s="6">
        <v>11569000</v>
      </c>
      <c r="J462" s="6">
        <v>1178600</v>
      </c>
      <c r="K462" s="6">
        <v>10390400</v>
      </c>
      <c r="L462" s="7"/>
    </row>
    <row r="463" spans="1:12" x14ac:dyDescent="0.25">
      <c r="A463" t="s">
        <v>377</v>
      </c>
      <c r="B463" s="5">
        <v>302793</v>
      </c>
      <c r="C463" t="s">
        <v>129</v>
      </c>
      <c r="D463" s="1" t="str">
        <f t="shared" si="11"/>
        <v>30241</v>
      </c>
      <c r="E463" t="s">
        <v>10</v>
      </c>
      <c r="F463" t="s">
        <v>129</v>
      </c>
      <c r="G463" s="1" t="str">
        <f>"008"</f>
        <v>008</v>
      </c>
      <c r="H463" s="1">
        <v>2002</v>
      </c>
      <c r="I463" s="6">
        <v>66907400</v>
      </c>
      <c r="J463" s="6">
        <v>245900</v>
      </c>
      <c r="K463" s="6">
        <v>66661500</v>
      </c>
      <c r="L463" s="7"/>
    </row>
    <row r="464" spans="1:12" x14ac:dyDescent="0.25">
      <c r="A464" t="s">
        <v>377</v>
      </c>
      <c r="B464" s="5">
        <v>302793</v>
      </c>
      <c r="C464" t="s">
        <v>129</v>
      </c>
      <c r="D464" s="1" t="str">
        <f t="shared" si="11"/>
        <v>30241</v>
      </c>
      <c r="E464" t="s">
        <v>10</v>
      </c>
      <c r="F464" t="s">
        <v>129</v>
      </c>
      <c r="G464" s="1" t="str">
        <f>"009"</f>
        <v>009</v>
      </c>
      <c r="H464" s="1">
        <v>2003</v>
      </c>
      <c r="I464" s="6">
        <v>64854600</v>
      </c>
      <c r="J464" s="6">
        <v>24538700</v>
      </c>
      <c r="K464" s="6">
        <v>40315900</v>
      </c>
      <c r="L464" s="7"/>
    </row>
    <row r="465" spans="1:12" x14ac:dyDescent="0.25">
      <c r="A465" t="s">
        <v>377</v>
      </c>
      <c r="B465" s="5">
        <v>302793</v>
      </c>
      <c r="C465" t="s">
        <v>129</v>
      </c>
      <c r="D465" s="1" t="str">
        <f t="shared" si="11"/>
        <v>30241</v>
      </c>
      <c r="E465" t="s">
        <v>10</v>
      </c>
      <c r="F465" t="s">
        <v>129</v>
      </c>
      <c r="G465" s="1" t="str">
        <f>"010"</f>
        <v>010</v>
      </c>
      <c r="H465" s="1">
        <v>2005</v>
      </c>
      <c r="I465" s="6">
        <v>15591000</v>
      </c>
      <c r="J465" s="6">
        <v>12297700</v>
      </c>
      <c r="K465" s="6">
        <v>3293300</v>
      </c>
      <c r="L465" s="7"/>
    </row>
    <row r="466" spans="1:12" x14ac:dyDescent="0.25">
      <c r="A466" t="s">
        <v>377</v>
      </c>
      <c r="B466" s="5">
        <v>302793</v>
      </c>
      <c r="C466" t="s">
        <v>129</v>
      </c>
      <c r="D466" s="1" t="str">
        <f t="shared" si="11"/>
        <v>30241</v>
      </c>
      <c r="E466" t="s">
        <v>10</v>
      </c>
      <c r="F466" t="s">
        <v>129</v>
      </c>
      <c r="G466" s="1" t="str">
        <f>"011"</f>
        <v>011</v>
      </c>
      <c r="H466" s="1">
        <v>2006</v>
      </c>
      <c r="I466" s="6">
        <v>107437100</v>
      </c>
      <c r="J466" s="6">
        <v>2873300</v>
      </c>
      <c r="K466" s="6">
        <v>104563800</v>
      </c>
      <c r="L466" s="7"/>
    </row>
    <row r="467" spans="1:12" x14ac:dyDescent="0.25">
      <c r="A467" t="s">
        <v>377</v>
      </c>
      <c r="B467" s="5">
        <v>302793</v>
      </c>
      <c r="C467" t="s">
        <v>129</v>
      </c>
      <c r="D467" s="1" t="str">
        <f t="shared" si="11"/>
        <v>30241</v>
      </c>
      <c r="E467" t="s">
        <v>10</v>
      </c>
      <c r="F467" t="s">
        <v>129</v>
      </c>
      <c r="G467" s="1" t="str">
        <f>"013"</f>
        <v>013</v>
      </c>
      <c r="H467" s="1">
        <v>2008</v>
      </c>
      <c r="I467" s="6">
        <v>56520300</v>
      </c>
      <c r="J467" s="6">
        <v>625100</v>
      </c>
      <c r="K467" s="6">
        <v>55895200</v>
      </c>
      <c r="L467" s="7"/>
    </row>
    <row r="468" spans="1:12" x14ac:dyDescent="0.25">
      <c r="A468" t="s">
        <v>377</v>
      </c>
      <c r="B468" s="5">
        <v>302793</v>
      </c>
      <c r="C468" t="s">
        <v>129</v>
      </c>
      <c r="D468" s="1" t="str">
        <f t="shared" si="11"/>
        <v>30241</v>
      </c>
      <c r="E468" t="s">
        <v>10</v>
      </c>
      <c r="F468" t="s">
        <v>129</v>
      </c>
      <c r="G468" s="1" t="str">
        <f>"015"</f>
        <v>015</v>
      </c>
      <c r="H468" s="1">
        <v>2013</v>
      </c>
      <c r="I468" s="6">
        <v>1261900</v>
      </c>
      <c r="J468" s="6">
        <v>291500</v>
      </c>
      <c r="K468" s="6">
        <v>970400</v>
      </c>
      <c r="L468" s="7"/>
    </row>
    <row r="469" spans="1:12" x14ac:dyDescent="0.25">
      <c r="A469" t="s">
        <v>377</v>
      </c>
      <c r="B469" s="5">
        <v>302793</v>
      </c>
      <c r="C469" t="s">
        <v>129</v>
      </c>
      <c r="D469" s="1" t="str">
        <f t="shared" si="11"/>
        <v>30241</v>
      </c>
      <c r="E469" t="s">
        <v>10</v>
      </c>
      <c r="F469" t="s">
        <v>129</v>
      </c>
      <c r="G469" s="1" t="str">
        <f>"016"</f>
        <v>016</v>
      </c>
      <c r="H469" s="1">
        <v>2013</v>
      </c>
      <c r="I469" s="6">
        <v>160535300</v>
      </c>
      <c r="J469" s="6">
        <v>1571900</v>
      </c>
      <c r="K469" s="6">
        <v>158963400</v>
      </c>
      <c r="L469" s="7"/>
    </row>
    <row r="470" spans="1:12" x14ac:dyDescent="0.25">
      <c r="A470" t="s">
        <v>377</v>
      </c>
      <c r="B470" s="5">
        <v>302793</v>
      </c>
      <c r="C470" t="s">
        <v>129</v>
      </c>
      <c r="D470" s="1" t="str">
        <f t="shared" si="11"/>
        <v>30241</v>
      </c>
      <c r="E470" t="s">
        <v>10</v>
      </c>
      <c r="F470" t="s">
        <v>129</v>
      </c>
      <c r="G470" s="1" t="str">
        <f>"017"</f>
        <v>017</v>
      </c>
      <c r="H470" s="1">
        <v>2014</v>
      </c>
      <c r="I470" s="6">
        <v>9278000</v>
      </c>
      <c r="J470" s="6">
        <v>50900</v>
      </c>
      <c r="K470" s="6">
        <v>9227100</v>
      </c>
      <c r="L470" s="7"/>
    </row>
    <row r="471" spans="1:12" x14ac:dyDescent="0.25">
      <c r="A471" t="s">
        <v>377</v>
      </c>
      <c r="B471" s="5">
        <v>302793</v>
      </c>
      <c r="C471" t="s">
        <v>129</v>
      </c>
      <c r="D471" s="1" t="str">
        <f t="shared" si="11"/>
        <v>30241</v>
      </c>
      <c r="E471" t="s">
        <v>10</v>
      </c>
      <c r="F471" t="s">
        <v>129</v>
      </c>
      <c r="G471" s="1" t="str">
        <f>"018"</f>
        <v>018</v>
      </c>
      <c r="H471" s="1">
        <v>2015</v>
      </c>
      <c r="I471" s="6">
        <v>14852200</v>
      </c>
      <c r="J471" s="6">
        <v>182300</v>
      </c>
      <c r="K471" s="6">
        <v>14669900</v>
      </c>
      <c r="L471" s="7"/>
    </row>
    <row r="472" spans="1:12" x14ac:dyDescent="0.25">
      <c r="A472" t="s">
        <v>377</v>
      </c>
      <c r="B472" s="5">
        <v>302793</v>
      </c>
      <c r="C472" t="s">
        <v>129</v>
      </c>
      <c r="D472" s="1" t="str">
        <f t="shared" si="11"/>
        <v>30241</v>
      </c>
      <c r="E472" t="s">
        <v>10</v>
      </c>
      <c r="F472" t="s">
        <v>129</v>
      </c>
      <c r="G472" s="1" t="str">
        <f>"019"</f>
        <v>019</v>
      </c>
      <c r="H472" s="1">
        <v>2017</v>
      </c>
      <c r="I472" s="6">
        <v>358400</v>
      </c>
      <c r="J472" s="6">
        <v>400900</v>
      </c>
      <c r="K472" s="6">
        <v>-42500</v>
      </c>
      <c r="L472" s="7"/>
    </row>
    <row r="473" spans="1:12" x14ac:dyDescent="0.25">
      <c r="A473" t="s">
        <v>377</v>
      </c>
      <c r="B473" s="5">
        <v>302793</v>
      </c>
      <c r="C473" t="s">
        <v>129</v>
      </c>
      <c r="D473" s="1" t="str">
        <f t="shared" si="11"/>
        <v>30241</v>
      </c>
      <c r="E473" t="s">
        <v>10</v>
      </c>
      <c r="F473" t="s">
        <v>129</v>
      </c>
      <c r="G473" s="1" t="str">
        <f>"020"</f>
        <v>020</v>
      </c>
      <c r="H473" s="1">
        <v>2017</v>
      </c>
      <c r="I473" s="6">
        <v>11967400</v>
      </c>
      <c r="J473" s="6">
        <v>4000</v>
      </c>
      <c r="K473" s="6">
        <v>11963400</v>
      </c>
      <c r="L473" s="7"/>
    </row>
    <row r="474" spans="1:12" x14ac:dyDescent="0.25">
      <c r="A474" t="s">
        <v>377</v>
      </c>
      <c r="B474" s="5">
        <v>302793</v>
      </c>
      <c r="C474" t="s">
        <v>129</v>
      </c>
      <c r="D474" s="1" t="str">
        <f t="shared" si="11"/>
        <v>30241</v>
      </c>
      <c r="E474" t="s">
        <v>10</v>
      </c>
      <c r="F474" t="s">
        <v>129</v>
      </c>
      <c r="G474" s="1" t="str">
        <f>"022"</f>
        <v>022</v>
      </c>
      <c r="H474" s="1">
        <v>2018</v>
      </c>
      <c r="I474" s="6">
        <v>16107000</v>
      </c>
      <c r="J474" s="6">
        <v>14852400</v>
      </c>
      <c r="K474" s="6">
        <v>1254600</v>
      </c>
      <c r="L474" s="7"/>
    </row>
    <row r="475" spans="1:12" x14ac:dyDescent="0.25">
      <c r="A475" t="s">
        <v>377</v>
      </c>
      <c r="B475" s="5">
        <v>302793</v>
      </c>
      <c r="C475" t="s">
        <v>129</v>
      </c>
      <c r="D475" s="1" t="str">
        <f t="shared" si="11"/>
        <v>30241</v>
      </c>
      <c r="E475" t="s">
        <v>10</v>
      </c>
      <c r="F475" t="s">
        <v>129</v>
      </c>
      <c r="G475" s="1" t="str">
        <f>"023"</f>
        <v>023</v>
      </c>
      <c r="H475" s="1">
        <v>2018</v>
      </c>
      <c r="I475" s="6">
        <v>0</v>
      </c>
      <c r="J475" s="6">
        <v>0</v>
      </c>
      <c r="K475" s="6">
        <v>0</v>
      </c>
      <c r="L475" s="7"/>
    </row>
    <row r="476" spans="1:12" x14ac:dyDescent="0.25">
      <c r="A476" t="s">
        <v>377</v>
      </c>
      <c r="B476" s="5">
        <v>302793</v>
      </c>
      <c r="C476" t="s">
        <v>129</v>
      </c>
      <c r="D476" s="1" t="str">
        <f t="shared" si="11"/>
        <v>30241</v>
      </c>
      <c r="E476" t="s">
        <v>10</v>
      </c>
      <c r="F476" t="s">
        <v>129</v>
      </c>
      <c r="G476" s="1" t="str">
        <f>"024"</f>
        <v>024</v>
      </c>
      <c r="H476" s="1">
        <v>2018</v>
      </c>
      <c r="I476" s="6">
        <v>0</v>
      </c>
      <c r="J476" s="6">
        <v>0</v>
      </c>
      <c r="K476" s="6">
        <v>0</v>
      </c>
      <c r="L476" s="7"/>
    </row>
    <row r="477" spans="1:12" x14ac:dyDescent="0.25">
      <c r="A477" t="s">
        <v>377</v>
      </c>
      <c r="B477" s="5">
        <v>302793</v>
      </c>
      <c r="C477" t="s">
        <v>129</v>
      </c>
      <c r="D477" s="1" t="str">
        <f t="shared" si="11"/>
        <v>30241</v>
      </c>
      <c r="E477" t="s">
        <v>10</v>
      </c>
      <c r="F477" t="s">
        <v>129</v>
      </c>
      <c r="G477" s="1" t="str">
        <f>"025"</f>
        <v>025</v>
      </c>
      <c r="H477" s="1">
        <v>2018</v>
      </c>
      <c r="I477" s="6">
        <v>132100</v>
      </c>
      <c r="J477" s="6">
        <v>121800</v>
      </c>
      <c r="K477" s="6">
        <v>10300</v>
      </c>
      <c r="L477" s="7"/>
    </row>
    <row r="478" spans="1:12" x14ac:dyDescent="0.25">
      <c r="A478" t="s">
        <v>377</v>
      </c>
      <c r="B478" s="5">
        <v>302793</v>
      </c>
      <c r="C478" t="s">
        <v>129</v>
      </c>
      <c r="D478" s="1" t="str">
        <f t="shared" si="11"/>
        <v>30241</v>
      </c>
      <c r="E478" t="s">
        <v>10</v>
      </c>
      <c r="F478" t="s">
        <v>129</v>
      </c>
      <c r="G478" s="1" t="str">
        <f>"026"</f>
        <v>026</v>
      </c>
      <c r="H478" s="1">
        <v>2018</v>
      </c>
      <c r="I478" s="6">
        <v>5026800</v>
      </c>
      <c r="J478" s="6">
        <v>4635200</v>
      </c>
      <c r="K478" s="6">
        <v>391600</v>
      </c>
      <c r="L478" s="7"/>
    </row>
    <row r="479" spans="1:12" x14ac:dyDescent="0.25">
      <c r="A479" t="s">
        <v>377</v>
      </c>
      <c r="B479" s="5">
        <v>302793</v>
      </c>
      <c r="C479" t="s">
        <v>129</v>
      </c>
      <c r="D479" s="1" t="str">
        <f>"30174"</f>
        <v>30174</v>
      </c>
      <c r="E479" t="s">
        <v>15</v>
      </c>
      <c r="F479" t="s">
        <v>130</v>
      </c>
      <c r="G479" s="1" t="str">
        <f>"002"</f>
        <v>002</v>
      </c>
      <c r="H479" s="1">
        <v>1999</v>
      </c>
      <c r="I479" s="6">
        <v>563026500</v>
      </c>
      <c r="J479" s="6">
        <v>78108000</v>
      </c>
      <c r="K479" s="6">
        <v>484918500</v>
      </c>
      <c r="L479" s="7"/>
    </row>
    <row r="480" spans="1:12" x14ac:dyDescent="0.25">
      <c r="A480" t="s">
        <v>377</v>
      </c>
      <c r="B480" s="5">
        <v>302793</v>
      </c>
      <c r="C480" t="s">
        <v>129</v>
      </c>
      <c r="D480" s="1" t="str">
        <f>"30174"</f>
        <v>30174</v>
      </c>
      <c r="E480" t="s">
        <v>15</v>
      </c>
      <c r="F480" t="s">
        <v>130</v>
      </c>
      <c r="G480" s="1" t="str">
        <f>"004"</f>
        <v>004</v>
      </c>
      <c r="H480" s="1">
        <v>2007</v>
      </c>
      <c r="I480" s="6">
        <v>1452900</v>
      </c>
      <c r="J480" s="6">
        <v>166100</v>
      </c>
      <c r="K480" s="6">
        <v>1286800</v>
      </c>
      <c r="L480" s="7"/>
    </row>
    <row r="481" spans="1:12" x14ac:dyDescent="0.25">
      <c r="A481" t="s">
        <v>377</v>
      </c>
      <c r="B481" s="5">
        <v>302793</v>
      </c>
      <c r="C481" t="s">
        <v>129</v>
      </c>
      <c r="D481" s="1" t="str">
        <f>"30174"</f>
        <v>30174</v>
      </c>
      <c r="E481" t="s">
        <v>15</v>
      </c>
      <c r="F481" t="s">
        <v>130</v>
      </c>
      <c r="G481" s="1" t="str">
        <f>"005"</f>
        <v>005</v>
      </c>
      <c r="H481" s="1">
        <v>2017</v>
      </c>
      <c r="I481" s="6">
        <v>22342700</v>
      </c>
      <c r="J481" s="6">
        <v>10697200</v>
      </c>
      <c r="K481" s="6">
        <v>11645500</v>
      </c>
      <c r="L481" s="7"/>
    </row>
    <row r="482" spans="1:12" x14ac:dyDescent="0.25">
      <c r="A482" t="s">
        <v>377</v>
      </c>
      <c r="B482" s="5">
        <v>302793</v>
      </c>
      <c r="C482" t="s">
        <v>129</v>
      </c>
      <c r="D482" s="1" t="str">
        <f>"30174"</f>
        <v>30174</v>
      </c>
      <c r="E482" t="s">
        <v>15</v>
      </c>
      <c r="F482" t="s">
        <v>130</v>
      </c>
      <c r="G482" s="1" t="str">
        <f>"006"</f>
        <v>006</v>
      </c>
      <c r="H482" s="1">
        <v>2018</v>
      </c>
      <c r="I482" s="6">
        <v>8429100</v>
      </c>
      <c r="J482" s="6">
        <v>88900</v>
      </c>
      <c r="K482" s="6">
        <v>8340200</v>
      </c>
      <c r="L482" s="7"/>
    </row>
    <row r="483" spans="1:12" x14ac:dyDescent="0.25">
      <c r="A483" t="s">
        <v>377</v>
      </c>
      <c r="B483" s="5">
        <v>302793</v>
      </c>
      <c r="C483" t="s">
        <v>129</v>
      </c>
      <c r="D483" s="1" t="str">
        <f>"30174"</f>
        <v>30174</v>
      </c>
      <c r="E483" t="s">
        <v>15</v>
      </c>
      <c r="F483" t="s">
        <v>130</v>
      </c>
      <c r="G483" s="1" t="str">
        <f>"007"</f>
        <v>007</v>
      </c>
      <c r="H483" s="1">
        <v>2018</v>
      </c>
      <c r="I483" s="6">
        <v>872300</v>
      </c>
      <c r="J483" s="6">
        <v>832500</v>
      </c>
      <c r="K483" s="6">
        <v>39800</v>
      </c>
      <c r="L483" s="7"/>
    </row>
    <row r="484" spans="1:12" x14ac:dyDescent="0.25">
      <c r="A484" t="s">
        <v>377</v>
      </c>
      <c r="B484" s="5">
        <v>302793</v>
      </c>
      <c r="C484" t="s">
        <v>129</v>
      </c>
      <c r="D484" s="1" t="str">
        <f t="shared" ref="D484:D494" si="12">"30182"</f>
        <v>30182</v>
      </c>
      <c r="E484" t="s">
        <v>15</v>
      </c>
      <c r="F484" t="s">
        <v>378</v>
      </c>
      <c r="G484" s="1" t="str">
        <f>"001"</f>
        <v>001</v>
      </c>
      <c r="H484" s="1">
        <v>2015</v>
      </c>
      <c r="I484" s="6">
        <v>55450400</v>
      </c>
      <c r="J484" s="6">
        <v>476300</v>
      </c>
      <c r="K484" s="6">
        <v>54974100</v>
      </c>
      <c r="L484" s="7"/>
    </row>
    <row r="485" spans="1:12" x14ac:dyDescent="0.25">
      <c r="A485" t="s">
        <v>377</v>
      </c>
      <c r="B485" s="5">
        <v>302793</v>
      </c>
      <c r="C485" t="s">
        <v>129</v>
      </c>
      <c r="D485" s="1" t="str">
        <f t="shared" si="12"/>
        <v>30182</v>
      </c>
      <c r="E485" t="s">
        <v>15</v>
      </c>
      <c r="F485" t="s">
        <v>378</v>
      </c>
      <c r="G485" s="1" t="str">
        <f>"002"</f>
        <v>002</v>
      </c>
      <c r="H485" s="1">
        <v>2015</v>
      </c>
      <c r="I485" s="6">
        <v>56294400</v>
      </c>
      <c r="J485" s="6">
        <v>5810800</v>
      </c>
      <c r="K485" s="6">
        <v>50483600</v>
      </c>
      <c r="L485" s="7"/>
    </row>
    <row r="486" spans="1:12" x14ac:dyDescent="0.25">
      <c r="A486" t="s">
        <v>377</v>
      </c>
      <c r="B486" s="5">
        <v>302793</v>
      </c>
      <c r="C486" t="s">
        <v>129</v>
      </c>
      <c r="D486" s="1" t="str">
        <f t="shared" si="12"/>
        <v>30182</v>
      </c>
      <c r="E486" t="s">
        <v>15</v>
      </c>
      <c r="F486" t="s">
        <v>378</v>
      </c>
      <c r="G486" s="1" t="str">
        <f>"003"</f>
        <v>003</v>
      </c>
      <c r="H486" s="1">
        <v>2018</v>
      </c>
      <c r="I486" s="6">
        <v>1716000</v>
      </c>
      <c r="J486" s="6">
        <v>1779800</v>
      </c>
      <c r="K486" s="6">
        <v>-63800</v>
      </c>
      <c r="L486" s="7"/>
    </row>
    <row r="487" spans="1:12" x14ac:dyDescent="0.25">
      <c r="A487" t="s">
        <v>377</v>
      </c>
      <c r="B487" s="5">
        <v>302793</v>
      </c>
      <c r="C487" t="s">
        <v>129</v>
      </c>
      <c r="D487" s="1" t="str">
        <f t="shared" si="12"/>
        <v>30182</v>
      </c>
      <c r="E487" t="s">
        <v>15</v>
      </c>
      <c r="F487" t="s">
        <v>378</v>
      </c>
      <c r="G487" s="1" t="str">
        <f>"004"</f>
        <v>004</v>
      </c>
      <c r="H487" s="1">
        <v>2018</v>
      </c>
      <c r="I487" s="6">
        <v>1160500</v>
      </c>
      <c r="J487" s="6">
        <v>1088600</v>
      </c>
      <c r="K487" s="6">
        <v>71900</v>
      </c>
      <c r="L487" s="7"/>
    </row>
    <row r="488" spans="1:12" x14ac:dyDescent="0.25">
      <c r="A488" t="s">
        <v>377</v>
      </c>
      <c r="B488" s="5">
        <v>302793</v>
      </c>
      <c r="C488" t="s">
        <v>129</v>
      </c>
      <c r="D488" s="1" t="str">
        <f t="shared" si="12"/>
        <v>30182</v>
      </c>
      <c r="E488" t="s">
        <v>15</v>
      </c>
      <c r="F488" t="s">
        <v>378</v>
      </c>
      <c r="G488" s="1" t="str">
        <f>"005"</f>
        <v>005</v>
      </c>
      <c r="H488" s="1">
        <v>2018</v>
      </c>
      <c r="I488" s="6">
        <v>1492400</v>
      </c>
      <c r="J488" s="6">
        <v>1338800</v>
      </c>
      <c r="K488" s="6">
        <v>153600</v>
      </c>
      <c r="L488" s="7"/>
    </row>
    <row r="489" spans="1:12" x14ac:dyDescent="0.25">
      <c r="A489" t="s">
        <v>377</v>
      </c>
      <c r="B489" s="5">
        <v>302793</v>
      </c>
      <c r="C489" t="s">
        <v>129</v>
      </c>
      <c r="D489" s="1" t="str">
        <f t="shared" si="12"/>
        <v>30182</v>
      </c>
      <c r="E489" t="s">
        <v>15</v>
      </c>
      <c r="F489" t="s">
        <v>378</v>
      </c>
      <c r="G489" s="1" t="str">
        <f>"006"</f>
        <v>006</v>
      </c>
      <c r="H489" s="1">
        <v>2018</v>
      </c>
      <c r="I489" s="6">
        <v>2617500</v>
      </c>
      <c r="J489" s="6">
        <v>2448400</v>
      </c>
      <c r="K489" s="6">
        <v>169100</v>
      </c>
      <c r="L489" s="7"/>
    </row>
    <row r="490" spans="1:12" x14ac:dyDescent="0.25">
      <c r="A490" t="s">
        <v>377</v>
      </c>
      <c r="B490" s="5">
        <v>302793</v>
      </c>
      <c r="C490" t="s">
        <v>129</v>
      </c>
      <c r="D490" s="1" t="str">
        <f t="shared" si="12"/>
        <v>30182</v>
      </c>
      <c r="E490" t="s">
        <v>15</v>
      </c>
      <c r="F490" t="s">
        <v>378</v>
      </c>
      <c r="G490" s="1" t="str">
        <f>"007"</f>
        <v>007</v>
      </c>
      <c r="H490" s="1">
        <v>2018</v>
      </c>
      <c r="I490" s="6">
        <v>9120200</v>
      </c>
      <c r="J490" s="6">
        <v>8364800</v>
      </c>
      <c r="K490" s="6">
        <v>755400</v>
      </c>
      <c r="L490" s="7"/>
    </row>
    <row r="491" spans="1:12" x14ac:dyDescent="0.25">
      <c r="A491" t="s">
        <v>377</v>
      </c>
      <c r="B491" s="5">
        <v>302793</v>
      </c>
      <c r="C491" t="s">
        <v>129</v>
      </c>
      <c r="D491" s="1" t="str">
        <f t="shared" si="12"/>
        <v>30182</v>
      </c>
      <c r="E491" t="s">
        <v>15</v>
      </c>
      <c r="F491" t="s">
        <v>378</v>
      </c>
      <c r="G491" s="1" t="str">
        <f>"008"</f>
        <v>008</v>
      </c>
      <c r="H491" s="1">
        <v>2018</v>
      </c>
      <c r="I491" s="6">
        <v>386200</v>
      </c>
      <c r="J491" s="6">
        <v>362100</v>
      </c>
      <c r="K491" s="6">
        <v>24100</v>
      </c>
      <c r="L491" s="7"/>
    </row>
    <row r="492" spans="1:12" x14ac:dyDescent="0.25">
      <c r="A492" t="s">
        <v>377</v>
      </c>
      <c r="B492" s="5">
        <v>302793</v>
      </c>
      <c r="C492" t="s">
        <v>129</v>
      </c>
      <c r="D492" s="1" t="str">
        <f t="shared" si="12"/>
        <v>30182</v>
      </c>
      <c r="E492" t="s">
        <v>15</v>
      </c>
      <c r="F492" t="s">
        <v>378</v>
      </c>
      <c r="G492" s="1" t="str">
        <f>"009"</f>
        <v>009</v>
      </c>
      <c r="H492" s="1">
        <v>2018</v>
      </c>
      <c r="I492" s="6">
        <v>2217900</v>
      </c>
      <c r="J492" s="6">
        <v>2081700</v>
      </c>
      <c r="K492" s="6">
        <v>136200</v>
      </c>
      <c r="L492" s="7"/>
    </row>
    <row r="493" spans="1:12" x14ac:dyDescent="0.25">
      <c r="A493" t="s">
        <v>377</v>
      </c>
      <c r="B493" s="5">
        <v>302793</v>
      </c>
      <c r="C493" t="s">
        <v>129</v>
      </c>
      <c r="D493" s="1" t="str">
        <f t="shared" si="12"/>
        <v>30182</v>
      </c>
      <c r="E493" t="s">
        <v>15</v>
      </c>
      <c r="F493" t="s">
        <v>378</v>
      </c>
      <c r="G493" s="1" t="str">
        <f>"010"</f>
        <v>010</v>
      </c>
      <c r="H493" s="1">
        <v>2018</v>
      </c>
      <c r="I493" s="6">
        <v>3422100</v>
      </c>
      <c r="J493" s="6">
        <v>3219200</v>
      </c>
      <c r="K493" s="6">
        <v>202900</v>
      </c>
      <c r="L493" s="7"/>
    </row>
    <row r="494" spans="1:12" x14ac:dyDescent="0.25">
      <c r="A494" t="s">
        <v>377</v>
      </c>
      <c r="B494" s="5">
        <v>302793</v>
      </c>
      <c r="C494" t="s">
        <v>129</v>
      </c>
      <c r="D494" s="1" t="str">
        <f t="shared" si="12"/>
        <v>30182</v>
      </c>
      <c r="E494" t="s">
        <v>15</v>
      </c>
      <c r="F494" t="s">
        <v>378</v>
      </c>
      <c r="G494" s="1" t="str">
        <f>"011"</f>
        <v>011</v>
      </c>
      <c r="H494" s="1">
        <v>2018</v>
      </c>
      <c r="I494" s="6">
        <v>208100</v>
      </c>
      <c r="J494" s="6">
        <v>195100</v>
      </c>
      <c r="K494" s="6">
        <v>13000</v>
      </c>
      <c r="L494" s="7"/>
    </row>
    <row r="495" spans="1:12" x14ac:dyDescent="0.25">
      <c r="A495" t="s">
        <v>379</v>
      </c>
      <c r="B495" s="5">
        <v>671376</v>
      </c>
      <c r="C495" t="s">
        <v>268</v>
      </c>
      <c r="D495" s="1" t="str">
        <f>"67216"</f>
        <v>67216</v>
      </c>
      <c r="E495" t="s">
        <v>10</v>
      </c>
      <c r="F495" t="s">
        <v>380</v>
      </c>
      <c r="G495" s="1" t="str">
        <f>"004"</f>
        <v>004</v>
      </c>
      <c r="H495" s="1">
        <v>2012</v>
      </c>
      <c r="I495" s="6">
        <v>14690300</v>
      </c>
      <c r="J495" s="6">
        <v>8097000</v>
      </c>
      <c r="K495" s="6">
        <v>6593300</v>
      </c>
      <c r="L495" s="7"/>
    </row>
    <row r="496" spans="1:12" x14ac:dyDescent="0.25">
      <c r="A496" t="s">
        <v>379</v>
      </c>
      <c r="B496" s="5">
        <v>671376</v>
      </c>
      <c r="C496" t="s">
        <v>268</v>
      </c>
      <c r="D496" s="1" t="str">
        <f>"67191"</f>
        <v>67191</v>
      </c>
      <c r="E496" t="s">
        <v>15</v>
      </c>
      <c r="F496" t="s">
        <v>381</v>
      </c>
      <c r="G496" s="1" t="str">
        <f>"001"</f>
        <v>001</v>
      </c>
      <c r="H496" s="1">
        <v>2006</v>
      </c>
      <c r="I496" s="6">
        <v>57519600</v>
      </c>
      <c r="J496" s="6">
        <v>24568300</v>
      </c>
      <c r="K496" s="6">
        <v>32951300</v>
      </c>
      <c r="L496" s="7"/>
    </row>
    <row r="497" spans="1:12" x14ac:dyDescent="0.25">
      <c r="A497" t="s">
        <v>382</v>
      </c>
      <c r="B497" s="5">
        <v>662800</v>
      </c>
      <c r="C497" t="s">
        <v>298</v>
      </c>
      <c r="D497" s="1" t="str">
        <f>"66142"</f>
        <v>66142</v>
      </c>
      <c r="E497" t="s">
        <v>15</v>
      </c>
      <c r="F497" t="s">
        <v>383</v>
      </c>
      <c r="G497" s="1" t="str">
        <f>"002"</f>
        <v>002</v>
      </c>
      <c r="H497" s="1">
        <v>2005</v>
      </c>
      <c r="I497" s="6">
        <v>25996600</v>
      </c>
      <c r="J497" s="6">
        <v>2868700</v>
      </c>
      <c r="K497" s="6">
        <v>23127900</v>
      </c>
      <c r="L497" s="7"/>
    </row>
    <row r="498" spans="1:12" x14ac:dyDescent="0.25">
      <c r="A498" t="s">
        <v>384</v>
      </c>
      <c r="B498" s="5">
        <v>312814</v>
      </c>
      <c r="C498" t="s">
        <v>20</v>
      </c>
      <c r="D498" s="1" t="str">
        <f>"31241"</f>
        <v>31241</v>
      </c>
      <c r="E498" t="s">
        <v>10</v>
      </c>
      <c r="F498" t="s">
        <v>20</v>
      </c>
      <c r="G498" s="1" t="str">
        <f>"002"</f>
        <v>002</v>
      </c>
      <c r="H498" s="1">
        <v>1994</v>
      </c>
      <c r="I498" s="6">
        <v>7001600</v>
      </c>
      <c r="J498" s="6">
        <v>399000</v>
      </c>
      <c r="K498" s="6">
        <v>6602600</v>
      </c>
      <c r="L498" s="7"/>
    </row>
    <row r="499" spans="1:12" x14ac:dyDescent="0.25">
      <c r="A499" t="s">
        <v>385</v>
      </c>
      <c r="B499" s="5">
        <v>625960</v>
      </c>
      <c r="C499" t="s">
        <v>386</v>
      </c>
      <c r="D499" s="1" t="str">
        <f>"52186"</f>
        <v>52186</v>
      </c>
      <c r="E499" t="s">
        <v>15</v>
      </c>
      <c r="F499" t="s">
        <v>387</v>
      </c>
      <c r="G499" s="1" t="str">
        <f>"003"</f>
        <v>003</v>
      </c>
      <c r="H499" s="1">
        <v>1995</v>
      </c>
      <c r="I499" s="6">
        <v>1102400</v>
      </c>
      <c r="J499" s="6">
        <v>660900</v>
      </c>
      <c r="K499" s="6">
        <v>441500</v>
      </c>
      <c r="L499" s="7"/>
    </row>
    <row r="500" spans="1:12" x14ac:dyDescent="0.25">
      <c r="A500" t="s">
        <v>385</v>
      </c>
      <c r="B500" s="5">
        <v>625960</v>
      </c>
      <c r="C500" t="s">
        <v>224</v>
      </c>
      <c r="D500" s="1" t="str">
        <f>"62186"</f>
        <v>62186</v>
      </c>
      <c r="E500" t="s">
        <v>15</v>
      </c>
      <c r="F500" t="s">
        <v>387</v>
      </c>
      <c r="G500" s="1" t="str">
        <f>"004"</f>
        <v>004</v>
      </c>
      <c r="H500" s="1">
        <v>2007</v>
      </c>
      <c r="I500" s="6">
        <v>3525400</v>
      </c>
      <c r="J500" s="6">
        <v>319500</v>
      </c>
      <c r="K500" s="6">
        <v>3205900</v>
      </c>
      <c r="L500" s="7"/>
    </row>
    <row r="501" spans="1:12" x14ac:dyDescent="0.25">
      <c r="A501" t="s">
        <v>388</v>
      </c>
      <c r="B501" s="5">
        <v>362828</v>
      </c>
      <c r="C501" t="s">
        <v>38</v>
      </c>
      <c r="D501" s="1" t="str">
        <f>"08241"</f>
        <v>08241</v>
      </c>
      <c r="E501" t="s">
        <v>10</v>
      </c>
      <c r="F501" t="s">
        <v>389</v>
      </c>
      <c r="G501" s="1" t="str">
        <f>"005"</f>
        <v>005</v>
      </c>
      <c r="H501" s="1">
        <v>2014</v>
      </c>
      <c r="I501" s="6">
        <v>30727900</v>
      </c>
      <c r="J501" s="6">
        <v>10935000</v>
      </c>
      <c r="K501" s="6">
        <v>19792900</v>
      </c>
      <c r="L501" s="7"/>
    </row>
    <row r="502" spans="1:12" x14ac:dyDescent="0.25">
      <c r="A502" t="s">
        <v>388</v>
      </c>
      <c r="B502" s="5">
        <v>362828</v>
      </c>
      <c r="C502" t="s">
        <v>234</v>
      </c>
      <c r="D502" s="1" t="str">
        <f>"36241"</f>
        <v>36241</v>
      </c>
      <c r="E502" t="s">
        <v>10</v>
      </c>
      <c r="F502" t="s">
        <v>389</v>
      </c>
      <c r="G502" s="1" t="str">
        <f>"001E"</f>
        <v>001E</v>
      </c>
      <c r="H502" s="1">
        <v>2005</v>
      </c>
      <c r="I502" s="6">
        <v>223600</v>
      </c>
      <c r="J502" s="6">
        <v>249900</v>
      </c>
      <c r="K502" s="6">
        <v>-26300</v>
      </c>
      <c r="L502" s="7"/>
    </row>
    <row r="503" spans="1:12" x14ac:dyDescent="0.25">
      <c r="A503" t="s">
        <v>388</v>
      </c>
      <c r="B503" s="5">
        <v>362828</v>
      </c>
      <c r="C503" t="s">
        <v>234</v>
      </c>
      <c r="D503" s="1" t="str">
        <f>"36241"</f>
        <v>36241</v>
      </c>
      <c r="E503" t="s">
        <v>10</v>
      </c>
      <c r="F503" t="s">
        <v>389</v>
      </c>
      <c r="G503" s="1" t="str">
        <f>"004"</f>
        <v>004</v>
      </c>
      <c r="H503" s="1">
        <v>2011</v>
      </c>
      <c r="I503" s="6">
        <v>27166700</v>
      </c>
      <c r="J503" s="6">
        <v>3697100</v>
      </c>
      <c r="K503" s="6">
        <v>23469600</v>
      </c>
      <c r="L503" s="7"/>
    </row>
    <row r="504" spans="1:12" x14ac:dyDescent="0.25">
      <c r="A504" t="s">
        <v>390</v>
      </c>
      <c r="B504" s="5">
        <v>442835</v>
      </c>
      <c r="C504" t="s">
        <v>38</v>
      </c>
      <c r="D504" s="1" t="str">
        <f>"08201"</f>
        <v>08201</v>
      </c>
      <c r="E504" t="s">
        <v>10</v>
      </c>
      <c r="F504" t="s">
        <v>41</v>
      </c>
      <c r="G504" s="1" t="str">
        <f>"006"</f>
        <v>006</v>
      </c>
      <c r="H504" s="1">
        <v>2000</v>
      </c>
      <c r="I504" s="6">
        <v>129019600</v>
      </c>
      <c r="J504" s="6">
        <v>12141600</v>
      </c>
      <c r="K504" s="6">
        <v>116878000</v>
      </c>
      <c r="L504" s="7"/>
    </row>
    <row r="505" spans="1:12" x14ac:dyDescent="0.25">
      <c r="A505" t="s">
        <v>390</v>
      </c>
      <c r="B505" s="5">
        <v>442835</v>
      </c>
      <c r="C505" t="s">
        <v>38</v>
      </c>
      <c r="D505" s="1" t="str">
        <f>"08131"</f>
        <v>08131</v>
      </c>
      <c r="E505" t="s">
        <v>15</v>
      </c>
      <c r="F505" t="s">
        <v>391</v>
      </c>
      <c r="G505" s="1" t="str">
        <f>"001"</f>
        <v>001</v>
      </c>
      <c r="H505" s="1">
        <v>2013</v>
      </c>
      <c r="I505" s="6">
        <v>46285100</v>
      </c>
      <c r="J505" s="6">
        <v>785100</v>
      </c>
      <c r="K505" s="6">
        <v>45500000</v>
      </c>
      <c r="L505" s="7"/>
    </row>
    <row r="506" spans="1:12" x14ac:dyDescent="0.25">
      <c r="A506" t="s">
        <v>390</v>
      </c>
      <c r="B506" s="5">
        <v>442835</v>
      </c>
      <c r="C506" t="s">
        <v>40</v>
      </c>
      <c r="D506" s="1" t="str">
        <f>"44111"</f>
        <v>44111</v>
      </c>
      <c r="E506" t="s">
        <v>15</v>
      </c>
      <c r="F506" t="s">
        <v>392</v>
      </c>
      <c r="G506" s="1" t="str">
        <f>"002"</f>
        <v>002</v>
      </c>
      <c r="H506" s="1">
        <v>2015</v>
      </c>
      <c r="I506" s="6">
        <v>12879600</v>
      </c>
      <c r="J506" s="6">
        <v>15736800</v>
      </c>
      <c r="K506" s="6">
        <v>-2857200</v>
      </c>
      <c r="L506" s="7"/>
    </row>
    <row r="507" spans="1:12" x14ac:dyDescent="0.25">
      <c r="A507" t="s">
        <v>390</v>
      </c>
      <c r="B507" s="5">
        <v>442835</v>
      </c>
      <c r="C507" t="s">
        <v>40</v>
      </c>
      <c r="D507" s="1" t="str">
        <f>"44141"</f>
        <v>44141</v>
      </c>
      <c r="E507" t="s">
        <v>15</v>
      </c>
      <c r="F507" t="s">
        <v>393</v>
      </c>
      <c r="G507" s="1" t="str">
        <f>"004"</f>
        <v>004</v>
      </c>
      <c r="H507" s="1">
        <v>2005</v>
      </c>
      <c r="I507" s="6">
        <v>10763000</v>
      </c>
      <c r="J507" s="6">
        <v>778200</v>
      </c>
      <c r="K507" s="6">
        <v>9984800</v>
      </c>
      <c r="L507" s="7"/>
    </row>
    <row r="508" spans="1:12" x14ac:dyDescent="0.25">
      <c r="A508" t="s">
        <v>390</v>
      </c>
      <c r="B508" s="5">
        <v>442835</v>
      </c>
      <c r="C508" t="s">
        <v>40</v>
      </c>
      <c r="D508" s="1" t="str">
        <f>"44141"</f>
        <v>44141</v>
      </c>
      <c r="E508" t="s">
        <v>15</v>
      </c>
      <c r="F508" t="s">
        <v>393</v>
      </c>
      <c r="G508" s="1" t="str">
        <f>"005"</f>
        <v>005</v>
      </c>
      <c r="H508" s="1">
        <v>2008</v>
      </c>
      <c r="I508" s="6">
        <v>46716300</v>
      </c>
      <c r="J508" s="6">
        <v>11345100</v>
      </c>
      <c r="K508" s="6">
        <v>35371200</v>
      </c>
      <c r="L508" s="7"/>
    </row>
    <row r="509" spans="1:12" x14ac:dyDescent="0.25">
      <c r="A509" t="s">
        <v>390</v>
      </c>
      <c r="B509" s="5">
        <v>442835</v>
      </c>
      <c r="C509" t="s">
        <v>40</v>
      </c>
      <c r="D509" s="1" t="str">
        <f>"44141"</f>
        <v>44141</v>
      </c>
      <c r="E509" t="s">
        <v>15</v>
      </c>
      <c r="F509" t="s">
        <v>393</v>
      </c>
      <c r="G509" s="1" t="str">
        <f>"006"</f>
        <v>006</v>
      </c>
      <c r="H509" s="1">
        <v>2016</v>
      </c>
      <c r="I509" s="6">
        <v>22246500</v>
      </c>
      <c r="J509" s="6">
        <v>13918500</v>
      </c>
      <c r="K509" s="6">
        <v>8328000</v>
      </c>
      <c r="L509" s="7"/>
    </row>
    <row r="510" spans="1:12" x14ac:dyDescent="0.25">
      <c r="A510" t="s">
        <v>394</v>
      </c>
      <c r="B510" s="5">
        <v>322849</v>
      </c>
      <c r="C510" t="s">
        <v>67</v>
      </c>
      <c r="D510" s="1" t="str">
        <f t="shared" ref="D510:D519" si="13">"32246"</f>
        <v>32246</v>
      </c>
      <c r="E510" t="s">
        <v>10</v>
      </c>
      <c r="F510" t="s">
        <v>67</v>
      </c>
      <c r="G510" s="1" t="str">
        <f>"006"</f>
        <v>006</v>
      </c>
      <c r="H510" s="1">
        <v>1994</v>
      </c>
      <c r="I510" s="6">
        <v>97635100</v>
      </c>
      <c r="J510" s="6">
        <v>33884800</v>
      </c>
      <c r="K510" s="6">
        <v>63750300</v>
      </c>
      <c r="L510" s="7"/>
    </row>
    <row r="511" spans="1:12" x14ac:dyDescent="0.25">
      <c r="A511" t="s">
        <v>394</v>
      </c>
      <c r="B511" s="5">
        <v>322849</v>
      </c>
      <c r="C511" t="s">
        <v>67</v>
      </c>
      <c r="D511" s="1" t="str">
        <f t="shared" si="13"/>
        <v>32246</v>
      </c>
      <c r="E511" t="s">
        <v>10</v>
      </c>
      <c r="F511" t="s">
        <v>67</v>
      </c>
      <c r="G511" s="1" t="str">
        <f>"007"</f>
        <v>007</v>
      </c>
      <c r="H511" s="1">
        <v>1997</v>
      </c>
      <c r="I511" s="6">
        <v>26654000</v>
      </c>
      <c r="J511" s="6">
        <v>15000800</v>
      </c>
      <c r="K511" s="6">
        <v>11653200</v>
      </c>
      <c r="L511" s="7"/>
    </row>
    <row r="512" spans="1:12" x14ac:dyDescent="0.25">
      <c r="A512" t="s">
        <v>394</v>
      </c>
      <c r="B512" s="5">
        <v>322849</v>
      </c>
      <c r="C512" t="s">
        <v>67</v>
      </c>
      <c r="D512" s="1" t="str">
        <f t="shared" si="13"/>
        <v>32246</v>
      </c>
      <c r="E512" t="s">
        <v>10</v>
      </c>
      <c r="F512" t="s">
        <v>67</v>
      </c>
      <c r="G512" s="1" t="str">
        <f>"010"</f>
        <v>010</v>
      </c>
      <c r="H512" s="1">
        <v>2003</v>
      </c>
      <c r="I512" s="6">
        <v>9237600</v>
      </c>
      <c r="J512" s="6">
        <v>2540100</v>
      </c>
      <c r="K512" s="6">
        <v>6697500</v>
      </c>
      <c r="L512" s="7"/>
    </row>
    <row r="513" spans="1:12" x14ac:dyDescent="0.25">
      <c r="A513" t="s">
        <v>394</v>
      </c>
      <c r="B513" s="5">
        <v>322849</v>
      </c>
      <c r="C513" t="s">
        <v>67</v>
      </c>
      <c r="D513" s="1" t="str">
        <f t="shared" si="13"/>
        <v>32246</v>
      </c>
      <c r="E513" t="s">
        <v>10</v>
      </c>
      <c r="F513" t="s">
        <v>67</v>
      </c>
      <c r="G513" s="1" t="str">
        <f>"011"</f>
        <v>011</v>
      </c>
      <c r="H513" s="1">
        <v>2005</v>
      </c>
      <c r="I513" s="6">
        <v>281828700</v>
      </c>
      <c r="J513" s="6">
        <v>132955800</v>
      </c>
      <c r="K513" s="6">
        <v>148872900</v>
      </c>
      <c r="L513" s="7"/>
    </row>
    <row r="514" spans="1:12" x14ac:dyDescent="0.25">
      <c r="A514" t="s">
        <v>394</v>
      </c>
      <c r="B514" s="5">
        <v>322849</v>
      </c>
      <c r="C514" t="s">
        <v>67</v>
      </c>
      <c r="D514" s="1" t="str">
        <f t="shared" si="13"/>
        <v>32246</v>
      </c>
      <c r="E514" t="s">
        <v>10</v>
      </c>
      <c r="F514" t="s">
        <v>67</v>
      </c>
      <c r="G514" s="1" t="str">
        <f>"012"</f>
        <v>012</v>
      </c>
      <c r="H514" s="1">
        <v>2005</v>
      </c>
      <c r="I514" s="6">
        <v>39810500</v>
      </c>
      <c r="J514" s="6">
        <v>19363800</v>
      </c>
      <c r="K514" s="6">
        <v>20446700</v>
      </c>
      <c r="L514" s="7"/>
    </row>
    <row r="515" spans="1:12" x14ac:dyDescent="0.25">
      <c r="A515" t="s">
        <v>394</v>
      </c>
      <c r="B515" s="5">
        <v>322849</v>
      </c>
      <c r="C515" t="s">
        <v>67</v>
      </c>
      <c r="D515" s="1" t="str">
        <f t="shared" si="13"/>
        <v>32246</v>
      </c>
      <c r="E515" t="s">
        <v>10</v>
      </c>
      <c r="F515" t="s">
        <v>67</v>
      </c>
      <c r="G515" s="1" t="str">
        <f>"013"</f>
        <v>013</v>
      </c>
      <c r="H515" s="1">
        <v>2006</v>
      </c>
      <c r="I515" s="6">
        <v>121834500</v>
      </c>
      <c r="J515" s="6">
        <v>53698400</v>
      </c>
      <c r="K515" s="6">
        <v>68136100</v>
      </c>
      <c r="L515" s="7"/>
    </row>
    <row r="516" spans="1:12" x14ac:dyDescent="0.25">
      <c r="A516" t="s">
        <v>394</v>
      </c>
      <c r="B516" s="5">
        <v>322849</v>
      </c>
      <c r="C516" t="s">
        <v>67</v>
      </c>
      <c r="D516" s="1" t="str">
        <f t="shared" si="13"/>
        <v>32246</v>
      </c>
      <c r="E516" t="s">
        <v>10</v>
      </c>
      <c r="F516" t="s">
        <v>67</v>
      </c>
      <c r="G516" s="1" t="str">
        <f>"014"</f>
        <v>014</v>
      </c>
      <c r="H516" s="1">
        <v>2006</v>
      </c>
      <c r="I516" s="6">
        <v>118910100</v>
      </c>
      <c r="J516" s="6">
        <v>60747300</v>
      </c>
      <c r="K516" s="6">
        <v>58162800</v>
      </c>
      <c r="L516" s="7"/>
    </row>
    <row r="517" spans="1:12" x14ac:dyDescent="0.25">
      <c r="A517" t="s">
        <v>394</v>
      </c>
      <c r="B517" s="5">
        <v>322849</v>
      </c>
      <c r="C517" t="s">
        <v>67</v>
      </c>
      <c r="D517" s="1" t="str">
        <f t="shared" si="13"/>
        <v>32246</v>
      </c>
      <c r="E517" t="s">
        <v>10</v>
      </c>
      <c r="F517" t="s">
        <v>67</v>
      </c>
      <c r="G517" s="1" t="str">
        <f>"015"</f>
        <v>015</v>
      </c>
      <c r="H517" s="1">
        <v>2013</v>
      </c>
      <c r="I517" s="6">
        <v>95109700</v>
      </c>
      <c r="J517" s="6">
        <v>62802000</v>
      </c>
      <c r="K517" s="6">
        <v>32307700</v>
      </c>
      <c r="L517" s="7"/>
    </row>
    <row r="518" spans="1:12" x14ac:dyDescent="0.25">
      <c r="A518" t="s">
        <v>394</v>
      </c>
      <c r="B518" s="5">
        <v>322849</v>
      </c>
      <c r="C518" t="s">
        <v>67</v>
      </c>
      <c r="D518" s="1" t="str">
        <f t="shared" si="13"/>
        <v>32246</v>
      </c>
      <c r="E518" t="s">
        <v>10</v>
      </c>
      <c r="F518" t="s">
        <v>67</v>
      </c>
      <c r="G518" s="1" t="str">
        <f>"016"</f>
        <v>016</v>
      </c>
      <c r="H518" s="1">
        <v>2014</v>
      </c>
      <c r="I518" s="6">
        <v>24749300</v>
      </c>
      <c r="J518" s="6">
        <v>18087300</v>
      </c>
      <c r="K518" s="6">
        <v>6662000</v>
      </c>
      <c r="L518" s="7"/>
    </row>
    <row r="519" spans="1:12" x14ac:dyDescent="0.25">
      <c r="A519" t="s">
        <v>394</v>
      </c>
      <c r="B519" s="5">
        <v>322849</v>
      </c>
      <c r="C519" t="s">
        <v>67</v>
      </c>
      <c r="D519" s="1" t="str">
        <f t="shared" si="13"/>
        <v>32246</v>
      </c>
      <c r="E519" t="s">
        <v>10</v>
      </c>
      <c r="F519" t="s">
        <v>67</v>
      </c>
      <c r="G519" s="1" t="str">
        <f>"017"</f>
        <v>017</v>
      </c>
      <c r="H519" s="1">
        <v>2015</v>
      </c>
      <c r="I519" s="6">
        <v>74051100</v>
      </c>
      <c r="J519" s="6">
        <v>11744600</v>
      </c>
      <c r="K519" s="6">
        <v>62306500</v>
      </c>
      <c r="L519" s="7"/>
    </row>
    <row r="520" spans="1:12" x14ac:dyDescent="0.25">
      <c r="A520" t="s">
        <v>395</v>
      </c>
      <c r="B520" s="5">
        <v>622863</v>
      </c>
      <c r="C520" t="s">
        <v>224</v>
      </c>
      <c r="D520" s="1" t="str">
        <f>"62146"</f>
        <v>62146</v>
      </c>
      <c r="E520" t="s">
        <v>15</v>
      </c>
      <c r="F520" t="s">
        <v>396</v>
      </c>
      <c r="G520" s="1" t="str">
        <f>"001"</f>
        <v>001</v>
      </c>
      <c r="H520" s="1">
        <v>2003</v>
      </c>
      <c r="I520" s="6">
        <v>10488200</v>
      </c>
      <c r="J520" s="6">
        <v>118300</v>
      </c>
      <c r="K520" s="6">
        <v>10369900</v>
      </c>
      <c r="L520" s="7"/>
    </row>
    <row r="521" spans="1:12" x14ac:dyDescent="0.25">
      <c r="A521" t="s">
        <v>397</v>
      </c>
      <c r="B521" s="5">
        <v>542856</v>
      </c>
      <c r="C521" t="s">
        <v>137</v>
      </c>
      <c r="D521" s="1" t="str">
        <f>"54246"</f>
        <v>54246</v>
      </c>
      <c r="E521" t="s">
        <v>10</v>
      </c>
      <c r="F521" t="s">
        <v>398</v>
      </c>
      <c r="G521" s="1" t="str">
        <f>"005"</f>
        <v>005</v>
      </c>
      <c r="H521" s="1">
        <v>1997</v>
      </c>
      <c r="I521" s="6">
        <v>4627900</v>
      </c>
      <c r="J521" s="6">
        <v>2962000</v>
      </c>
      <c r="K521" s="6">
        <v>1665900</v>
      </c>
      <c r="L521" s="7"/>
    </row>
    <row r="522" spans="1:12" x14ac:dyDescent="0.25">
      <c r="A522" t="s">
        <v>397</v>
      </c>
      <c r="B522" s="5">
        <v>542856</v>
      </c>
      <c r="C522" t="s">
        <v>137</v>
      </c>
      <c r="D522" s="1" t="str">
        <f>"54246"</f>
        <v>54246</v>
      </c>
      <c r="E522" t="s">
        <v>10</v>
      </c>
      <c r="F522" t="s">
        <v>398</v>
      </c>
      <c r="G522" s="1" t="str">
        <f>"008"</f>
        <v>008</v>
      </c>
      <c r="H522" s="1">
        <v>2003</v>
      </c>
      <c r="I522" s="6">
        <v>5847000</v>
      </c>
      <c r="J522" s="6">
        <v>860000</v>
      </c>
      <c r="K522" s="6">
        <v>4987000</v>
      </c>
      <c r="L522" s="7"/>
    </row>
    <row r="523" spans="1:12" x14ac:dyDescent="0.25">
      <c r="A523" t="s">
        <v>397</v>
      </c>
      <c r="B523" s="5">
        <v>542856</v>
      </c>
      <c r="C523" t="s">
        <v>137</v>
      </c>
      <c r="D523" s="1" t="str">
        <f>"54246"</f>
        <v>54246</v>
      </c>
      <c r="E523" t="s">
        <v>10</v>
      </c>
      <c r="F523" t="s">
        <v>398</v>
      </c>
      <c r="G523" s="1" t="str">
        <f>"009"</f>
        <v>009</v>
      </c>
      <c r="H523" s="1">
        <v>2006</v>
      </c>
      <c r="I523" s="6">
        <v>10001800</v>
      </c>
      <c r="J523" s="6">
        <v>2883600</v>
      </c>
      <c r="K523" s="6">
        <v>7118200</v>
      </c>
      <c r="L523" s="7"/>
    </row>
    <row r="524" spans="1:12" x14ac:dyDescent="0.25">
      <c r="A524" t="s">
        <v>397</v>
      </c>
      <c r="B524" s="5">
        <v>542856</v>
      </c>
      <c r="C524" t="s">
        <v>137</v>
      </c>
      <c r="D524" s="1" t="str">
        <f>"54246"</f>
        <v>54246</v>
      </c>
      <c r="E524" t="s">
        <v>10</v>
      </c>
      <c r="F524" t="s">
        <v>398</v>
      </c>
      <c r="G524" s="1" t="str">
        <f>"010"</f>
        <v>010</v>
      </c>
      <c r="H524" s="1">
        <v>2007</v>
      </c>
      <c r="I524" s="6">
        <v>1867900</v>
      </c>
      <c r="J524" s="6">
        <v>403500</v>
      </c>
      <c r="K524" s="6">
        <v>1464400</v>
      </c>
      <c r="L524" s="7"/>
    </row>
    <row r="525" spans="1:12" x14ac:dyDescent="0.25">
      <c r="A525" t="s">
        <v>397</v>
      </c>
      <c r="B525" s="5">
        <v>542856</v>
      </c>
      <c r="C525" t="s">
        <v>137</v>
      </c>
      <c r="D525" s="1" t="str">
        <f>"54246"</f>
        <v>54246</v>
      </c>
      <c r="E525" t="s">
        <v>10</v>
      </c>
      <c r="F525" t="s">
        <v>398</v>
      </c>
      <c r="G525" s="1" t="str">
        <f>"011"</f>
        <v>011</v>
      </c>
      <c r="H525" s="1">
        <v>2011</v>
      </c>
      <c r="I525" s="6">
        <v>7823200</v>
      </c>
      <c r="J525" s="6">
        <v>30200</v>
      </c>
      <c r="K525" s="6">
        <v>7793000</v>
      </c>
      <c r="L525" s="7"/>
    </row>
    <row r="526" spans="1:12" x14ac:dyDescent="0.25">
      <c r="A526" t="s">
        <v>399</v>
      </c>
      <c r="B526" s="5">
        <v>673862</v>
      </c>
      <c r="C526" t="s">
        <v>268</v>
      </c>
      <c r="D526" s="1" t="str">
        <f>"67136"</f>
        <v>67136</v>
      </c>
      <c r="E526" t="s">
        <v>15</v>
      </c>
      <c r="F526" t="s">
        <v>334</v>
      </c>
      <c r="G526" s="1" t="str">
        <f>"004"</f>
        <v>004</v>
      </c>
      <c r="H526" s="1">
        <v>2008</v>
      </c>
      <c r="I526" s="6">
        <v>0</v>
      </c>
      <c r="J526" s="6">
        <v>0</v>
      </c>
      <c r="K526" s="6">
        <v>0</v>
      </c>
      <c r="L526" s="7"/>
    </row>
    <row r="527" spans="1:12" x14ac:dyDescent="0.25">
      <c r="A527" t="s">
        <v>399</v>
      </c>
      <c r="B527" s="5">
        <v>673862</v>
      </c>
      <c r="C527" t="s">
        <v>268</v>
      </c>
      <c r="D527" s="1" t="str">
        <f>"67136"</f>
        <v>67136</v>
      </c>
      <c r="E527" t="s">
        <v>15</v>
      </c>
      <c r="F527" t="s">
        <v>334</v>
      </c>
      <c r="G527" s="1" t="str">
        <f>"005"</f>
        <v>005</v>
      </c>
      <c r="H527" s="1">
        <v>2011</v>
      </c>
      <c r="I527" s="6">
        <v>1625100</v>
      </c>
      <c r="J527" s="6">
        <v>353800</v>
      </c>
      <c r="K527" s="6">
        <v>1271300</v>
      </c>
      <c r="L527" s="7"/>
    </row>
    <row r="528" spans="1:12" x14ac:dyDescent="0.25">
      <c r="A528" t="s">
        <v>400</v>
      </c>
      <c r="B528" s="5">
        <v>282898</v>
      </c>
      <c r="C528" t="s">
        <v>287</v>
      </c>
      <c r="D528" s="1" t="str">
        <f>"28246"</f>
        <v>28246</v>
      </c>
      <c r="E528" t="s">
        <v>10</v>
      </c>
      <c r="F528" t="s">
        <v>401</v>
      </c>
      <c r="G528" s="1" t="str">
        <f>"002"</f>
        <v>002</v>
      </c>
      <c r="H528" s="1">
        <v>1998</v>
      </c>
      <c r="I528" s="6">
        <v>30196300</v>
      </c>
      <c r="J528" s="6">
        <v>11445700</v>
      </c>
      <c r="K528" s="6">
        <v>18750600</v>
      </c>
      <c r="L528" s="7"/>
    </row>
    <row r="529" spans="1:12" x14ac:dyDescent="0.25">
      <c r="A529" t="s">
        <v>400</v>
      </c>
      <c r="B529" s="5">
        <v>282898</v>
      </c>
      <c r="C529" t="s">
        <v>287</v>
      </c>
      <c r="D529" s="1" t="str">
        <f>"28246"</f>
        <v>28246</v>
      </c>
      <c r="E529" t="s">
        <v>10</v>
      </c>
      <c r="F529" t="s">
        <v>401</v>
      </c>
      <c r="G529" s="1" t="str">
        <f>"003"</f>
        <v>003</v>
      </c>
      <c r="H529" s="1">
        <v>2006</v>
      </c>
      <c r="I529" s="6">
        <v>11551200</v>
      </c>
      <c r="J529" s="6">
        <v>6993800</v>
      </c>
      <c r="K529" s="6">
        <v>4557400</v>
      </c>
      <c r="L529" s="7"/>
    </row>
    <row r="530" spans="1:12" x14ac:dyDescent="0.25">
      <c r="A530" t="s">
        <v>400</v>
      </c>
      <c r="B530" s="5">
        <v>282898</v>
      </c>
      <c r="C530" t="s">
        <v>287</v>
      </c>
      <c r="D530" s="1" t="str">
        <f>"28246"</f>
        <v>28246</v>
      </c>
      <c r="E530" t="s">
        <v>10</v>
      </c>
      <c r="F530" t="s">
        <v>401</v>
      </c>
      <c r="G530" s="1" t="str">
        <f>"004"</f>
        <v>004</v>
      </c>
      <c r="H530" s="1">
        <v>2006</v>
      </c>
      <c r="I530" s="6">
        <v>25673200</v>
      </c>
      <c r="J530" s="6">
        <v>8565400</v>
      </c>
      <c r="K530" s="6">
        <v>17107800</v>
      </c>
      <c r="L530" s="7"/>
    </row>
    <row r="531" spans="1:12" x14ac:dyDescent="0.25">
      <c r="A531" t="s">
        <v>400</v>
      </c>
      <c r="B531" s="5">
        <v>282898</v>
      </c>
      <c r="C531" t="s">
        <v>287</v>
      </c>
      <c r="D531" s="1" t="str">
        <f>"28246"</f>
        <v>28246</v>
      </c>
      <c r="E531" t="s">
        <v>10</v>
      </c>
      <c r="F531" t="s">
        <v>401</v>
      </c>
      <c r="G531" s="1" t="str">
        <f>"005"</f>
        <v>005</v>
      </c>
      <c r="H531" s="1">
        <v>2014</v>
      </c>
      <c r="I531" s="6">
        <v>4367000</v>
      </c>
      <c r="J531" s="6">
        <v>5932900</v>
      </c>
      <c r="K531" s="6">
        <v>-1565900</v>
      </c>
      <c r="L531" s="7"/>
    </row>
    <row r="532" spans="1:12" x14ac:dyDescent="0.25">
      <c r="A532" t="s">
        <v>400</v>
      </c>
      <c r="B532" s="5">
        <v>282898</v>
      </c>
      <c r="C532" t="s">
        <v>287</v>
      </c>
      <c r="D532" s="1" t="str">
        <f>"28246"</f>
        <v>28246</v>
      </c>
      <c r="E532" t="s">
        <v>10</v>
      </c>
      <c r="F532" t="s">
        <v>401</v>
      </c>
      <c r="G532" s="1" t="str">
        <f>"006"</f>
        <v>006</v>
      </c>
      <c r="H532" s="1">
        <v>2014</v>
      </c>
      <c r="I532" s="6">
        <v>3150600</v>
      </c>
      <c r="J532" s="6">
        <v>3312200</v>
      </c>
      <c r="K532" s="6">
        <v>-161600</v>
      </c>
      <c r="L532" s="7"/>
    </row>
    <row r="533" spans="1:12" x14ac:dyDescent="0.25">
      <c r="A533" t="s">
        <v>402</v>
      </c>
      <c r="B533" s="5">
        <v>222912</v>
      </c>
      <c r="C533" t="s">
        <v>120</v>
      </c>
      <c r="D533" s="1" t="str">
        <f>"22246"</f>
        <v>22246</v>
      </c>
      <c r="E533" t="s">
        <v>10</v>
      </c>
      <c r="F533" t="s">
        <v>403</v>
      </c>
      <c r="G533" s="1" t="str">
        <f>"003"</f>
        <v>003</v>
      </c>
      <c r="H533" s="1">
        <v>2006</v>
      </c>
      <c r="I533" s="6">
        <v>6941400</v>
      </c>
      <c r="J533" s="6">
        <v>424500</v>
      </c>
      <c r="K533" s="6">
        <v>6516900</v>
      </c>
      <c r="L533" s="7"/>
    </row>
    <row r="534" spans="1:12" x14ac:dyDescent="0.25">
      <c r="A534" t="s">
        <v>402</v>
      </c>
      <c r="B534" s="5">
        <v>222912</v>
      </c>
      <c r="C534" t="s">
        <v>120</v>
      </c>
      <c r="D534" s="1" t="str">
        <f>"22246"</f>
        <v>22246</v>
      </c>
      <c r="E534" t="s">
        <v>10</v>
      </c>
      <c r="F534" t="s">
        <v>403</v>
      </c>
      <c r="G534" s="1" t="str">
        <f>"004"</f>
        <v>004</v>
      </c>
      <c r="H534" s="1">
        <v>2006</v>
      </c>
      <c r="I534" s="6">
        <v>5800400</v>
      </c>
      <c r="J534" s="6">
        <v>2414400</v>
      </c>
      <c r="K534" s="6">
        <v>3386000</v>
      </c>
      <c r="L534" s="7"/>
    </row>
    <row r="535" spans="1:12" x14ac:dyDescent="0.25">
      <c r="A535" t="s">
        <v>402</v>
      </c>
      <c r="B535" s="5">
        <v>222912</v>
      </c>
      <c r="C535" t="s">
        <v>120</v>
      </c>
      <c r="D535" s="1" t="str">
        <f>"22246"</f>
        <v>22246</v>
      </c>
      <c r="E535" t="s">
        <v>10</v>
      </c>
      <c r="F535" t="s">
        <v>403</v>
      </c>
      <c r="G535" s="1" t="str">
        <f>"005"</f>
        <v>005</v>
      </c>
      <c r="H535" s="1">
        <v>2018</v>
      </c>
      <c r="I535" s="6">
        <v>0</v>
      </c>
      <c r="J535" s="6">
        <v>0</v>
      </c>
      <c r="K535" s="6">
        <v>0</v>
      </c>
      <c r="L535" s="7"/>
    </row>
    <row r="536" spans="1:12" x14ac:dyDescent="0.25">
      <c r="A536" t="s">
        <v>404</v>
      </c>
      <c r="B536" s="5">
        <v>443129</v>
      </c>
      <c r="C536" t="s">
        <v>40</v>
      </c>
      <c r="D536" s="1" t="str">
        <f>"44146"</f>
        <v>44146</v>
      </c>
      <c r="E536" t="s">
        <v>15</v>
      </c>
      <c r="F536" t="s">
        <v>43</v>
      </c>
      <c r="G536" s="1" t="str">
        <f>"005"</f>
        <v>005</v>
      </c>
      <c r="H536" s="1">
        <v>2013</v>
      </c>
      <c r="I536" s="6">
        <v>21072800</v>
      </c>
      <c r="J536" s="6">
        <v>6231000</v>
      </c>
      <c r="K536" s="6">
        <v>14841800</v>
      </c>
      <c r="L536" s="7"/>
    </row>
    <row r="537" spans="1:12" x14ac:dyDescent="0.25">
      <c r="A537" t="s">
        <v>404</v>
      </c>
      <c r="B537" s="5">
        <v>443129</v>
      </c>
      <c r="C537" t="s">
        <v>40</v>
      </c>
      <c r="D537" s="1" t="str">
        <f>"44146"</f>
        <v>44146</v>
      </c>
      <c r="E537" t="s">
        <v>15</v>
      </c>
      <c r="F537" t="s">
        <v>43</v>
      </c>
      <c r="G537" s="1" t="str">
        <f>"008"</f>
        <v>008</v>
      </c>
      <c r="H537" s="1">
        <v>2018</v>
      </c>
      <c r="I537" s="6">
        <v>3145400</v>
      </c>
      <c r="J537" s="6">
        <v>2624500</v>
      </c>
      <c r="K537" s="6">
        <v>520900</v>
      </c>
      <c r="L537" s="7"/>
    </row>
    <row r="538" spans="1:12" x14ac:dyDescent="0.25">
      <c r="A538" t="s">
        <v>405</v>
      </c>
      <c r="B538" s="5">
        <v>113150</v>
      </c>
      <c r="C538" t="s">
        <v>145</v>
      </c>
      <c r="D538" s="1" t="str">
        <f>"11246"</f>
        <v>11246</v>
      </c>
      <c r="E538" t="s">
        <v>10</v>
      </c>
      <c r="F538" t="s">
        <v>406</v>
      </c>
      <c r="G538" s="1" t="str">
        <f>"003"</f>
        <v>003</v>
      </c>
      <c r="H538" s="1">
        <v>2005</v>
      </c>
      <c r="I538" s="6">
        <v>1052400</v>
      </c>
      <c r="J538" s="6">
        <v>161000</v>
      </c>
      <c r="K538" s="6">
        <v>891400</v>
      </c>
      <c r="L538" s="7"/>
    </row>
    <row r="539" spans="1:12" x14ac:dyDescent="0.25">
      <c r="A539" t="s">
        <v>405</v>
      </c>
      <c r="B539" s="5">
        <v>113150</v>
      </c>
      <c r="C539" t="s">
        <v>145</v>
      </c>
      <c r="D539" s="1" t="str">
        <f>"11246"</f>
        <v>11246</v>
      </c>
      <c r="E539" t="s">
        <v>10</v>
      </c>
      <c r="F539" t="s">
        <v>406</v>
      </c>
      <c r="G539" s="1" t="str">
        <f>"004"</f>
        <v>004</v>
      </c>
      <c r="H539" s="1">
        <v>2015</v>
      </c>
      <c r="I539" s="6">
        <v>16057700</v>
      </c>
      <c r="J539" s="6">
        <v>16032800</v>
      </c>
      <c r="K539" s="6">
        <v>24900</v>
      </c>
      <c r="L539" s="7"/>
    </row>
    <row r="540" spans="1:12" x14ac:dyDescent="0.25">
      <c r="A540" t="s">
        <v>405</v>
      </c>
      <c r="B540" s="5">
        <v>113150</v>
      </c>
      <c r="C540" t="s">
        <v>145</v>
      </c>
      <c r="D540" s="1" t="str">
        <f>"11246"</f>
        <v>11246</v>
      </c>
      <c r="E540" t="s">
        <v>10</v>
      </c>
      <c r="F540" t="s">
        <v>406</v>
      </c>
      <c r="G540" s="1" t="str">
        <f>"005"</f>
        <v>005</v>
      </c>
      <c r="H540" s="1">
        <v>2015</v>
      </c>
      <c r="I540" s="6">
        <v>12983900</v>
      </c>
      <c r="J540" s="6">
        <v>12622800</v>
      </c>
      <c r="K540" s="6">
        <v>361100</v>
      </c>
      <c r="L540" s="7"/>
    </row>
    <row r="541" spans="1:12" x14ac:dyDescent="0.25">
      <c r="A541" t="s">
        <v>405</v>
      </c>
      <c r="B541" s="5">
        <v>113150</v>
      </c>
      <c r="C541" t="s">
        <v>89</v>
      </c>
      <c r="D541" s="1" t="str">
        <f>"13116"</f>
        <v>13116</v>
      </c>
      <c r="E541" t="s">
        <v>15</v>
      </c>
      <c r="F541" t="s">
        <v>89</v>
      </c>
      <c r="G541" s="1" t="str">
        <f>"002"</f>
        <v>002</v>
      </c>
      <c r="H541" s="1">
        <v>2007</v>
      </c>
      <c r="I541" s="6">
        <v>5620600</v>
      </c>
      <c r="J541" s="6">
        <v>4426100</v>
      </c>
      <c r="K541" s="6">
        <v>1194500</v>
      </c>
      <c r="L541" s="7"/>
    </row>
    <row r="542" spans="1:12" x14ac:dyDescent="0.25">
      <c r="A542" t="s">
        <v>407</v>
      </c>
      <c r="B542" s="5">
        <v>143171</v>
      </c>
      <c r="C542" t="s">
        <v>86</v>
      </c>
      <c r="D542" s="1" t="str">
        <f>"14146"</f>
        <v>14146</v>
      </c>
      <c r="E542" t="s">
        <v>15</v>
      </c>
      <c r="F542" t="s">
        <v>408</v>
      </c>
      <c r="G542" s="1" t="str">
        <f>"004"</f>
        <v>004</v>
      </c>
      <c r="H542" s="1">
        <v>2006</v>
      </c>
      <c r="I542" s="6">
        <v>12578400</v>
      </c>
      <c r="J542" s="6">
        <v>894000</v>
      </c>
      <c r="K542" s="6">
        <v>11684400</v>
      </c>
      <c r="L542" s="7"/>
    </row>
    <row r="543" spans="1:12" x14ac:dyDescent="0.25">
      <c r="A543" t="s">
        <v>407</v>
      </c>
      <c r="B543" s="5">
        <v>143171</v>
      </c>
      <c r="C543" t="s">
        <v>86</v>
      </c>
      <c r="D543" s="1" t="str">
        <f>"14146"</f>
        <v>14146</v>
      </c>
      <c r="E543" t="s">
        <v>15</v>
      </c>
      <c r="F543" t="s">
        <v>408</v>
      </c>
      <c r="G543" s="1" t="str">
        <f>"005"</f>
        <v>005</v>
      </c>
      <c r="H543" s="1">
        <v>2015</v>
      </c>
      <c r="I543" s="6">
        <v>13752400</v>
      </c>
      <c r="J543" s="6">
        <v>297600</v>
      </c>
      <c r="K543" s="6">
        <v>13454800</v>
      </c>
      <c r="L543" s="7"/>
    </row>
    <row r="544" spans="1:12" x14ac:dyDescent="0.25">
      <c r="A544" t="s">
        <v>409</v>
      </c>
      <c r="B544" s="5">
        <v>103206</v>
      </c>
      <c r="C544" t="s">
        <v>9</v>
      </c>
      <c r="D544" s="1" t="str">
        <f>"10246"</f>
        <v>10246</v>
      </c>
      <c r="E544" t="s">
        <v>10</v>
      </c>
      <c r="F544" t="s">
        <v>410</v>
      </c>
      <c r="G544" s="1" t="str">
        <f>"002"</f>
        <v>002</v>
      </c>
      <c r="H544" s="1">
        <v>2006</v>
      </c>
      <c r="I544" s="6">
        <v>8660200</v>
      </c>
      <c r="J544" s="6">
        <v>4567400</v>
      </c>
      <c r="K544" s="6">
        <v>4092800</v>
      </c>
      <c r="L544" s="7"/>
    </row>
    <row r="545" spans="1:12" x14ac:dyDescent="0.25">
      <c r="A545" t="s">
        <v>411</v>
      </c>
      <c r="B545" s="5">
        <v>483213</v>
      </c>
      <c r="C545" t="s">
        <v>32</v>
      </c>
      <c r="D545" s="1" t="str">
        <f>"48146"</f>
        <v>48146</v>
      </c>
      <c r="E545" t="s">
        <v>15</v>
      </c>
      <c r="F545" t="s">
        <v>412</v>
      </c>
      <c r="G545" s="1" t="str">
        <f>"002"</f>
        <v>002</v>
      </c>
      <c r="H545" s="1">
        <v>2002</v>
      </c>
      <c r="I545" s="6">
        <v>11170800</v>
      </c>
      <c r="J545" s="6">
        <v>5509600</v>
      </c>
      <c r="K545" s="6">
        <v>5661200</v>
      </c>
      <c r="L545" s="7"/>
    </row>
    <row r="546" spans="1:12" x14ac:dyDescent="0.25">
      <c r="A546" t="s">
        <v>411</v>
      </c>
      <c r="B546" s="5">
        <v>483213</v>
      </c>
      <c r="C546" t="s">
        <v>32</v>
      </c>
      <c r="D546" s="1" t="str">
        <f>"48146"</f>
        <v>48146</v>
      </c>
      <c r="E546" t="s">
        <v>15</v>
      </c>
      <c r="F546" t="s">
        <v>412</v>
      </c>
      <c r="G546" s="1" t="str">
        <f>"003"</f>
        <v>003</v>
      </c>
      <c r="H546" s="1">
        <v>2005</v>
      </c>
      <c r="I546" s="6">
        <v>4262900</v>
      </c>
      <c r="J546" s="6">
        <v>3522400</v>
      </c>
      <c r="K546" s="6">
        <v>740500</v>
      </c>
      <c r="L546" s="7"/>
    </row>
    <row r="547" spans="1:12" x14ac:dyDescent="0.25">
      <c r="A547" t="s">
        <v>411</v>
      </c>
      <c r="B547" s="5">
        <v>483213</v>
      </c>
      <c r="C547" t="s">
        <v>32</v>
      </c>
      <c r="D547" s="1" t="str">
        <f>"48146"</f>
        <v>48146</v>
      </c>
      <c r="E547" t="s">
        <v>15</v>
      </c>
      <c r="F547" t="s">
        <v>412</v>
      </c>
      <c r="G547" s="1" t="str">
        <f>"004"</f>
        <v>004</v>
      </c>
      <c r="H547" s="1">
        <v>2018</v>
      </c>
      <c r="I547" s="6">
        <v>9371000</v>
      </c>
      <c r="J547" s="6">
        <v>7693200</v>
      </c>
      <c r="K547" s="6">
        <v>1677800</v>
      </c>
      <c r="L547" s="7"/>
    </row>
    <row r="548" spans="1:12" x14ac:dyDescent="0.25">
      <c r="A548" t="s">
        <v>413</v>
      </c>
      <c r="B548" s="5">
        <v>313220</v>
      </c>
      <c r="C548" t="s">
        <v>20</v>
      </c>
      <c r="D548" s="1" t="str">
        <f>"31146"</f>
        <v>31146</v>
      </c>
      <c r="E548" t="s">
        <v>15</v>
      </c>
      <c r="F548" t="s">
        <v>414</v>
      </c>
      <c r="G548" s="1" t="str">
        <f>"001"</f>
        <v>001</v>
      </c>
      <c r="H548" s="1">
        <v>1995</v>
      </c>
      <c r="I548" s="6">
        <v>35730900</v>
      </c>
      <c r="J548" s="6">
        <v>4720200</v>
      </c>
      <c r="K548" s="6">
        <v>31010700</v>
      </c>
      <c r="L548" s="7"/>
    </row>
    <row r="549" spans="1:12" x14ac:dyDescent="0.25">
      <c r="A549" t="s">
        <v>415</v>
      </c>
      <c r="B549" s="5">
        <v>133269</v>
      </c>
      <c r="C549" t="s">
        <v>89</v>
      </c>
      <c r="D549" s="1" t="str">
        <f>"13225"</f>
        <v>13225</v>
      </c>
      <c r="E549" t="s">
        <v>10</v>
      </c>
      <c r="F549" t="s">
        <v>416</v>
      </c>
      <c r="G549" s="1" t="str">
        <f>"004"</f>
        <v>004</v>
      </c>
      <c r="H549" s="1">
        <v>2003</v>
      </c>
      <c r="I549" s="6">
        <v>228141200</v>
      </c>
      <c r="J549" s="6">
        <v>45812400</v>
      </c>
      <c r="K549" s="6">
        <v>182328800</v>
      </c>
      <c r="L549" s="7"/>
    </row>
    <row r="550" spans="1:12" x14ac:dyDescent="0.25">
      <c r="A550" t="s">
        <v>415</v>
      </c>
      <c r="B550" s="5">
        <v>133269</v>
      </c>
      <c r="C550" t="s">
        <v>89</v>
      </c>
      <c r="D550" s="1" t="str">
        <f>"13225"</f>
        <v>13225</v>
      </c>
      <c r="E550" t="s">
        <v>10</v>
      </c>
      <c r="F550" t="s">
        <v>416</v>
      </c>
      <c r="G550" s="1" t="str">
        <f>"010"</f>
        <v>010</v>
      </c>
      <c r="H550" s="1">
        <v>2016</v>
      </c>
      <c r="I550" s="6">
        <v>44313300</v>
      </c>
      <c r="J550" s="6">
        <v>42872500</v>
      </c>
      <c r="K550" s="6">
        <v>1440800</v>
      </c>
      <c r="L550" s="7"/>
    </row>
    <row r="551" spans="1:12" x14ac:dyDescent="0.25">
      <c r="A551" t="s">
        <v>415</v>
      </c>
      <c r="B551" s="5">
        <v>133269</v>
      </c>
      <c r="C551" t="s">
        <v>89</v>
      </c>
      <c r="D551" s="1" t="str">
        <f>"13225"</f>
        <v>13225</v>
      </c>
      <c r="E551" t="s">
        <v>10</v>
      </c>
      <c r="F551" t="s">
        <v>416</v>
      </c>
      <c r="G551" s="1" t="str">
        <f>"012"</f>
        <v>012</v>
      </c>
      <c r="H551" s="1">
        <v>2018</v>
      </c>
      <c r="I551" s="6">
        <v>127248600</v>
      </c>
      <c r="J551" s="6">
        <v>128183100</v>
      </c>
      <c r="K551" s="6">
        <v>-934500</v>
      </c>
      <c r="L551" s="7"/>
    </row>
    <row r="552" spans="1:12" x14ac:dyDescent="0.25">
      <c r="A552" t="s">
        <v>415</v>
      </c>
      <c r="B552" s="5">
        <v>133269</v>
      </c>
      <c r="C552" t="s">
        <v>89</v>
      </c>
      <c r="D552" s="1" t="str">
        <f>"13032"</f>
        <v>13032</v>
      </c>
      <c r="E552" t="s">
        <v>17</v>
      </c>
      <c r="F552" t="s">
        <v>417</v>
      </c>
      <c r="G552" s="1" t="str">
        <f>"002O"</f>
        <v>002O</v>
      </c>
      <c r="H552" s="1">
        <v>2006</v>
      </c>
      <c r="I552" s="6">
        <v>59298300</v>
      </c>
      <c r="J552" s="6">
        <v>24846800</v>
      </c>
      <c r="K552" s="6">
        <v>34451500</v>
      </c>
      <c r="L552" s="7"/>
    </row>
    <row r="553" spans="1:12" x14ac:dyDescent="0.25">
      <c r="A553" t="s">
        <v>415</v>
      </c>
      <c r="B553" s="5">
        <v>133269</v>
      </c>
      <c r="C553" t="s">
        <v>89</v>
      </c>
      <c r="D553" s="1" t="str">
        <f t="shared" ref="D553:D564" si="14">"13251"</f>
        <v>13251</v>
      </c>
      <c r="E553" t="s">
        <v>10</v>
      </c>
      <c r="F553" t="s">
        <v>417</v>
      </c>
      <c r="G553" s="1" t="str">
        <f>"025"</f>
        <v>025</v>
      </c>
      <c r="H553" s="1">
        <v>1995</v>
      </c>
      <c r="I553" s="6">
        <v>222869700</v>
      </c>
      <c r="J553" s="6">
        <v>38606700</v>
      </c>
      <c r="K553" s="6">
        <v>184263000</v>
      </c>
      <c r="L553" s="7"/>
    </row>
    <row r="554" spans="1:12" x14ac:dyDescent="0.25">
      <c r="A554" t="s">
        <v>415</v>
      </c>
      <c r="B554" s="5">
        <v>133269</v>
      </c>
      <c r="C554" t="s">
        <v>89</v>
      </c>
      <c r="D554" s="1" t="str">
        <f t="shared" si="14"/>
        <v>13251</v>
      </c>
      <c r="E554" t="s">
        <v>10</v>
      </c>
      <c r="F554" t="s">
        <v>417</v>
      </c>
      <c r="G554" s="1" t="str">
        <f>"029"</f>
        <v>029</v>
      </c>
      <c r="H554" s="1">
        <v>2000</v>
      </c>
      <c r="I554" s="6">
        <v>38645100</v>
      </c>
      <c r="J554" s="6">
        <v>29362900</v>
      </c>
      <c r="K554" s="6">
        <v>9282200</v>
      </c>
      <c r="L554" s="7"/>
    </row>
    <row r="555" spans="1:12" x14ac:dyDescent="0.25">
      <c r="A555" t="s">
        <v>415</v>
      </c>
      <c r="B555" s="5">
        <v>133269</v>
      </c>
      <c r="C555" t="s">
        <v>89</v>
      </c>
      <c r="D555" s="1" t="str">
        <f t="shared" si="14"/>
        <v>13251</v>
      </c>
      <c r="E555" t="s">
        <v>10</v>
      </c>
      <c r="F555" t="s">
        <v>417</v>
      </c>
      <c r="G555" s="1" t="str">
        <f>"035"</f>
        <v>035</v>
      </c>
      <c r="H555" s="1">
        <v>2005</v>
      </c>
      <c r="I555" s="6">
        <v>78038100</v>
      </c>
      <c r="J555" s="6">
        <v>25800600</v>
      </c>
      <c r="K555" s="6">
        <v>52237500</v>
      </c>
      <c r="L555" s="7"/>
    </row>
    <row r="556" spans="1:12" x14ac:dyDescent="0.25">
      <c r="A556" t="s">
        <v>415</v>
      </c>
      <c r="B556" s="5">
        <v>133269</v>
      </c>
      <c r="C556" t="s">
        <v>89</v>
      </c>
      <c r="D556" s="1" t="str">
        <f t="shared" si="14"/>
        <v>13251</v>
      </c>
      <c r="E556" t="s">
        <v>10</v>
      </c>
      <c r="F556" t="s">
        <v>417</v>
      </c>
      <c r="G556" s="1" t="str">
        <f>"036"</f>
        <v>036</v>
      </c>
      <c r="H556" s="1">
        <v>2005</v>
      </c>
      <c r="I556" s="6">
        <v>424702800</v>
      </c>
      <c r="J556" s="6">
        <v>97652400</v>
      </c>
      <c r="K556" s="6">
        <v>327050400</v>
      </c>
      <c r="L556" s="7"/>
    </row>
    <row r="557" spans="1:12" x14ac:dyDescent="0.25">
      <c r="A557" t="s">
        <v>415</v>
      </c>
      <c r="B557" s="5">
        <v>133269</v>
      </c>
      <c r="C557" t="s">
        <v>89</v>
      </c>
      <c r="D557" s="1" t="str">
        <f t="shared" si="14"/>
        <v>13251</v>
      </c>
      <c r="E557" t="s">
        <v>10</v>
      </c>
      <c r="F557" t="s">
        <v>417</v>
      </c>
      <c r="G557" s="1" t="str">
        <f>"037"</f>
        <v>037</v>
      </c>
      <c r="H557" s="1">
        <v>2006</v>
      </c>
      <c r="I557" s="6">
        <v>131820000</v>
      </c>
      <c r="J557" s="6">
        <v>43466900</v>
      </c>
      <c r="K557" s="6">
        <v>88353100</v>
      </c>
      <c r="L557" s="7"/>
    </row>
    <row r="558" spans="1:12" x14ac:dyDescent="0.25">
      <c r="A558" t="s">
        <v>415</v>
      </c>
      <c r="B558" s="5">
        <v>133269</v>
      </c>
      <c r="C558" t="s">
        <v>89</v>
      </c>
      <c r="D558" s="1" t="str">
        <f t="shared" si="14"/>
        <v>13251</v>
      </c>
      <c r="E558" t="s">
        <v>10</v>
      </c>
      <c r="F558" t="s">
        <v>417</v>
      </c>
      <c r="G558" s="1" t="str">
        <f>"038"</f>
        <v>038</v>
      </c>
      <c r="H558" s="1">
        <v>2008</v>
      </c>
      <c r="I558" s="6">
        <v>51525200</v>
      </c>
      <c r="J558" s="6">
        <v>54203700</v>
      </c>
      <c r="K558" s="6">
        <v>-2678500</v>
      </c>
      <c r="L558" s="7"/>
    </row>
    <row r="559" spans="1:12" x14ac:dyDescent="0.25">
      <c r="A559" t="s">
        <v>415</v>
      </c>
      <c r="B559" s="5">
        <v>133269</v>
      </c>
      <c r="C559" t="s">
        <v>89</v>
      </c>
      <c r="D559" s="1" t="str">
        <f t="shared" si="14"/>
        <v>13251</v>
      </c>
      <c r="E559" t="s">
        <v>10</v>
      </c>
      <c r="F559" t="s">
        <v>417</v>
      </c>
      <c r="G559" s="1" t="str">
        <f>"039"</f>
        <v>039</v>
      </c>
      <c r="H559" s="1">
        <v>2008</v>
      </c>
      <c r="I559" s="6">
        <v>367152600</v>
      </c>
      <c r="J559" s="6">
        <v>263256500</v>
      </c>
      <c r="K559" s="6">
        <v>103896100</v>
      </c>
      <c r="L559" s="7"/>
    </row>
    <row r="560" spans="1:12" x14ac:dyDescent="0.25">
      <c r="A560" t="s">
        <v>415</v>
      </c>
      <c r="B560" s="5">
        <v>133269</v>
      </c>
      <c r="C560" t="s">
        <v>89</v>
      </c>
      <c r="D560" s="1" t="str">
        <f t="shared" si="14"/>
        <v>13251</v>
      </c>
      <c r="E560" t="s">
        <v>10</v>
      </c>
      <c r="F560" t="s">
        <v>417</v>
      </c>
      <c r="G560" s="1" t="str">
        <f>"041"</f>
        <v>041</v>
      </c>
      <c r="H560" s="1">
        <v>2011</v>
      </c>
      <c r="I560" s="6">
        <v>61047000</v>
      </c>
      <c r="J560" s="6">
        <v>18703300</v>
      </c>
      <c r="K560" s="6">
        <v>42343700</v>
      </c>
      <c r="L560" s="7"/>
    </row>
    <row r="561" spans="1:12" x14ac:dyDescent="0.25">
      <c r="A561" t="s">
        <v>415</v>
      </c>
      <c r="B561" s="5">
        <v>133269</v>
      </c>
      <c r="C561" t="s">
        <v>89</v>
      </c>
      <c r="D561" s="1" t="str">
        <f t="shared" si="14"/>
        <v>13251</v>
      </c>
      <c r="E561" t="s">
        <v>10</v>
      </c>
      <c r="F561" t="s">
        <v>417</v>
      </c>
      <c r="G561" s="1" t="str">
        <f>"042"</f>
        <v>042</v>
      </c>
      <c r="H561" s="1">
        <v>2012</v>
      </c>
      <c r="I561" s="6">
        <v>79118500</v>
      </c>
      <c r="J561" s="6">
        <v>50866200</v>
      </c>
      <c r="K561" s="6">
        <v>28252300</v>
      </c>
      <c r="L561" s="7"/>
    </row>
    <row r="562" spans="1:12" x14ac:dyDescent="0.25">
      <c r="A562" t="s">
        <v>415</v>
      </c>
      <c r="B562" s="5">
        <v>133269</v>
      </c>
      <c r="C562" t="s">
        <v>89</v>
      </c>
      <c r="D562" s="1" t="str">
        <f t="shared" si="14"/>
        <v>13251</v>
      </c>
      <c r="E562" t="s">
        <v>10</v>
      </c>
      <c r="F562" t="s">
        <v>417</v>
      </c>
      <c r="G562" s="1" t="str">
        <f>"044"</f>
        <v>044</v>
      </c>
      <c r="H562" s="1">
        <v>2013</v>
      </c>
      <c r="I562" s="6">
        <v>56383300</v>
      </c>
      <c r="J562" s="6">
        <v>30448400</v>
      </c>
      <c r="K562" s="6">
        <v>25934900</v>
      </c>
      <c r="L562" s="7"/>
    </row>
    <row r="563" spans="1:12" x14ac:dyDescent="0.25">
      <c r="A563" t="s">
        <v>415</v>
      </c>
      <c r="B563" s="5">
        <v>133269</v>
      </c>
      <c r="C563" t="s">
        <v>89</v>
      </c>
      <c r="D563" s="1" t="str">
        <f t="shared" si="14"/>
        <v>13251</v>
      </c>
      <c r="E563" t="s">
        <v>10</v>
      </c>
      <c r="F563" t="s">
        <v>417</v>
      </c>
      <c r="G563" s="1" t="str">
        <f>"045"</f>
        <v>045</v>
      </c>
      <c r="H563" s="1">
        <v>2015</v>
      </c>
      <c r="I563" s="6">
        <v>151102600</v>
      </c>
      <c r="J563" s="6">
        <v>79304000</v>
      </c>
      <c r="K563" s="6">
        <v>71798600</v>
      </c>
      <c r="L563" s="7"/>
    </row>
    <row r="564" spans="1:12" x14ac:dyDescent="0.25">
      <c r="A564" t="s">
        <v>415</v>
      </c>
      <c r="B564" s="5">
        <v>133269</v>
      </c>
      <c r="C564" t="s">
        <v>89</v>
      </c>
      <c r="D564" s="1" t="str">
        <f t="shared" si="14"/>
        <v>13251</v>
      </c>
      <c r="E564" t="s">
        <v>10</v>
      </c>
      <c r="F564" t="s">
        <v>417</v>
      </c>
      <c r="G564" s="1" t="str">
        <f>"046"</f>
        <v>046</v>
      </c>
      <c r="H564" s="1">
        <v>2015</v>
      </c>
      <c r="I564" s="6">
        <v>232796900</v>
      </c>
      <c r="J564" s="6">
        <v>122758300</v>
      </c>
      <c r="K564" s="6">
        <v>110038600</v>
      </c>
      <c r="L564" s="7"/>
    </row>
    <row r="565" spans="1:12" x14ac:dyDescent="0.25">
      <c r="A565" t="s">
        <v>415</v>
      </c>
      <c r="B565" s="5">
        <v>133269</v>
      </c>
      <c r="C565" t="s">
        <v>89</v>
      </c>
      <c r="D565" s="1" t="str">
        <f>"13151"</f>
        <v>13151</v>
      </c>
      <c r="E565" t="s">
        <v>15</v>
      </c>
      <c r="F565" t="s">
        <v>418</v>
      </c>
      <c r="G565" s="1" t="str">
        <f>"001"</f>
        <v>001</v>
      </c>
      <c r="H565" s="1">
        <v>2014</v>
      </c>
      <c r="I565" s="6">
        <v>8178900</v>
      </c>
      <c r="J565" s="6">
        <v>5689400</v>
      </c>
      <c r="K565" s="6">
        <v>2489500</v>
      </c>
      <c r="L565" s="7"/>
    </row>
    <row r="566" spans="1:12" x14ac:dyDescent="0.25">
      <c r="A566" t="s">
        <v>415</v>
      </c>
      <c r="B566" s="5">
        <v>133269</v>
      </c>
      <c r="C566" t="s">
        <v>89</v>
      </c>
      <c r="D566" s="1" t="str">
        <f>"13181"</f>
        <v>13181</v>
      </c>
      <c r="E566" t="s">
        <v>15</v>
      </c>
      <c r="F566" t="s">
        <v>419</v>
      </c>
      <c r="G566" s="1" t="str">
        <f>"003"</f>
        <v>003</v>
      </c>
      <c r="H566" s="1">
        <v>2008</v>
      </c>
      <c r="I566" s="6">
        <v>64617600</v>
      </c>
      <c r="J566" s="6">
        <v>21225400</v>
      </c>
      <c r="K566" s="6">
        <v>43392200</v>
      </c>
      <c r="L566" s="7"/>
    </row>
    <row r="567" spans="1:12" x14ac:dyDescent="0.25">
      <c r="A567" t="s">
        <v>415</v>
      </c>
      <c r="B567" s="5">
        <v>133269</v>
      </c>
      <c r="C567" t="s">
        <v>89</v>
      </c>
      <c r="D567" s="1" t="str">
        <f>"13181"</f>
        <v>13181</v>
      </c>
      <c r="E567" t="s">
        <v>15</v>
      </c>
      <c r="F567" t="s">
        <v>419</v>
      </c>
      <c r="G567" s="1" t="str">
        <f>"004"</f>
        <v>004</v>
      </c>
      <c r="H567" s="1">
        <v>2010</v>
      </c>
      <c r="I567" s="6">
        <v>22423700</v>
      </c>
      <c r="J567" s="6">
        <v>8265800</v>
      </c>
      <c r="K567" s="6">
        <v>14157900</v>
      </c>
      <c r="L567" s="7"/>
    </row>
    <row r="568" spans="1:12" x14ac:dyDescent="0.25">
      <c r="A568" t="s">
        <v>415</v>
      </c>
      <c r="B568" s="5">
        <v>133269</v>
      </c>
      <c r="C568" t="s">
        <v>89</v>
      </c>
      <c r="D568" s="1" t="str">
        <f>"13181"</f>
        <v>13181</v>
      </c>
      <c r="E568" t="s">
        <v>15</v>
      </c>
      <c r="F568" t="s">
        <v>419</v>
      </c>
      <c r="G568" s="1" t="str">
        <f>"005"</f>
        <v>005</v>
      </c>
      <c r="H568" s="1">
        <v>2016</v>
      </c>
      <c r="I568" s="6">
        <v>12148800</v>
      </c>
      <c r="J568" s="6">
        <v>4252600</v>
      </c>
      <c r="K568" s="6">
        <v>7896200</v>
      </c>
      <c r="L568" s="7"/>
    </row>
    <row r="569" spans="1:12" x14ac:dyDescent="0.25">
      <c r="A569" t="s">
        <v>420</v>
      </c>
      <c r="B569" s="5">
        <v>683276</v>
      </c>
      <c r="C569" t="s">
        <v>181</v>
      </c>
      <c r="D569" s="1" t="str">
        <f>"68251"</f>
        <v>68251</v>
      </c>
      <c r="E569" t="s">
        <v>10</v>
      </c>
      <c r="F569" t="s">
        <v>421</v>
      </c>
      <c r="G569" s="1" t="str">
        <f>"002"</f>
        <v>002</v>
      </c>
      <c r="H569" s="1">
        <v>2016</v>
      </c>
      <c r="I569" s="6">
        <v>4901100</v>
      </c>
      <c r="J569" s="6">
        <v>2392700</v>
      </c>
      <c r="K569" s="6">
        <v>2508400</v>
      </c>
      <c r="L569" s="7"/>
    </row>
    <row r="570" spans="1:12" x14ac:dyDescent="0.25">
      <c r="A570" t="s">
        <v>420</v>
      </c>
      <c r="B570" s="5">
        <v>683276</v>
      </c>
      <c r="C570" t="s">
        <v>181</v>
      </c>
      <c r="D570" s="1" t="str">
        <f>"68251"</f>
        <v>68251</v>
      </c>
      <c r="E570" t="s">
        <v>10</v>
      </c>
      <c r="F570" t="s">
        <v>421</v>
      </c>
      <c r="G570" s="1" t="str">
        <f>"003"</f>
        <v>003</v>
      </c>
      <c r="H570" s="1">
        <v>2018</v>
      </c>
      <c r="I570" s="6">
        <v>2954300</v>
      </c>
      <c r="J570" s="6">
        <v>2362600</v>
      </c>
      <c r="K570" s="6">
        <v>591700</v>
      </c>
      <c r="L570" s="7"/>
    </row>
    <row r="571" spans="1:12" x14ac:dyDescent="0.25">
      <c r="A571" t="s">
        <v>422</v>
      </c>
      <c r="B571" s="5">
        <v>363290</v>
      </c>
      <c r="C571" t="s">
        <v>234</v>
      </c>
      <c r="D571" s="1" t="str">
        <f t="shared" ref="D571:D579" si="15">"36251"</f>
        <v>36251</v>
      </c>
      <c r="E571" t="s">
        <v>10</v>
      </c>
      <c r="F571" t="s">
        <v>234</v>
      </c>
      <c r="G571" s="1" t="str">
        <f>"009"</f>
        <v>009</v>
      </c>
      <c r="H571" s="1">
        <v>1995</v>
      </c>
      <c r="I571" s="6">
        <v>16594200</v>
      </c>
      <c r="J571" s="6">
        <v>1975800</v>
      </c>
      <c r="K571" s="6">
        <v>14618400</v>
      </c>
      <c r="L571" s="7"/>
    </row>
    <row r="572" spans="1:12" x14ac:dyDescent="0.25">
      <c r="A572" t="s">
        <v>422</v>
      </c>
      <c r="B572" s="5">
        <v>363290</v>
      </c>
      <c r="C572" t="s">
        <v>234</v>
      </c>
      <c r="D572" s="1" t="str">
        <f t="shared" si="15"/>
        <v>36251</v>
      </c>
      <c r="E572" t="s">
        <v>10</v>
      </c>
      <c r="F572" t="s">
        <v>234</v>
      </c>
      <c r="G572" s="1" t="str">
        <f>"010"</f>
        <v>010</v>
      </c>
      <c r="H572" s="1">
        <v>1997</v>
      </c>
      <c r="I572" s="6">
        <v>8610600</v>
      </c>
      <c r="J572" s="6">
        <v>2694400</v>
      </c>
      <c r="K572" s="6">
        <v>5916200</v>
      </c>
      <c r="L572" s="7"/>
    </row>
    <row r="573" spans="1:12" x14ac:dyDescent="0.25">
      <c r="A573" t="s">
        <v>422</v>
      </c>
      <c r="B573" s="5">
        <v>363290</v>
      </c>
      <c r="C573" t="s">
        <v>234</v>
      </c>
      <c r="D573" s="1" t="str">
        <f t="shared" si="15"/>
        <v>36251</v>
      </c>
      <c r="E573" t="s">
        <v>10</v>
      </c>
      <c r="F573" t="s">
        <v>234</v>
      </c>
      <c r="G573" s="1" t="str">
        <f>"012"</f>
        <v>012</v>
      </c>
      <c r="H573" s="1">
        <v>1999</v>
      </c>
      <c r="I573" s="6">
        <v>7560400</v>
      </c>
      <c r="J573" s="6">
        <v>61500</v>
      </c>
      <c r="K573" s="6">
        <v>7498900</v>
      </c>
      <c r="L573" s="7"/>
    </row>
    <row r="574" spans="1:12" x14ac:dyDescent="0.25">
      <c r="A574" t="s">
        <v>422</v>
      </c>
      <c r="B574" s="5">
        <v>363290</v>
      </c>
      <c r="C574" t="s">
        <v>234</v>
      </c>
      <c r="D574" s="1" t="str">
        <f t="shared" si="15"/>
        <v>36251</v>
      </c>
      <c r="E574" t="s">
        <v>10</v>
      </c>
      <c r="F574" t="s">
        <v>234</v>
      </c>
      <c r="G574" s="1" t="str">
        <f>"016"</f>
        <v>016</v>
      </c>
      <c r="H574" s="1">
        <v>2003</v>
      </c>
      <c r="I574" s="6">
        <v>38388800</v>
      </c>
      <c r="J574" s="6">
        <v>23530300</v>
      </c>
      <c r="K574" s="6">
        <v>14858500</v>
      </c>
      <c r="L574" s="7"/>
    </row>
    <row r="575" spans="1:12" x14ac:dyDescent="0.25">
      <c r="A575" t="s">
        <v>422</v>
      </c>
      <c r="B575" s="5">
        <v>363290</v>
      </c>
      <c r="C575" t="s">
        <v>234</v>
      </c>
      <c r="D575" s="1" t="str">
        <f t="shared" si="15"/>
        <v>36251</v>
      </c>
      <c r="E575" t="s">
        <v>10</v>
      </c>
      <c r="F575" t="s">
        <v>234</v>
      </c>
      <c r="G575" s="1" t="str">
        <f>"017"</f>
        <v>017</v>
      </c>
      <c r="H575" s="1">
        <v>2007</v>
      </c>
      <c r="I575" s="6">
        <v>10139200</v>
      </c>
      <c r="J575" s="6">
        <v>192200</v>
      </c>
      <c r="K575" s="6">
        <v>9947000</v>
      </c>
      <c r="L575" s="7"/>
    </row>
    <row r="576" spans="1:12" x14ac:dyDescent="0.25">
      <c r="A576" t="s">
        <v>422</v>
      </c>
      <c r="B576" s="5">
        <v>363290</v>
      </c>
      <c r="C576" t="s">
        <v>234</v>
      </c>
      <c r="D576" s="1" t="str">
        <f t="shared" si="15"/>
        <v>36251</v>
      </c>
      <c r="E576" t="s">
        <v>10</v>
      </c>
      <c r="F576" t="s">
        <v>234</v>
      </c>
      <c r="G576" s="1" t="str">
        <f>"018"</f>
        <v>018</v>
      </c>
      <c r="H576" s="1">
        <v>2015</v>
      </c>
      <c r="I576" s="6">
        <v>12295900</v>
      </c>
      <c r="J576" s="6">
        <v>13492300</v>
      </c>
      <c r="K576" s="6">
        <v>-1196400</v>
      </c>
      <c r="L576" s="7"/>
    </row>
    <row r="577" spans="1:12" x14ac:dyDescent="0.25">
      <c r="A577" t="s">
        <v>422</v>
      </c>
      <c r="B577" s="5">
        <v>363290</v>
      </c>
      <c r="C577" t="s">
        <v>234</v>
      </c>
      <c r="D577" s="1" t="str">
        <f t="shared" si="15"/>
        <v>36251</v>
      </c>
      <c r="E577" t="s">
        <v>10</v>
      </c>
      <c r="F577" t="s">
        <v>234</v>
      </c>
      <c r="G577" s="1" t="str">
        <f>"019"</f>
        <v>019</v>
      </c>
      <c r="H577" s="1">
        <v>2017</v>
      </c>
      <c r="I577" s="6">
        <v>63832700</v>
      </c>
      <c r="J577" s="6">
        <v>58414600</v>
      </c>
      <c r="K577" s="6">
        <v>5418100</v>
      </c>
      <c r="L577" s="7"/>
    </row>
    <row r="578" spans="1:12" x14ac:dyDescent="0.25">
      <c r="A578" t="s">
        <v>422</v>
      </c>
      <c r="B578" s="5">
        <v>363290</v>
      </c>
      <c r="C578" t="s">
        <v>234</v>
      </c>
      <c r="D578" s="1" t="str">
        <f t="shared" si="15"/>
        <v>36251</v>
      </c>
      <c r="E578" t="s">
        <v>10</v>
      </c>
      <c r="F578" t="s">
        <v>234</v>
      </c>
      <c r="G578" s="1" t="str">
        <f>"020"</f>
        <v>020</v>
      </c>
      <c r="H578" s="1">
        <v>2018</v>
      </c>
      <c r="I578" s="6">
        <v>6768200</v>
      </c>
      <c r="J578" s="6">
        <v>6636100</v>
      </c>
      <c r="K578" s="6">
        <v>132100</v>
      </c>
      <c r="L578" s="7"/>
    </row>
    <row r="579" spans="1:12" x14ac:dyDescent="0.25">
      <c r="A579" t="s">
        <v>422</v>
      </c>
      <c r="B579" s="5">
        <v>363290</v>
      </c>
      <c r="C579" t="s">
        <v>234</v>
      </c>
      <c r="D579" s="1" t="str">
        <f t="shared" si="15"/>
        <v>36251</v>
      </c>
      <c r="E579" t="s">
        <v>10</v>
      </c>
      <c r="F579" t="s">
        <v>234</v>
      </c>
      <c r="G579" s="1" t="str">
        <f>"021"</f>
        <v>021</v>
      </c>
      <c r="H579" s="1">
        <v>2018</v>
      </c>
      <c r="I579" s="6">
        <v>23085600</v>
      </c>
      <c r="J579" s="6">
        <v>22730400</v>
      </c>
      <c r="K579" s="6">
        <v>355200</v>
      </c>
      <c r="L579" s="7"/>
    </row>
    <row r="580" spans="1:12" x14ac:dyDescent="0.25">
      <c r="A580" t="s">
        <v>423</v>
      </c>
      <c r="B580" s="5">
        <v>373304</v>
      </c>
      <c r="C580" t="s">
        <v>12</v>
      </c>
      <c r="D580" s="1" t="str">
        <f>"37151"</f>
        <v>37151</v>
      </c>
      <c r="E580" t="s">
        <v>15</v>
      </c>
      <c r="F580" t="s">
        <v>12</v>
      </c>
      <c r="G580" s="1" t="str">
        <f>"001"</f>
        <v>001</v>
      </c>
      <c r="H580" s="1">
        <v>2002</v>
      </c>
      <c r="I580" s="6">
        <v>33542300</v>
      </c>
      <c r="J580" s="6">
        <v>7361400</v>
      </c>
      <c r="K580" s="6">
        <v>26180900</v>
      </c>
      <c r="L580" s="7"/>
    </row>
    <row r="581" spans="1:12" x14ac:dyDescent="0.25">
      <c r="A581" t="s">
        <v>423</v>
      </c>
      <c r="B581" s="5">
        <v>373304</v>
      </c>
      <c r="C581" t="s">
        <v>12</v>
      </c>
      <c r="D581" s="1" t="str">
        <f>"37151"</f>
        <v>37151</v>
      </c>
      <c r="E581" t="s">
        <v>15</v>
      </c>
      <c r="F581" t="s">
        <v>12</v>
      </c>
      <c r="G581" s="1" t="str">
        <f>"002"</f>
        <v>002</v>
      </c>
      <c r="H581" s="1">
        <v>2016</v>
      </c>
      <c r="I581" s="6">
        <v>8239900</v>
      </c>
      <c r="J581" s="6">
        <v>1146800</v>
      </c>
      <c r="K581" s="6">
        <v>7093100</v>
      </c>
      <c r="L581" s="7"/>
    </row>
    <row r="582" spans="1:12" x14ac:dyDescent="0.25">
      <c r="A582" t="s">
        <v>424</v>
      </c>
      <c r="B582" s="5">
        <v>383311</v>
      </c>
      <c r="C582" t="s">
        <v>189</v>
      </c>
      <c r="D582" s="1" t="str">
        <f t="shared" ref="D582:D589" si="16">"38251"</f>
        <v>38251</v>
      </c>
      <c r="E582" t="s">
        <v>10</v>
      </c>
      <c r="F582" t="s">
        <v>189</v>
      </c>
      <c r="G582" s="1" t="str">
        <f>"006"</f>
        <v>006</v>
      </c>
      <c r="H582" s="1">
        <v>2002</v>
      </c>
      <c r="I582" s="6">
        <v>7550500</v>
      </c>
      <c r="J582" s="6">
        <v>323100</v>
      </c>
      <c r="K582" s="6">
        <v>7227400</v>
      </c>
      <c r="L582" s="7"/>
    </row>
    <row r="583" spans="1:12" x14ac:dyDescent="0.25">
      <c r="A583" t="s">
        <v>424</v>
      </c>
      <c r="B583" s="5">
        <v>383311</v>
      </c>
      <c r="C583" t="s">
        <v>189</v>
      </c>
      <c r="D583" s="1" t="str">
        <f t="shared" si="16"/>
        <v>38251</v>
      </c>
      <c r="E583" t="s">
        <v>10</v>
      </c>
      <c r="F583" t="s">
        <v>189</v>
      </c>
      <c r="G583" s="1" t="str">
        <f>"007"</f>
        <v>007</v>
      </c>
      <c r="H583" s="1">
        <v>2005</v>
      </c>
      <c r="I583" s="6">
        <v>5442400</v>
      </c>
      <c r="J583" s="6">
        <v>2893700</v>
      </c>
      <c r="K583" s="6">
        <v>2548700</v>
      </c>
      <c r="L583" s="7"/>
    </row>
    <row r="584" spans="1:12" x14ac:dyDescent="0.25">
      <c r="A584" t="s">
        <v>424</v>
      </c>
      <c r="B584" s="5">
        <v>383311</v>
      </c>
      <c r="C584" t="s">
        <v>189</v>
      </c>
      <c r="D584" s="1" t="str">
        <f t="shared" si="16"/>
        <v>38251</v>
      </c>
      <c r="E584" t="s">
        <v>10</v>
      </c>
      <c r="F584" t="s">
        <v>189</v>
      </c>
      <c r="G584" s="1" t="str">
        <f>"008"</f>
        <v>008</v>
      </c>
      <c r="H584" s="1">
        <v>2007</v>
      </c>
      <c r="I584" s="6">
        <v>8193700</v>
      </c>
      <c r="J584" s="6">
        <v>1434700</v>
      </c>
      <c r="K584" s="6">
        <v>6759000</v>
      </c>
      <c r="L584" s="7"/>
    </row>
    <row r="585" spans="1:12" x14ac:dyDescent="0.25">
      <c r="A585" t="s">
        <v>424</v>
      </c>
      <c r="B585" s="5">
        <v>383311</v>
      </c>
      <c r="C585" t="s">
        <v>189</v>
      </c>
      <c r="D585" s="1" t="str">
        <f t="shared" si="16"/>
        <v>38251</v>
      </c>
      <c r="E585" t="s">
        <v>10</v>
      </c>
      <c r="F585" t="s">
        <v>189</v>
      </c>
      <c r="G585" s="1" t="str">
        <f>"009"</f>
        <v>009</v>
      </c>
      <c r="H585" s="1">
        <v>2009</v>
      </c>
      <c r="I585" s="6">
        <v>1706200</v>
      </c>
      <c r="J585" s="6">
        <v>312900</v>
      </c>
      <c r="K585" s="6">
        <v>1393300</v>
      </c>
      <c r="L585" s="7"/>
    </row>
    <row r="586" spans="1:12" x14ac:dyDescent="0.25">
      <c r="A586" t="s">
        <v>424</v>
      </c>
      <c r="B586" s="5">
        <v>383311</v>
      </c>
      <c r="C586" t="s">
        <v>189</v>
      </c>
      <c r="D586" s="1" t="str">
        <f t="shared" si="16"/>
        <v>38251</v>
      </c>
      <c r="E586" t="s">
        <v>10</v>
      </c>
      <c r="F586" t="s">
        <v>189</v>
      </c>
      <c r="G586" s="1" t="str">
        <f>"010"</f>
        <v>010</v>
      </c>
      <c r="H586" s="1">
        <v>2010</v>
      </c>
      <c r="I586" s="6">
        <v>13942800</v>
      </c>
      <c r="J586" s="6">
        <v>3500500</v>
      </c>
      <c r="K586" s="6">
        <v>10442300</v>
      </c>
      <c r="L586" s="7"/>
    </row>
    <row r="587" spans="1:12" x14ac:dyDescent="0.25">
      <c r="A587" t="s">
        <v>424</v>
      </c>
      <c r="B587" s="5">
        <v>383311</v>
      </c>
      <c r="C587" t="s">
        <v>189</v>
      </c>
      <c r="D587" s="1" t="str">
        <f t="shared" si="16"/>
        <v>38251</v>
      </c>
      <c r="E587" t="s">
        <v>10</v>
      </c>
      <c r="F587" t="s">
        <v>189</v>
      </c>
      <c r="G587" s="1" t="str">
        <f>"011"</f>
        <v>011</v>
      </c>
      <c r="H587" s="1">
        <v>2011</v>
      </c>
      <c r="I587" s="6">
        <v>32487800</v>
      </c>
      <c r="J587" s="6">
        <v>15378700</v>
      </c>
      <c r="K587" s="6">
        <v>17109100</v>
      </c>
      <c r="L587" s="7"/>
    </row>
    <row r="588" spans="1:12" x14ac:dyDescent="0.25">
      <c r="A588" t="s">
        <v>424</v>
      </c>
      <c r="B588" s="5">
        <v>383311</v>
      </c>
      <c r="C588" t="s">
        <v>189</v>
      </c>
      <c r="D588" s="1" t="str">
        <f t="shared" si="16"/>
        <v>38251</v>
      </c>
      <c r="E588" t="s">
        <v>10</v>
      </c>
      <c r="F588" t="s">
        <v>189</v>
      </c>
      <c r="G588" s="1" t="str">
        <f>"012"</f>
        <v>012</v>
      </c>
      <c r="H588" s="1">
        <v>2012</v>
      </c>
      <c r="I588" s="6">
        <v>3256200</v>
      </c>
      <c r="J588" s="6">
        <v>1633900</v>
      </c>
      <c r="K588" s="6">
        <v>1622300</v>
      </c>
      <c r="L588" s="7"/>
    </row>
    <row r="589" spans="1:12" x14ac:dyDescent="0.25">
      <c r="A589" t="s">
        <v>424</v>
      </c>
      <c r="B589" s="5">
        <v>383311</v>
      </c>
      <c r="C589" t="s">
        <v>189</v>
      </c>
      <c r="D589" s="1" t="str">
        <f t="shared" si="16"/>
        <v>38251</v>
      </c>
      <c r="E589" t="s">
        <v>10</v>
      </c>
      <c r="F589" t="s">
        <v>189</v>
      </c>
      <c r="G589" s="1" t="str">
        <f>"013"</f>
        <v>013</v>
      </c>
      <c r="H589" s="1">
        <v>2016</v>
      </c>
      <c r="I589" s="6">
        <v>15696400</v>
      </c>
      <c r="J589" s="6">
        <v>4650700</v>
      </c>
      <c r="K589" s="6">
        <v>11045700</v>
      </c>
      <c r="L589" s="7"/>
    </row>
    <row r="590" spans="1:12" x14ac:dyDescent="0.25">
      <c r="A590" t="s">
        <v>425</v>
      </c>
      <c r="B590" s="5">
        <v>683318</v>
      </c>
      <c r="C590" t="s">
        <v>117</v>
      </c>
      <c r="D590" s="1" t="str">
        <f>"58252"</f>
        <v>58252</v>
      </c>
      <c r="E590" t="s">
        <v>10</v>
      </c>
      <c r="F590" t="s">
        <v>426</v>
      </c>
      <c r="G590" s="1" t="str">
        <f>"002"</f>
        <v>002</v>
      </c>
      <c r="H590" s="1">
        <v>1995</v>
      </c>
      <c r="I590" s="6">
        <v>5677100</v>
      </c>
      <c r="J590" s="6">
        <v>708600</v>
      </c>
      <c r="K590" s="6">
        <v>4968500</v>
      </c>
      <c r="L590" s="7"/>
    </row>
    <row r="591" spans="1:12" x14ac:dyDescent="0.25">
      <c r="A591" t="s">
        <v>425</v>
      </c>
      <c r="B591" s="5">
        <v>683318</v>
      </c>
      <c r="C591" t="s">
        <v>181</v>
      </c>
      <c r="D591" s="1" t="str">
        <f>"68252"</f>
        <v>68252</v>
      </c>
      <c r="E591" t="s">
        <v>10</v>
      </c>
      <c r="F591" t="s">
        <v>426</v>
      </c>
      <c r="G591" s="1" t="str">
        <f>"002"</f>
        <v>002</v>
      </c>
      <c r="H591" s="1">
        <v>1995</v>
      </c>
      <c r="I591" s="6">
        <v>3453300</v>
      </c>
      <c r="J591" s="6">
        <v>871300</v>
      </c>
      <c r="K591" s="6">
        <v>2582000</v>
      </c>
      <c r="L591" s="7"/>
    </row>
    <row r="592" spans="1:12" x14ac:dyDescent="0.25">
      <c r="A592" t="s">
        <v>427</v>
      </c>
      <c r="B592" s="5">
        <v>243325</v>
      </c>
      <c r="C592" t="s">
        <v>152</v>
      </c>
      <c r="D592" s="1" t="str">
        <f>"20126"</f>
        <v>20126</v>
      </c>
      <c r="E592" t="s">
        <v>15</v>
      </c>
      <c r="F592" t="s">
        <v>428</v>
      </c>
      <c r="G592" s="1" t="str">
        <f>"001"</f>
        <v>001</v>
      </c>
      <c r="H592" s="1">
        <v>1997</v>
      </c>
      <c r="I592" s="6">
        <v>4439600</v>
      </c>
      <c r="J592" s="6">
        <v>663000</v>
      </c>
      <c r="K592" s="6">
        <v>3776600</v>
      </c>
      <c r="L592" s="7"/>
    </row>
    <row r="593" spans="1:12" x14ac:dyDescent="0.25">
      <c r="A593" t="s">
        <v>427</v>
      </c>
      <c r="B593" s="5">
        <v>243325</v>
      </c>
      <c r="C593" t="s">
        <v>99</v>
      </c>
      <c r="D593" s="1" t="str">
        <f>"24251"</f>
        <v>24251</v>
      </c>
      <c r="E593" t="s">
        <v>10</v>
      </c>
      <c r="F593" t="s">
        <v>429</v>
      </c>
      <c r="G593" s="1" t="str">
        <f>"001"</f>
        <v>001</v>
      </c>
      <c r="H593" s="1">
        <v>1995</v>
      </c>
      <c r="I593" s="6">
        <v>5063900</v>
      </c>
      <c r="J593" s="6">
        <v>1326500</v>
      </c>
      <c r="K593" s="6">
        <v>3737400</v>
      </c>
      <c r="L593" s="7"/>
    </row>
    <row r="594" spans="1:12" x14ac:dyDescent="0.25">
      <c r="A594" t="s">
        <v>430</v>
      </c>
      <c r="B594" s="5">
        <v>133332</v>
      </c>
      <c r="C594" t="s">
        <v>89</v>
      </c>
      <c r="D594" s="1" t="str">
        <f>"13152"</f>
        <v>13152</v>
      </c>
      <c r="E594" t="s">
        <v>15</v>
      </c>
      <c r="F594" t="s">
        <v>431</v>
      </c>
      <c r="G594" s="1" t="str">
        <f>"002"</f>
        <v>002</v>
      </c>
      <c r="H594" s="1">
        <v>2018</v>
      </c>
      <c r="I594" s="6">
        <v>19103700</v>
      </c>
      <c r="J594" s="6">
        <v>14377100</v>
      </c>
      <c r="K594" s="6">
        <v>4726600</v>
      </c>
      <c r="L594" s="7"/>
    </row>
    <row r="595" spans="1:12" x14ac:dyDescent="0.25">
      <c r="A595" t="s">
        <v>432</v>
      </c>
      <c r="B595" s="5">
        <v>713339</v>
      </c>
      <c r="C595" t="s">
        <v>58</v>
      </c>
      <c r="D595" s="1" t="str">
        <f t="shared" ref="D595:D601" si="17">"71251"</f>
        <v>71251</v>
      </c>
      <c r="E595" t="s">
        <v>10</v>
      </c>
      <c r="F595" t="s">
        <v>433</v>
      </c>
      <c r="G595" s="1" t="str">
        <f>"002"</f>
        <v>002</v>
      </c>
      <c r="H595" s="1">
        <v>1993</v>
      </c>
      <c r="I595" s="6">
        <v>4874000</v>
      </c>
      <c r="J595" s="6">
        <v>0</v>
      </c>
      <c r="K595" s="6">
        <v>4874000</v>
      </c>
      <c r="L595" s="7"/>
    </row>
    <row r="596" spans="1:12" x14ac:dyDescent="0.25">
      <c r="A596" t="s">
        <v>432</v>
      </c>
      <c r="B596" s="5">
        <v>713339</v>
      </c>
      <c r="C596" t="s">
        <v>58</v>
      </c>
      <c r="D596" s="1" t="str">
        <f t="shared" si="17"/>
        <v>71251</v>
      </c>
      <c r="E596" t="s">
        <v>10</v>
      </c>
      <c r="F596" t="s">
        <v>433</v>
      </c>
      <c r="G596" s="1" t="str">
        <f>"004"</f>
        <v>004</v>
      </c>
      <c r="H596" s="1">
        <v>1996</v>
      </c>
      <c r="I596" s="6">
        <v>71412400</v>
      </c>
      <c r="J596" s="6">
        <v>37757800</v>
      </c>
      <c r="K596" s="6">
        <v>33654600</v>
      </c>
      <c r="L596" s="7"/>
    </row>
    <row r="597" spans="1:12" x14ac:dyDescent="0.25">
      <c r="A597" t="s">
        <v>432</v>
      </c>
      <c r="B597" s="5">
        <v>713339</v>
      </c>
      <c r="C597" t="s">
        <v>58</v>
      </c>
      <c r="D597" s="1" t="str">
        <f t="shared" si="17"/>
        <v>71251</v>
      </c>
      <c r="E597" t="s">
        <v>10</v>
      </c>
      <c r="F597" t="s">
        <v>433</v>
      </c>
      <c r="G597" s="1" t="str">
        <f>"005"</f>
        <v>005</v>
      </c>
      <c r="H597" s="1">
        <v>1997</v>
      </c>
      <c r="I597" s="6">
        <v>24737200</v>
      </c>
      <c r="J597" s="6">
        <v>299500</v>
      </c>
      <c r="K597" s="6">
        <v>24437700</v>
      </c>
      <c r="L597" s="7"/>
    </row>
    <row r="598" spans="1:12" x14ac:dyDescent="0.25">
      <c r="A598" t="s">
        <v>432</v>
      </c>
      <c r="B598" s="5">
        <v>713339</v>
      </c>
      <c r="C598" t="s">
        <v>58</v>
      </c>
      <c r="D598" s="1" t="str">
        <f t="shared" si="17"/>
        <v>71251</v>
      </c>
      <c r="E598" t="s">
        <v>10</v>
      </c>
      <c r="F598" t="s">
        <v>433</v>
      </c>
      <c r="G598" s="1" t="str">
        <f>"007"</f>
        <v>007</v>
      </c>
      <c r="H598" s="1">
        <v>2001</v>
      </c>
      <c r="I598" s="6">
        <v>38395200</v>
      </c>
      <c r="J598" s="6">
        <v>2411300</v>
      </c>
      <c r="K598" s="6">
        <v>35983900</v>
      </c>
      <c r="L598" s="7"/>
    </row>
    <row r="599" spans="1:12" x14ac:dyDescent="0.25">
      <c r="A599" t="s">
        <v>432</v>
      </c>
      <c r="B599" s="5">
        <v>713339</v>
      </c>
      <c r="C599" t="s">
        <v>58</v>
      </c>
      <c r="D599" s="1" t="str">
        <f t="shared" si="17"/>
        <v>71251</v>
      </c>
      <c r="E599" t="s">
        <v>10</v>
      </c>
      <c r="F599" t="s">
        <v>433</v>
      </c>
      <c r="G599" s="1" t="str">
        <f>"009"</f>
        <v>009</v>
      </c>
      <c r="H599" s="1">
        <v>2013</v>
      </c>
      <c r="I599" s="6">
        <v>18684600</v>
      </c>
      <c r="J599" s="6">
        <v>1484800</v>
      </c>
      <c r="K599" s="6">
        <v>17199800</v>
      </c>
      <c r="L599" s="7"/>
    </row>
    <row r="600" spans="1:12" x14ac:dyDescent="0.25">
      <c r="A600" t="s">
        <v>432</v>
      </c>
      <c r="B600" s="5">
        <v>713339</v>
      </c>
      <c r="C600" t="s">
        <v>58</v>
      </c>
      <c r="D600" s="1" t="str">
        <f t="shared" si="17"/>
        <v>71251</v>
      </c>
      <c r="E600" t="s">
        <v>10</v>
      </c>
      <c r="F600" t="s">
        <v>433</v>
      </c>
      <c r="G600" s="1" t="str">
        <f>"010"</f>
        <v>010</v>
      </c>
      <c r="H600" s="1">
        <v>2015</v>
      </c>
      <c r="I600" s="6">
        <v>20148700</v>
      </c>
      <c r="J600" s="6">
        <v>16534500</v>
      </c>
      <c r="K600" s="6">
        <v>3614200</v>
      </c>
      <c r="L600" s="7"/>
    </row>
    <row r="601" spans="1:12" x14ac:dyDescent="0.25">
      <c r="A601" t="s">
        <v>432</v>
      </c>
      <c r="B601" s="5">
        <v>713339</v>
      </c>
      <c r="C601" t="s">
        <v>58</v>
      </c>
      <c r="D601" s="1" t="str">
        <f t="shared" si="17"/>
        <v>71251</v>
      </c>
      <c r="E601" t="s">
        <v>10</v>
      </c>
      <c r="F601" t="s">
        <v>433</v>
      </c>
      <c r="G601" s="1" t="str">
        <f>"011"</f>
        <v>011</v>
      </c>
      <c r="H601" s="1">
        <v>2016</v>
      </c>
      <c r="I601" s="6">
        <v>4203100</v>
      </c>
      <c r="J601" s="6">
        <v>543500</v>
      </c>
      <c r="K601" s="6">
        <v>3659600</v>
      </c>
      <c r="L601" s="7"/>
    </row>
    <row r="602" spans="1:12" x14ac:dyDescent="0.25">
      <c r="A602" t="s">
        <v>434</v>
      </c>
      <c r="B602" s="5">
        <v>293360</v>
      </c>
      <c r="C602" t="s">
        <v>237</v>
      </c>
      <c r="D602" s="1" t="str">
        <f>"29251"</f>
        <v>29251</v>
      </c>
      <c r="E602" t="s">
        <v>10</v>
      </c>
      <c r="F602" t="s">
        <v>435</v>
      </c>
      <c r="G602" s="1" t="str">
        <f>"002"</f>
        <v>002</v>
      </c>
      <c r="H602" s="1">
        <v>1995</v>
      </c>
      <c r="I602" s="6">
        <v>20219100</v>
      </c>
      <c r="J602" s="6">
        <v>2684900</v>
      </c>
      <c r="K602" s="6">
        <v>17534200</v>
      </c>
      <c r="L602" s="7"/>
    </row>
    <row r="603" spans="1:12" x14ac:dyDescent="0.25">
      <c r="A603" t="s">
        <v>434</v>
      </c>
      <c r="B603" s="5">
        <v>293360</v>
      </c>
      <c r="C603" t="s">
        <v>237</v>
      </c>
      <c r="D603" s="1" t="str">
        <f>"29251"</f>
        <v>29251</v>
      </c>
      <c r="E603" t="s">
        <v>10</v>
      </c>
      <c r="F603" t="s">
        <v>435</v>
      </c>
      <c r="G603" s="1" t="str">
        <f>"003"</f>
        <v>003</v>
      </c>
      <c r="H603" s="1">
        <v>1995</v>
      </c>
      <c r="I603" s="6">
        <v>37305400</v>
      </c>
      <c r="J603" s="6">
        <v>9184500</v>
      </c>
      <c r="K603" s="6">
        <v>28120900</v>
      </c>
      <c r="L603" s="7"/>
    </row>
    <row r="604" spans="1:12" x14ac:dyDescent="0.25">
      <c r="A604" t="s">
        <v>436</v>
      </c>
      <c r="B604" s="5">
        <v>143367</v>
      </c>
      <c r="C604" t="s">
        <v>86</v>
      </c>
      <c r="D604" s="1" t="str">
        <f>"14251"</f>
        <v>14251</v>
      </c>
      <c r="E604" t="s">
        <v>10</v>
      </c>
      <c r="F604" t="s">
        <v>437</v>
      </c>
      <c r="G604" s="1" t="str">
        <f>"004"</f>
        <v>004</v>
      </c>
      <c r="H604" s="1">
        <v>2009</v>
      </c>
      <c r="I604" s="6">
        <v>2303500</v>
      </c>
      <c r="J604" s="6">
        <v>1548600</v>
      </c>
      <c r="K604" s="6">
        <v>754900</v>
      </c>
      <c r="L604" s="7"/>
    </row>
    <row r="605" spans="1:12" x14ac:dyDescent="0.25">
      <c r="A605" t="s">
        <v>436</v>
      </c>
      <c r="B605" s="5">
        <v>143367</v>
      </c>
      <c r="C605" t="s">
        <v>86</v>
      </c>
      <c r="D605" s="1" t="str">
        <f>"14251"</f>
        <v>14251</v>
      </c>
      <c r="E605" t="s">
        <v>10</v>
      </c>
      <c r="F605" t="s">
        <v>437</v>
      </c>
      <c r="G605" s="1" t="str">
        <f>"005"</f>
        <v>005</v>
      </c>
      <c r="H605" s="1">
        <v>2013</v>
      </c>
      <c r="I605" s="6">
        <v>6086900</v>
      </c>
      <c r="J605" s="6">
        <v>2333200</v>
      </c>
      <c r="K605" s="6">
        <v>3753700</v>
      </c>
      <c r="L605" s="7"/>
    </row>
    <row r="606" spans="1:12" x14ac:dyDescent="0.25">
      <c r="A606" t="s">
        <v>438</v>
      </c>
      <c r="B606" s="5">
        <v>133381</v>
      </c>
      <c r="C606" t="s">
        <v>89</v>
      </c>
      <c r="D606" s="1" t="str">
        <f>"13154"</f>
        <v>13154</v>
      </c>
      <c r="E606" t="s">
        <v>15</v>
      </c>
      <c r="F606" t="s">
        <v>439</v>
      </c>
      <c r="G606" s="1" t="str">
        <f>"003"</f>
        <v>003</v>
      </c>
      <c r="H606" s="1">
        <v>2004</v>
      </c>
      <c r="I606" s="6">
        <v>65976300</v>
      </c>
      <c r="J606" s="6">
        <v>26997400</v>
      </c>
      <c r="K606" s="6">
        <v>38978900</v>
      </c>
      <c r="L606" s="7"/>
    </row>
    <row r="607" spans="1:12" x14ac:dyDescent="0.25">
      <c r="A607" t="s">
        <v>438</v>
      </c>
      <c r="B607" s="5">
        <v>133381</v>
      </c>
      <c r="C607" t="s">
        <v>89</v>
      </c>
      <c r="D607" s="1" t="str">
        <f>"13154"</f>
        <v>13154</v>
      </c>
      <c r="E607" t="s">
        <v>15</v>
      </c>
      <c r="F607" t="s">
        <v>439</v>
      </c>
      <c r="G607" s="1" t="str">
        <f>"004"</f>
        <v>004</v>
      </c>
      <c r="H607" s="1">
        <v>2008</v>
      </c>
      <c r="I607" s="6">
        <v>11661500</v>
      </c>
      <c r="J607" s="6">
        <v>7583100</v>
      </c>
      <c r="K607" s="6">
        <v>4078400</v>
      </c>
      <c r="L607" s="7"/>
    </row>
    <row r="608" spans="1:12" x14ac:dyDescent="0.25">
      <c r="A608" t="s">
        <v>438</v>
      </c>
      <c r="B608" s="5">
        <v>133381</v>
      </c>
      <c r="C608" t="s">
        <v>89</v>
      </c>
      <c r="D608" s="1" t="str">
        <f>"13154"</f>
        <v>13154</v>
      </c>
      <c r="E608" t="s">
        <v>15</v>
      </c>
      <c r="F608" t="s">
        <v>439</v>
      </c>
      <c r="G608" s="1" t="str">
        <f>"005"</f>
        <v>005</v>
      </c>
      <c r="H608" s="1">
        <v>2018</v>
      </c>
      <c r="I608" s="6">
        <v>17863700</v>
      </c>
      <c r="J608" s="6">
        <v>17030100</v>
      </c>
      <c r="K608" s="6">
        <v>833600</v>
      </c>
      <c r="L608" s="7"/>
    </row>
    <row r="609" spans="1:12" x14ac:dyDescent="0.25">
      <c r="A609" t="s">
        <v>440</v>
      </c>
      <c r="B609" s="5">
        <v>603409</v>
      </c>
      <c r="C609" t="s">
        <v>111</v>
      </c>
      <c r="D609" s="1" t="str">
        <f t="shared" ref="D609:D616" si="18">"60251"</f>
        <v>60251</v>
      </c>
      <c r="E609" t="s">
        <v>10</v>
      </c>
      <c r="F609" t="s">
        <v>441</v>
      </c>
      <c r="G609" s="1" t="str">
        <f>"005"</f>
        <v>005</v>
      </c>
      <c r="H609" s="1">
        <v>1989</v>
      </c>
      <c r="I609" s="6">
        <v>7213900</v>
      </c>
      <c r="J609" s="6">
        <v>5187900</v>
      </c>
      <c r="K609" s="6">
        <v>2026000</v>
      </c>
      <c r="L609" s="7"/>
    </row>
    <row r="610" spans="1:12" x14ac:dyDescent="0.25">
      <c r="A610" t="s">
        <v>440</v>
      </c>
      <c r="B610" s="5">
        <v>603409</v>
      </c>
      <c r="C610" t="s">
        <v>111</v>
      </c>
      <c r="D610" s="1" t="str">
        <f t="shared" si="18"/>
        <v>60251</v>
      </c>
      <c r="E610" t="s">
        <v>10</v>
      </c>
      <c r="F610" t="s">
        <v>441</v>
      </c>
      <c r="G610" s="1" t="str">
        <f>"006"</f>
        <v>006</v>
      </c>
      <c r="H610" s="1">
        <v>1996</v>
      </c>
      <c r="I610" s="6">
        <v>4176700</v>
      </c>
      <c r="J610" s="6">
        <v>1417600</v>
      </c>
      <c r="K610" s="6">
        <v>2759100</v>
      </c>
      <c r="L610" s="7"/>
    </row>
    <row r="611" spans="1:12" x14ac:dyDescent="0.25">
      <c r="A611" t="s">
        <v>440</v>
      </c>
      <c r="B611" s="5">
        <v>603409</v>
      </c>
      <c r="C611" t="s">
        <v>111</v>
      </c>
      <c r="D611" s="1" t="str">
        <f t="shared" si="18"/>
        <v>60251</v>
      </c>
      <c r="E611" t="s">
        <v>10</v>
      </c>
      <c r="F611" t="s">
        <v>441</v>
      </c>
      <c r="G611" s="1" t="str">
        <f>"007"</f>
        <v>007</v>
      </c>
      <c r="H611" s="1">
        <v>1997</v>
      </c>
      <c r="I611" s="6">
        <v>2672800</v>
      </c>
      <c r="J611" s="6">
        <v>1488900</v>
      </c>
      <c r="K611" s="6">
        <v>1183900</v>
      </c>
      <c r="L611" s="7"/>
    </row>
    <row r="612" spans="1:12" x14ac:dyDescent="0.25">
      <c r="A612" t="s">
        <v>440</v>
      </c>
      <c r="B612" s="5">
        <v>603409</v>
      </c>
      <c r="C612" t="s">
        <v>111</v>
      </c>
      <c r="D612" s="1" t="str">
        <f t="shared" si="18"/>
        <v>60251</v>
      </c>
      <c r="E612" t="s">
        <v>10</v>
      </c>
      <c r="F612" t="s">
        <v>441</v>
      </c>
      <c r="G612" s="1" t="str">
        <f>"008"</f>
        <v>008</v>
      </c>
      <c r="H612" s="1">
        <v>1997</v>
      </c>
      <c r="I612" s="6">
        <v>2164500</v>
      </c>
      <c r="J612" s="6">
        <v>695900</v>
      </c>
      <c r="K612" s="6">
        <v>1468600</v>
      </c>
      <c r="L612" s="7"/>
    </row>
    <row r="613" spans="1:12" x14ac:dyDescent="0.25">
      <c r="A613" t="s">
        <v>440</v>
      </c>
      <c r="B613" s="5">
        <v>603409</v>
      </c>
      <c r="C613" t="s">
        <v>111</v>
      </c>
      <c r="D613" s="1" t="str">
        <f t="shared" si="18"/>
        <v>60251</v>
      </c>
      <c r="E613" t="s">
        <v>10</v>
      </c>
      <c r="F613" t="s">
        <v>441</v>
      </c>
      <c r="G613" s="1" t="str">
        <f>"010"</f>
        <v>010</v>
      </c>
      <c r="H613" s="1">
        <v>1999</v>
      </c>
      <c r="I613" s="6">
        <v>2596000</v>
      </c>
      <c r="J613" s="6">
        <v>240200</v>
      </c>
      <c r="K613" s="6">
        <v>2355800</v>
      </c>
      <c r="L613" s="7"/>
    </row>
    <row r="614" spans="1:12" x14ac:dyDescent="0.25">
      <c r="A614" t="s">
        <v>440</v>
      </c>
      <c r="B614" s="5">
        <v>603409</v>
      </c>
      <c r="C614" t="s">
        <v>111</v>
      </c>
      <c r="D614" s="1" t="str">
        <f t="shared" si="18"/>
        <v>60251</v>
      </c>
      <c r="E614" t="s">
        <v>10</v>
      </c>
      <c r="F614" t="s">
        <v>441</v>
      </c>
      <c r="G614" s="1" t="str">
        <f>"011"</f>
        <v>011</v>
      </c>
      <c r="H614" s="1">
        <v>1999</v>
      </c>
      <c r="I614" s="6">
        <v>4347900</v>
      </c>
      <c r="J614" s="6">
        <v>1184000</v>
      </c>
      <c r="K614" s="6">
        <v>3163900</v>
      </c>
      <c r="L614" s="7"/>
    </row>
    <row r="615" spans="1:12" x14ac:dyDescent="0.25">
      <c r="A615" t="s">
        <v>440</v>
      </c>
      <c r="B615" s="5">
        <v>603409</v>
      </c>
      <c r="C615" t="s">
        <v>111</v>
      </c>
      <c r="D615" s="1" t="str">
        <f t="shared" si="18"/>
        <v>60251</v>
      </c>
      <c r="E615" t="s">
        <v>10</v>
      </c>
      <c r="F615" t="s">
        <v>441</v>
      </c>
      <c r="G615" s="1" t="str">
        <f>"012"</f>
        <v>012</v>
      </c>
      <c r="H615" s="1">
        <v>2000</v>
      </c>
      <c r="I615" s="6">
        <v>28593900</v>
      </c>
      <c r="J615" s="6">
        <v>2687700</v>
      </c>
      <c r="K615" s="6">
        <v>25906200</v>
      </c>
      <c r="L615" s="7"/>
    </row>
    <row r="616" spans="1:12" x14ac:dyDescent="0.25">
      <c r="A616" t="s">
        <v>440</v>
      </c>
      <c r="B616" s="5">
        <v>603409</v>
      </c>
      <c r="C616" t="s">
        <v>111</v>
      </c>
      <c r="D616" s="1" t="str">
        <f t="shared" si="18"/>
        <v>60251</v>
      </c>
      <c r="E616" t="s">
        <v>10</v>
      </c>
      <c r="F616" t="s">
        <v>441</v>
      </c>
      <c r="G616" s="1" t="str">
        <f>"013"</f>
        <v>013</v>
      </c>
      <c r="H616" s="1">
        <v>2005</v>
      </c>
      <c r="I616" s="6">
        <v>15523500</v>
      </c>
      <c r="J616" s="6">
        <v>3382000</v>
      </c>
      <c r="K616" s="6">
        <v>12141500</v>
      </c>
      <c r="L616" s="7"/>
    </row>
    <row r="617" spans="1:12" x14ac:dyDescent="0.25">
      <c r="A617" t="s">
        <v>440</v>
      </c>
      <c r="B617" s="5">
        <v>603409</v>
      </c>
      <c r="C617" t="s">
        <v>111</v>
      </c>
      <c r="D617" s="1" t="str">
        <f>"60181"</f>
        <v>60181</v>
      </c>
      <c r="E617" t="s">
        <v>15</v>
      </c>
      <c r="F617" t="s">
        <v>442</v>
      </c>
      <c r="G617" s="1" t="str">
        <f>"001"</f>
        <v>001</v>
      </c>
      <c r="H617" s="1">
        <v>2013</v>
      </c>
      <c r="I617" s="6">
        <v>1252600</v>
      </c>
      <c r="J617" s="6">
        <v>1003000</v>
      </c>
      <c r="K617" s="6">
        <v>249600</v>
      </c>
      <c r="L617" s="7"/>
    </row>
    <row r="618" spans="1:12" x14ac:dyDescent="0.25">
      <c r="A618" t="s">
        <v>443</v>
      </c>
      <c r="B618" s="5">
        <v>703430</v>
      </c>
      <c r="C618" t="s">
        <v>38</v>
      </c>
      <c r="D618" s="1" t="str">
        <f>"08251"</f>
        <v>08251</v>
      </c>
      <c r="E618" t="s">
        <v>10</v>
      </c>
      <c r="F618" t="s">
        <v>39</v>
      </c>
      <c r="G618" s="1" t="str">
        <f>"009"</f>
        <v>009</v>
      </c>
      <c r="H618" s="1">
        <v>2005</v>
      </c>
      <c r="I618" s="6">
        <v>13714700</v>
      </c>
      <c r="J618" s="6">
        <v>1573300</v>
      </c>
      <c r="K618" s="6">
        <v>12141400</v>
      </c>
      <c r="L618" s="7"/>
    </row>
    <row r="619" spans="1:12" x14ac:dyDescent="0.25">
      <c r="A619" t="s">
        <v>443</v>
      </c>
      <c r="B619" s="5">
        <v>703430</v>
      </c>
      <c r="C619" t="s">
        <v>444</v>
      </c>
      <c r="D619" s="1" t="str">
        <f>"70201"</f>
        <v>70201</v>
      </c>
      <c r="E619" t="s">
        <v>10</v>
      </c>
      <c r="F619" t="s">
        <v>41</v>
      </c>
      <c r="G619" s="1" t="str">
        <f>"007"</f>
        <v>007</v>
      </c>
      <c r="H619" s="1">
        <v>2007</v>
      </c>
      <c r="I619" s="6">
        <v>39089800</v>
      </c>
      <c r="J619" s="6">
        <v>25657000</v>
      </c>
      <c r="K619" s="6">
        <v>13432800</v>
      </c>
      <c r="L619" s="7"/>
    </row>
    <row r="620" spans="1:12" x14ac:dyDescent="0.25">
      <c r="A620" t="s">
        <v>443</v>
      </c>
      <c r="B620" s="5">
        <v>703430</v>
      </c>
      <c r="C620" t="s">
        <v>444</v>
      </c>
      <c r="D620" s="1" t="str">
        <f t="shared" ref="D620:D626" si="19">"70251"</f>
        <v>70251</v>
      </c>
      <c r="E620" t="s">
        <v>10</v>
      </c>
      <c r="F620" t="s">
        <v>39</v>
      </c>
      <c r="G620" s="1" t="str">
        <f>"004"</f>
        <v>004</v>
      </c>
      <c r="H620" s="1">
        <v>1997</v>
      </c>
      <c r="I620" s="6">
        <v>7954400</v>
      </c>
      <c r="J620" s="6">
        <v>4196000</v>
      </c>
      <c r="K620" s="6">
        <v>3758400</v>
      </c>
      <c r="L620" s="7"/>
    </row>
    <row r="621" spans="1:12" x14ac:dyDescent="0.25">
      <c r="A621" t="s">
        <v>443</v>
      </c>
      <c r="B621" s="5">
        <v>703430</v>
      </c>
      <c r="C621" t="s">
        <v>444</v>
      </c>
      <c r="D621" s="1" t="str">
        <f t="shared" si="19"/>
        <v>70251</v>
      </c>
      <c r="E621" t="s">
        <v>10</v>
      </c>
      <c r="F621" t="s">
        <v>39</v>
      </c>
      <c r="G621" s="1" t="str">
        <f>"006"</f>
        <v>006</v>
      </c>
      <c r="H621" s="1">
        <v>1998</v>
      </c>
      <c r="I621" s="6">
        <v>24608100</v>
      </c>
      <c r="J621" s="6">
        <v>5568800</v>
      </c>
      <c r="K621" s="6">
        <v>19039300</v>
      </c>
      <c r="L621" s="7"/>
    </row>
    <row r="622" spans="1:12" x14ac:dyDescent="0.25">
      <c r="A622" t="s">
        <v>443</v>
      </c>
      <c r="B622" s="5">
        <v>703430</v>
      </c>
      <c r="C622" t="s">
        <v>444</v>
      </c>
      <c r="D622" s="1" t="str">
        <f t="shared" si="19"/>
        <v>70251</v>
      </c>
      <c r="E622" t="s">
        <v>10</v>
      </c>
      <c r="F622" t="s">
        <v>39</v>
      </c>
      <c r="G622" s="1" t="str">
        <f>"007"</f>
        <v>007</v>
      </c>
      <c r="H622" s="1">
        <v>2003</v>
      </c>
      <c r="I622" s="6">
        <v>5257600</v>
      </c>
      <c r="J622" s="6">
        <v>687300</v>
      </c>
      <c r="K622" s="6">
        <v>4570300</v>
      </c>
      <c r="L622" s="7"/>
    </row>
    <row r="623" spans="1:12" x14ac:dyDescent="0.25">
      <c r="A623" t="s">
        <v>443</v>
      </c>
      <c r="B623" s="5">
        <v>703430</v>
      </c>
      <c r="C623" t="s">
        <v>444</v>
      </c>
      <c r="D623" s="1" t="str">
        <f t="shared" si="19"/>
        <v>70251</v>
      </c>
      <c r="E623" t="s">
        <v>10</v>
      </c>
      <c r="F623" t="s">
        <v>39</v>
      </c>
      <c r="G623" s="1" t="str">
        <f>"008"</f>
        <v>008</v>
      </c>
      <c r="H623" s="1">
        <v>2005</v>
      </c>
      <c r="I623" s="6">
        <v>4075200</v>
      </c>
      <c r="J623" s="6">
        <v>484500</v>
      </c>
      <c r="K623" s="6">
        <v>3590700</v>
      </c>
      <c r="L623" s="7"/>
    </row>
    <row r="624" spans="1:12" x14ac:dyDescent="0.25">
      <c r="A624" t="s">
        <v>443</v>
      </c>
      <c r="B624" s="5">
        <v>703430</v>
      </c>
      <c r="C624" t="s">
        <v>444</v>
      </c>
      <c r="D624" s="1" t="str">
        <f t="shared" si="19"/>
        <v>70251</v>
      </c>
      <c r="E624" t="s">
        <v>10</v>
      </c>
      <c r="F624" t="s">
        <v>39</v>
      </c>
      <c r="G624" s="1" t="str">
        <f>"010"</f>
        <v>010</v>
      </c>
      <c r="H624" s="1">
        <v>2006</v>
      </c>
      <c r="I624" s="6">
        <v>12176400</v>
      </c>
      <c r="J624" s="6">
        <v>9701900</v>
      </c>
      <c r="K624" s="6">
        <v>2474500</v>
      </c>
      <c r="L624" s="7"/>
    </row>
    <row r="625" spans="1:12" x14ac:dyDescent="0.25">
      <c r="A625" t="s">
        <v>443</v>
      </c>
      <c r="B625" s="5">
        <v>703430</v>
      </c>
      <c r="C625" t="s">
        <v>444</v>
      </c>
      <c r="D625" s="1" t="str">
        <f t="shared" si="19"/>
        <v>70251</v>
      </c>
      <c r="E625" t="s">
        <v>10</v>
      </c>
      <c r="F625" t="s">
        <v>39</v>
      </c>
      <c r="G625" s="1" t="str">
        <f>"011"</f>
        <v>011</v>
      </c>
      <c r="H625" s="1">
        <v>2007</v>
      </c>
      <c r="I625" s="6">
        <v>3544000</v>
      </c>
      <c r="J625" s="6">
        <v>284900</v>
      </c>
      <c r="K625" s="6">
        <v>3259100</v>
      </c>
      <c r="L625" s="7"/>
    </row>
    <row r="626" spans="1:12" x14ac:dyDescent="0.25">
      <c r="A626" t="s">
        <v>443</v>
      </c>
      <c r="B626" s="5">
        <v>703430</v>
      </c>
      <c r="C626" t="s">
        <v>444</v>
      </c>
      <c r="D626" s="1" t="str">
        <f t="shared" si="19"/>
        <v>70251</v>
      </c>
      <c r="E626" t="s">
        <v>10</v>
      </c>
      <c r="F626" t="s">
        <v>39</v>
      </c>
      <c r="G626" s="1" t="str">
        <f>"013"</f>
        <v>013</v>
      </c>
      <c r="H626" s="1">
        <v>2015</v>
      </c>
      <c r="I626" s="6">
        <v>17127300</v>
      </c>
      <c r="J626" s="6">
        <v>248200</v>
      </c>
      <c r="K626" s="6">
        <v>16879100</v>
      </c>
      <c r="L626" s="7"/>
    </row>
    <row r="627" spans="1:12" x14ac:dyDescent="0.25">
      <c r="A627" t="s">
        <v>445</v>
      </c>
      <c r="B627" s="5">
        <v>673437</v>
      </c>
      <c r="C627" t="s">
        <v>268</v>
      </c>
      <c r="D627" s="1" t="str">
        <f>"67147"</f>
        <v>67147</v>
      </c>
      <c r="E627" t="s">
        <v>15</v>
      </c>
      <c r="F627" t="s">
        <v>329</v>
      </c>
      <c r="G627" s="1" t="str">
        <f>"001"</f>
        <v>001</v>
      </c>
      <c r="H627" s="1">
        <v>2018</v>
      </c>
      <c r="I627" s="6">
        <v>5888800</v>
      </c>
      <c r="J627" s="6">
        <v>7653200</v>
      </c>
      <c r="K627" s="6">
        <v>-1764400</v>
      </c>
      <c r="L627" s="7"/>
    </row>
    <row r="628" spans="1:12" x14ac:dyDescent="0.25">
      <c r="A628" t="s">
        <v>445</v>
      </c>
      <c r="B628" s="5">
        <v>673437</v>
      </c>
      <c r="C628" t="s">
        <v>268</v>
      </c>
      <c r="D628" s="1" t="str">
        <f t="shared" ref="D628:D634" si="20">"67151"</f>
        <v>67151</v>
      </c>
      <c r="E628" t="s">
        <v>15</v>
      </c>
      <c r="F628" t="s">
        <v>446</v>
      </c>
      <c r="G628" s="1" t="str">
        <f>"006"</f>
        <v>006</v>
      </c>
      <c r="H628" s="1">
        <v>2006</v>
      </c>
      <c r="I628" s="6">
        <v>62597700</v>
      </c>
      <c r="J628" s="6">
        <v>47828000</v>
      </c>
      <c r="K628" s="6">
        <v>14769700</v>
      </c>
      <c r="L628" s="7"/>
    </row>
    <row r="629" spans="1:12" x14ac:dyDescent="0.25">
      <c r="A629" t="s">
        <v>445</v>
      </c>
      <c r="B629" s="5">
        <v>673437</v>
      </c>
      <c r="C629" t="s">
        <v>268</v>
      </c>
      <c r="D629" s="1" t="str">
        <f t="shared" si="20"/>
        <v>67151</v>
      </c>
      <c r="E629" t="s">
        <v>15</v>
      </c>
      <c r="F629" t="s">
        <v>446</v>
      </c>
      <c r="G629" s="1" t="str">
        <f>"007"</f>
        <v>007</v>
      </c>
      <c r="H629" s="1">
        <v>2008</v>
      </c>
      <c r="I629" s="6">
        <v>22109500</v>
      </c>
      <c r="J629" s="6">
        <v>1028100</v>
      </c>
      <c r="K629" s="6">
        <v>21081400</v>
      </c>
      <c r="L629" s="7"/>
    </row>
    <row r="630" spans="1:12" x14ac:dyDescent="0.25">
      <c r="A630" t="s">
        <v>445</v>
      </c>
      <c r="B630" s="5">
        <v>673437</v>
      </c>
      <c r="C630" t="s">
        <v>268</v>
      </c>
      <c r="D630" s="1" t="str">
        <f t="shared" si="20"/>
        <v>67151</v>
      </c>
      <c r="E630" t="s">
        <v>15</v>
      </c>
      <c r="F630" t="s">
        <v>446</v>
      </c>
      <c r="G630" s="1" t="str">
        <f>"008"</f>
        <v>008</v>
      </c>
      <c r="H630" s="1">
        <v>2008</v>
      </c>
      <c r="I630" s="6">
        <v>99252400</v>
      </c>
      <c r="J630" s="6">
        <v>9017600</v>
      </c>
      <c r="K630" s="6">
        <v>90234800</v>
      </c>
      <c r="L630" s="7"/>
    </row>
    <row r="631" spans="1:12" x14ac:dyDescent="0.25">
      <c r="A631" t="s">
        <v>445</v>
      </c>
      <c r="B631" s="5">
        <v>673437</v>
      </c>
      <c r="C631" t="s">
        <v>268</v>
      </c>
      <c r="D631" s="1" t="str">
        <f t="shared" si="20"/>
        <v>67151</v>
      </c>
      <c r="E631" t="s">
        <v>15</v>
      </c>
      <c r="F631" t="s">
        <v>446</v>
      </c>
      <c r="G631" s="1" t="str">
        <f>"009"</f>
        <v>009</v>
      </c>
      <c r="H631" s="1">
        <v>2010</v>
      </c>
      <c r="I631" s="6">
        <v>119050000</v>
      </c>
      <c r="J631" s="6">
        <v>104705400</v>
      </c>
      <c r="K631" s="6">
        <v>14344600</v>
      </c>
      <c r="L631" s="7"/>
    </row>
    <row r="632" spans="1:12" x14ac:dyDescent="0.25">
      <c r="A632" t="s">
        <v>445</v>
      </c>
      <c r="B632" s="5">
        <v>673437</v>
      </c>
      <c r="C632" t="s">
        <v>268</v>
      </c>
      <c r="D632" s="1" t="str">
        <f t="shared" si="20"/>
        <v>67151</v>
      </c>
      <c r="E632" t="s">
        <v>15</v>
      </c>
      <c r="F632" t="s">
        <v>446</v>
      </c>
      <c r="G632" s="1" t="str">
        <f>"010"</f>
        <v>010</v>
      </c>
      <c r="H632" s="1">
        <v>2011</v>
      </c>
      <c r="I632" s="6">
        <v>61558900</v>
      </c>
      <c r="J632" s="6">
        <v>46196100</v>
      </c>
      <c r="K632" s="6">
        <v>15362800</v>
      </c>
      <c r="L632" s="7"/>
    </row>
    <row r="633" spans="1:12" x14ac:dyDescent="0.25">
      <c r="A633" t="s">
        <v>445</v>
      </c>
      <c r="B633" s="5">
        <v>673437</v>
      </c>
      <c r="C633" t="s">
        <v>268</v>
      </c>
      <c r="D633" s="1" t="str">
        <f t="shared" si="20"/>
        <v>67151</v>
      </c>
      <c r="E633" t="s">
        <v>15</v>
      </c>
      <c r="F633" t="s">
        <v>446</v>
      </c>
      <c r="G633" s="1" t="str">
        <f>"011"</f>
        <v>011</v>
      </c>
      <c r="H633" s="1">
        <v>2011</v>
      </c>
      <c r="I633" s="6">
        <v>15068200</v>
      </c>
      <c r="J633" s="6">
        <v>11953600</v>
      </c>
      <c r="K633" s="6">
        <v>3114600</v>
      </c>
      <c r="L633" s="7"/>
    </row>
    <row r="634" spans="1:12" x14ac:dyDescent="0.25">
      <c r="A634" t="s">
        <v>445</v>
      </c>
      <c r="B634" s="5">
        <v>673437</v>
      </c>
      <c r="C634" t="s">
        <v>268</v>
      </c>
      <c r="D634" s="1" t="str">
        <f t="shared" si="20"/>
        <v>67151</v>
      </c>
      <c r="E634" t="s">
        <v>15</v>
      </c>
      <c r="F634" t="s">
        <v>446</v>
      </c>
      <c r="G634" s="1" t="str">
        <f>"012"</f>
        <v>012</v>
      </c>
      <c r="H634" s="1">
        <v>2014</v>
      </c>
      <c r="I634" s="6">
        <v>17493400</v>
      </c>
      <c r="J634" s="6">
        <v>5083400</v>
      </c>
      <c r="K634" s="6">
        <v>12410000</v>
      </c>
      <c r="L634" s="7"/>
    </row>
    <row r="635" spans="1:12" x14ac:dyDescent="0.25">
      <c r="A635" t="s">
        <v>447</v>
      </c>
      <c r="B635" s="5">
        <v>173444</v>
      </c>
      <c r="C635" t="s">
        <v>83</v>
      </c>
      <c r="D635" s="1" t="str">
        <f>"17141"</f>
        <v>17141</v>
      </c>
      <c r="E635" t="s">
        <v>15</v>
      </c>
      <c r="F635" t="s">
        <v>448</v>
      </c>
      <c r="G635" s="1" t="str">
        <f>"002"</f>
        <v>002</v>
      </c>
      <c r="H635" s="1">
        <v>1997</v>
      </c>
      <c r="I635" s="6">
        <v>2194600</v>
      </c>
      <c r="J635" s="6">
        <v>1686000</v>
      </c>
      <c r="K635" s="6">
        <v>508600</v>
      </c>
      <c r="L635" s="7"/>
    </row>
    <row r="636" spans="1:12" x14ac:dyDescent="0.25">
      <c r="A636" t="s">
        <v>447</v>
      </c>
      <c r="B636" s="5">
        <v>173444</v>
      </c>
      <c r="C636" t="s">
        <v>83</v>
      </c>
      <c r="D636" s="1" t="str">
        <f>"17141"</f>
        <v>17141</v>
      </c>
      <c r="E636" t="s">
        <v>15</v>
      </c>
      <c r="F636" t="s">
        <v>448</v>
      </c>
      <c r="G636" s="1" t="str">
        <f>"003"</f>
        <v>003</v>
      </c>
      <c r="H636" s="1">
        <v>2005</v>
      </c>
      <c r="I636" s="6">
        <v>3084000</v>
      </c>
      <c r="J636" s="6">
        <v>201200</v>
      </c>
      <c r="K636" s="6">
        <v>2882800</v>
      </c>
      <c r="L636" s="7"/>
    </row>
    <row r="637" spans="1:12" x14ac:dyDescent="0.25">
      <c r="A637" t="s">
        <v>447</v>
      </c>
      <c r="B637" s="5">
        <v>173444</v>
      </c>
      <c r="C637" t="s">
        <v>83</v>
      </c>
      <c r="D637" s="1" t="str">
        <f>"17251"</f>
        <v>17251</v>
      </c>
      <c r="E637" t="s">
        <v>10</v>
      </c>
      <c r="F637" t="s">
        <v>449</v>
      </c>
      <c r="G637" s="1" t="str">
        <f>"011"</f>
        <v>011</v>
      </c>
      <c r="H637" s="1">
        <v>2001</v>
      </c>
      <c r="I637" s="6">
        <v>56131600</v>
      </c>
      <c r="J637" s="6">
        <v>6998100</v>
      </c>
      <c r="K637" s="6">
        <v>49133500</v>
      </c>
      <c r="L637" s="7"/>
    </row>
    <row r="638" spans="1:12" x14ac:dyDescent="0.25">
      <c r="A638" t="s">
        <v>447</v>
      </c>
      <c r="B638" s="5">
        <v>173444</v>
      </c>
      <c r="C638" t="s">
        <v>83</v>
      </c>
      <c r="D638" s="1" t="str">
        <f>"17251"</f>
        <v>17251</v>
      </c>
      <c r="E638" t="s">
        <v>10</v>
      </c>
      <c r="F638" t="s">
        <v>449</v>
      </c>
      <c r="G638" s="1" t="str">
        <f>"012"</f>
        <v>012</v>
      </c>
      <c r="H638" s="1">
        <v>2003</v>
      </c>
      <c r="I638" s="6">
        <v>21454100</v>
      </c>
      <c r="J638" s="6">
        <v>1671200</v>
      </c>
      <c r="K638" s="6">
        <v>19782900</v>
      </c>
      <c r="L638" s="7"/>
    </row>
    <row r="639" spans="1:12" x14ac:dyDescent="0.25">
      <c r="A639" t="s">
        <v>447</v>
      </c>
      <c r="B639" s="5">
        <v>173444</v>
      </c>
      <c r="C639" t="s">
        <v>83</v>
      </c>
      <c r="D639" s="1" t="str">
        <f>"17251"</f>
        <v>17251</v>
      </c>
      <c r="E639" t="s">
        <v>10</v>
      </c>
      <c r="F639" t="s">
        <v>449</v>
      </c>
      <c r="G639" s="1" t="str">
        <f>"013"</f>
        <v>013</v>
      </c>
      <c r="H639" s="1">
        <v>2004</v>
      </c>
      <c r="I639" s="6">
        <v>5561600</v>
      </c>
      <c r="J639" s="6">
        <v>161900</v>
      </c>
      <c r="K639" s="6">
        <v>5399700</v>
      </c>
      <c r="L639" s="7"/>
    </row>
    <row r="640" spans="1:12" x14ac:dyDescent="0.25">
      <c r="A640" t="s">
        <v>447</v>
      </c>
      <c r="B640" s="5">
        <v>173444</v>
      </c>
      <c r="C640" t="s">
        <v>83</v>
      </c>
      <c r="D640" s="1" t="str">
        <f>"17251"</f>
        <v>17251</v>
      </c>
      <c r="E640" t="s">
        <v>10</v>
      </c>
      <c r="F640" t="s">
        <v>449</v>
      </c>
      <c r="G640" s="1" t="str">
        <f>"014"</f>
        <v>014</v>
      </c>
      <c r="H640" s="1">
        <v>2004</v>
      </c>
      <c r="I640" s="6">
        <v>8321500</v>
      </c>
      <c r="J640" s="6">
        <v>7879600</v>
      </c>
      <c r="K640" s="6">
        <v>441900</v>
      </c>
      <c r="L640" s="7"/>
    </row>
    <row r="641" spans="1:12" x14ac:dyDescent="0.25">
      <c r="A641" t="s">
        <v>447</v>
      </c>
      <c r="B641" s="5">
        <v>173444</v>
      </c>
      <c r="C641" t="s">
        <v>83</v>
      </c>
      <c r="D641" s="1" t="str">
        <f>"17251"</f>
        <v>17251</v>
      </c>
      <c r="E641" t="s">
        <v>10</v>
      </c>
      <c r="F641" t="s">
        <v>449</v>
      </c>
      <c r="G641" s="1" t="str">
        <f>"015"</f>
        <v>015</v>
      </c>
      <c r="H641" s="1">
        <v>2005</v>
      </c>
      <c r="I641" s="6">
        <v>36699100</v>
      </c>
      <c r="J641" s="6">
        <v>22246100</v>
      </c>
      <c r="K641" s="6">
        <v>14453000</v>
      </c>
      <c r="L641" s="7"/>
    </row>
    <row r="642" spans="1:12" x14ac:dyDescent="0.25">
      <c r="A642" t="s">
        <v>450</v>
      </c>
      <c r="B642" s="5">
        <v>453479</v>
      </c>
      <c r="C642" t="s">
        <v>157</v>
      </c>
      <c r="D642" s="1" t="str">
        <f>"45255"</f>
        <v>45255</v>
      </c>
      <c r="E642" t="s">
        <v>10</v>
      </c>
      <c r="F642" t="s">
        <v>451</v>
      </c>
      <c r="G642" s="1" t="str">
        <f>"002"</f>
        <v>002</v>
      </c>
      <c r="H642" s="1">
        <v>2002</v>
      </c>
      <c r="I642" s="6">
        <v>22625100</v>
      </c>
      <c r="J642" s="6">
        <v>5911600</v>
      </c>
      <c r="K642" s="6">
        <v>16713500</v>
      </c>
      <c r="L642" s="7"/>
    </row>
    <row r="643" spans="1:12" x14ac:dyDescent="0.25">
      <c r="A643" t="s">
        <v>450</v>
      </c>
      <c r="B643" s="5">
        <v>453479</v>
      </c>
      <c r="C643" t="s">
        <v>157</v>
      </c>
      <c r="D643" s="1" t="str">
        <f>"45255"</f>
        <v>45255</v>
      </c>
      <c r="E643" t="s">
        <v>10</v>
      </c>
      <c r="F643" t="s">
        <v>451</v>
      </c>
      <c r="G643" s="1" t="str">
        <f>"003"</f>
        <v>003</v>
      </c>
      <c r="H643" s="1">
        <v>2008</v>
      </c>
      <c r="I643" s="6">
        <v>140853800</v>
      </c>
      <c r="J643" s="6">
        <v>41330300</v>
      </c>
      <c r="K643" s="6">
        <v>99523500</v>
      </c>
      <c r="L643" s="7"/>
    </row>
    <row r="644" spans="1:12" x14ac:dyDescent="0.25">
      <c r="A644" t="s">
        <v>450</v>
      </c>
      <c r="B644" s="5">
        <v>453479</v>
      </c>
      <c r="C644" t="s">
        <v>157</v>
      </c>
      <c r="D644" s="1" t="str">
        <f>"45255"</f>
        <v>45255</v>
      </c>
      <c r="E644" t="s">
        <v>10</v>
      </c>
      <c r="F644" t="s">
        <v>451</v>
      </c>
      <c r="G644" s="1" t="str">
        <f>"004"</f>
        <v>004</v>
      </c>
      <c r="H644" s="1">
        <v>2012</v>
      </c>
      <c r="I644" s="6">
        <v>49268700</v>
      </c>
      <c r="J644" s="6">
        <v>41872200</v>
      </c>
      <c r="K644" s="6">
        <v>7396500</v>
      </c>
      <c r="L644" s="7"/>
    </row>
    <row r="645" spans="1:12" x14ac:dyDescent="0.25">
      <c r="A645" t="s">
        <v>450</v>
      </c>
      <c r="B645" s="5">
        <v>453479</v>
      </c>
      <c r="C645" t="s">
        <v>157</v>
      </c>
      <c r="D645" s="1" t="str">
        <f>"45255"</f>
        <v>45255</v>
      </c>
      <c r="E645" t="s">
        <v>10</v>
      </c>
      <c r="F645" t="s">
        <v>451</v>
      </c>
      <c r="G645" s="1" t="str">
        <f>"005"</f>
        <v>005</v>
      </c>
      <c r="H645" s="1">
        <v>2012</v>
      </c>
      <c r="I645" s="6">
        <v>61693700</v>
      </c>
      <c r="J645" s="6">
        <v>51186900</v>
      </c>
      <c r="K645" s="6">
        <v>10506800</v>
      </c>
      <c r="L645" s="7"/>
    </row>
    <row r="646" spans="1:12" x14ac:dyDescent="0.25">
      <c r="A646" t="s">
        <v>452</v>
      </c>
      <c r="B646" s="5">
        <v>353500</v>
      </c>
      <c r="C646" t="s">
        <v>453</v>
      </c>
      <c r="D646" s="1" t="str">
        <f t="shared" ref="D646:D655" si="21">"35251"</f>
        <v>35251</v>
      </c>
      <c r="E646" t="s">
        <v>10</v>
      </c>
      <c r="F646" t="s">
        <v>454</v>
      </c>
      <c r="G646" s="1" t="str">
        <f>"003"</f>
        <v>003</v>
      </c>
      <c r="H646" s="1">
        <v>2005</v>
      </c>
      <c r="I646" s="6">
        <v>45022100</v>
      </c>
      <c r="J646" s="6">
        <v>15367900</v>
      </c>
      <c r="K646" s="6">
        <v>29654200</v>
      </c>
      <c r="L646" s="7"/>
    </row>
    <row r="647" spans="1:12" x14ac:dyDescent="0.25">
      <c r="A647" t="s">
        <v>452</v>
      </c>
      <c r="B647" s="5">
        <v>353500</v>
      </c>
      <c r="C647" t="s">
        <v>453</v>
      </c>
      <c r="D647" s="1" t="str">
        <f t="shared" si="21"/>
        <v>35251</v>
      </c>
      <c r="E647" t="s">
        <v>10</v>
      </c>
      <c r="F647" t="s">
        <v>454</v>
      </c>
      <c r="G647" s="1" t="str">
        <f>"004"</f>
        <v>004</v>
      </c>
      <c r="H647" s="1">
        <v>2007</v>
      </c>
      <c r="I647" s="6">
        <v>15826600</v>
      </c>
      <c r="J647" s="6">
        <v>8884500</v>
      </c>
      <c r="K647" s="6">
        <v>6942100</v>
      </c>
      <c r="L647" s="7"/>
    </row>
    <row r="648" spans="1:12" x14ac:dyDescent="0.25">
      <c r="A648" t="s">
        <v>452</v>
      </c>
      <c r="B648" s="5">
        <v>353500</v>
      </c>
      <c r="C648" t="s">
        <v>453</v>
      </c>
      <c r="D648" s="1" t="str">
        <f t="shared" si="21"/>
        <v>35251</v>
      </c>
      <c r="E648" t="s">
        <v>10</v>
      </c>
      <c r="F648" t="s">
        <v>454</v>
      </c>
      <c r="G648" s="1" t="str">
        <f>"005"</f>
        <v>005</v>
      </c>
      <c r="H648" s="1">
        <v>2007</v>
      </c>
      <c r="I648" s="6">
        <v>651400</v>
      </c>
      <c r="J648" s="6">
        <v>74000</v>
      </c>
      <c r="K648" s="6">
        <v>577400</v>
      </c>
      <c r="L648" s="7"/>
    </row>
    <row r="649" spans="1:12" x14ac:dyDescent="0.25">
      <c r="A649" t="s">
        <v>452</v>
      </c>
      <c r="B649" s="5">
        <v>353500</v>
      </c>
      <c r="C649" t="s">
        <v>453</v>
      </c>
      <c r="D649" s="1" t="str">
        <f t="shared" si="21"/>
        <v>35251</v>
      </c>
      <c r="E649" t="s">
        <v>10</v>
      </c>
      <c r="F649" t="s">
        <v>454</v>
      </c>
      <c r="G649" s="1" t="str">
        <f>"006"</f>
        <v>006</v>
      </c>
      <c r="H649" s="1">
        <v>2009</v>
      </c>
      <c r="I649" s="6">
        <v>13375600</v>
      </c>
      <c r="J649" s="6">
        <v>11982400</v>
      </c>
      <c r="K649" s="6">
        <v>1393200</v>
      </c>
      <c r="L649" s="7"/>
    </row>
    <row r="650" spans="1:12" x14ac:dyDescent="0.25">
      <c r="A650" t="s">
        <v>452</v>
      </c>
      <c r="B650" s="5">
        <v>353500</v>
      </c>
      <c r="C650" t="s">
        <v>453</v>
      </c>
      <c r="D650" s="1" t="str">
        <f t="shared" si="21"/>
        <v>35251</v>
      </c>
      <c r="E650" t="s">
        <v>10</v>
      </c>
      <c r="F650" t="s">
        <v>454</v>
      </c>
      <c r="G650" s="1" t="str">
        <f>"007"</f>
        <v>007</v>
      </c>
      <c r="H650" s="1">
        <v>2009</v>
      </c>
      <c r="I650" s="6">
        <v>8403700</v>
      </c>
      <c r="J650" s="6">
        <v>7787000</v>
      </c>
      <c r="K650" s="6">
        <v>616700</v>
      </c>
      <c r="L650" s="7"/>
    </row>
    <row r="651" spans="1:12" x14ac:dyDescent="0.25">
      <c r="A651" t="s">
        <v>452</v>
      </c>
      <c r="B651" s="5">
        <v>353500</v>
      </c>
      <c r="C651" t="s">
        <v>453</v>
      </c>
      <c r="D651" s="1" t="str">
        <f t="shared" si="21"/>
        <v>35251</v>
      </c>
      <c r="E651" t="s">
        <v>10</v>
      </c>
      <c r="F651" t="s">
        <v>454</v>
      </c>
      <c r="G651" s="1" t="str">
        <f>"008"</f>
        <v>008</v>
      </c>
      <c r="H651" s="1">
        <v>2011</v>
      </c>
      <c r="I651" s="6">
        <v>18661600</v>
      </c>
      <c r="J651" s="6">
        <v>17316700</v>
      </c>
      <c r="K651" s="6">
        <v>1344900</v>
      </c>
      <c r="L651" s="7"/>
    </row>
    <row r="652" spans="1:12" x14ac:dyDescent="0.25">
      <c r="A652" t="s">
        <v>452</v>
      </c>
      <c r="B652" s="5">
        <v>353500</v>
      </c>
      <c r="C652" t="s">
        <v>453</v>
      </c>
      <c r="D652" s="1" t="str">
        <f t="shared" si="21"/>
        <v>35251</v>
      </c>
      <c r="E652" t="s">
        <v>10</v>
      </c>
      <c r="F652" t="s">
        <v>454</v>
      </c>
      <c r="G652" s="1" t="str">
        <f>"009"</f>
        <v>009</v>
      </c>
      <c r="H652" s="1">
        <v>2013</v>
      </c>
      <c r="I652" s="6">
        <v>5593600</v>
      </c>
      <c r="J652" s="6">
        <v>5936000</v>
      </c>
      <c r="K652" s="6">
        <v>-342400</v>
      </c>
      <c r="L652" s="7"/>
    </row>
    <row r="653" spans="1:12" x14ac:dyDescent="0.25">
      <c r="A653" t="s">
        <v>452</v>
      </c>
      <c r="B653" s="5">
        <v>353500</v>
      </c>
      <c r="C653" t="s">
        <v>453</v>
      </c>
      <c r="D653" s="1" t="str">
        <f t="shared" si="21"/>
        <v>35251</v>
      </c>
      <c r="E653" t="s">
        <v>10</v>
      </c>
      <c r="F653" t="s">
        <v>454</v>
      </c>
      <c r="G653" s="1" t="str">
        <f>"010"</f>
        <v>010</v>
      </c>
      <c r="H653" s="1">
        <v>2015</v>
      </c>
      <c r="I653" s="6">
        <v>0</v>
      </c>
      <c r="J653" s="6">
        <v>296800</v>
      </c>
      <c r="K653" s="6">
        <v>-296800</v>
      </c>
      <c r="L653" s="7"/>
    </row>
    <row r="654" spans="1:12" x14ac:dyDescent="0.25">
      <c r="A654" t="s">
        <v>452</v>
      </c>
      <c r="B654" s="5">
        <v>353500</v>
      </c>
      <c r="C654" t="s">
        <v>453</v>
      </c>
      <c r="D654" s="1" t="str">
        <f t="shared" si="21"/>
        <v>35251</v>
      </c>
      <c r="E654" t="s">
        <v>10</v>
      </c>
      <c r="F654" t="s">
        <v>454</v>
      </c>
      <c r="G654" s="1" t="str">
        <f>"011"</f>
        <v>011</v>
      </c>
      <c r="H654" s="1">
        <v>2016</v>
      </c>
      <c r="I654" s="6">
        <v>18749200</v>
      </c>
      <c r="J654" s="6">
        <v>14980600</v>
      </c>
      <c r="K654" s="6">
        <v>3768600</v>
      </c>
      <c r="L654" s="7"/>
    </row>
    <row r="655" spans="1:12" x14ac:dyDescent="0.25">
      <c r="A655" t="s">
        <v>452</v>
      </c>
      <c r="B655" s="5">
        <v>353500</v>
      </c>
      <c r="C655" t="s">
        <v>453</v>
      </c>
      <c r="D655" s="1" t="str">
        <f t="shared" si="21"/>
        <v>35251</v>
      </c>
      <c r="E655" t="s">
        <v>10</v>
      </c>
      <c r="F655" t="s">
        <v>454</v>
      </c>
      <c r="G655" s="1" t="str">
        <f>"012"</f>
        <v>012</v>
      </c>
      <c r="H655" s="1">
        <v>2017</v>
      </c>
      <c r="I655" s="6">
        <v>2293700</v>
      </c>
      <c r="J655" s="6">
        <v>1594700</v>
      </c>
      <c r="K655" s="6">
        <v>699000</v>
      </c>
      <c r="L655" s="7"/>
    </row>
    <row r="656" spans="1:12" x14ac:dyDescent="0.25">
      <c r="A656" t="s">
        <v>455</v>
      </c>
      <c r="B656" s="5">
        <v>133549</v>
      </c>
      <c r="C656" t="s">
        <v>89</v>
      </c>
      <c r="D656" s="1" t="str">
        <f>"13113"</f>
        <v>13113</v>
      </c>
      <c r="E656" t="s">
        <v>15</v>
      </c>
      <c r="F656" t="s">
        <v>456</v>
      </c>
      <c r="G656" s="1" t="str">
        <f>"003"</f>
        <v>003</v>
      </c>
      <c r="H656" s="1">
        <v>2008</v>
      </c>
      <c r="I656" s="6">
        <v>62492400</v>
      </c>
      <c r="J656" s="6">
        <v>28128600</v>
      </c>
      <c r="K656" s="6">
        <v>34363800</v>
      </c>
      <c r="L656" s="7"/>
    </row>
    <row r="657" spans="1:12" x14ac:dyDescent="0.25">
      <c r="A657" t="s">
        <v>455</v>
      </c>
      <c r="B657" s="5">
        <v>133549</v>
      </c>
      <c r="C657" t="s">
        <v>89</v>
      </c>
      <c r="D657" s="1" t="str">
        <f>"13251"</f>
        <v>13251</v>
      </c>
      <c r="E657" t="s">
        <v>10</v>
      </c>
      <c r="F657" t="s">
        <v>417</v>
      </c>
      <c r="G657" s="1" t="str">
        <f>"046"</f>
        <v>046</v>
      </c>
      <c r="H657" s="1">
        <v>2015</v>
      </c>
      <c r="I657" s="6">
        <v>40049600</v>
      </c>
      <c r="J657" s="6">
        <v>7145700</v>
      </c>
      <c r="K657" s="6">
        <v>32903900</v>
      </c>
      <c r="L657" s="7"/>
    </row>
    <row r="658" spans="1:12" x14ac:dyDescent="0.25">
      <c r="A658" t="s">
        <v>455</v>
      </c>
      <c r="B658" s="5">
        <v>133549</v>
      </c>
      <c r="C658" t="s">
        <v>89</v>
      </c>
      <c r="D658" s="1" t="str">
        <f>"13251"</f>
        <v>13251</v>
      </c>
      <c r="E658" t="s">
        <v>10</v>
      </c>
      <c r="F658" t="s">
        <v>417</v>
      </c>
      <c r="G658" s="1" t="str">
        <f>"047"</f>
        <v>047</v>
      </c>
      <c r="H658" s="1">
        <v>2017</v>
      </c>
      <c r="I658" s="6">
        <v>26487400</v>
      </c>
      <c r="J658" s="6">
        <v>10032600</v>
      </c>
      <c r="K658" s="6">
        <v>16454800</v>
      </c>
      <c r="L658" s="7"/>
    </row>
    <row r="659" spans="1:12" x14ac:dyDescent="0.25">
      <c r="A659" t="s">
        <v>455</v>
      </c>
      <c r="B659" s="5">
        <v>133549</v>
      </c>
      <c r="C659" t="s">
        <v>89</v>
      </c>
      <c r="D659" s="1" t="str">
        <f>"13255"</f>
        <v>13255</v>
      </c>
      <c r="E659" t="s">
        <v>10</v>
      </c>
      <c r="F659" t="s">
        <v>457</v>
      </c>
      <c r="G659" s="1" t="str">
        <f>"003"</f>
        <v>003</v>
      </c>
      <c r="H659" s="1">
        <v>1993</v>
      </c>
      <c r="I659" s="6">
        <v>638136000</v>
      </c>
      <c r="J659" s="6">
        <v>59669200</v>
      </c>
      <c r="K659" s="6">
        <v>578466800</v>
      </c>
      <c r="L659" s="7"/>
    </row>
    <row r="660" spans="1:12" x14ac:dyDescent="0.25">
      <c r="A660" t="s">
        <v>455</v>
      </c>
      <c r="B660" s="5">
        <v>133549</v>
      </c>
      <c r="C660" t="s">
        <v>89</v>
      </c>
      <c r="D660" s="1" t="str">
        <f>"13255"</f>
        <v>13255</v>
      </c>
      <c r="E660" t="s">
        <v>10</v>
      </c>
      <c r="F660" t="s">
        <v>457</v>
      </c>
      <c r="G660" s="1" t="str">
        <f>"005"</f>
        <v>005</v>
      </c>
      <c r="H660" s="1">
        <v>2009</v>
      </c>
      <c r="I660" s="6">
        <v>159954500</v>
      </c>
      <c r="J660" s="6">
        <v>89665500</v>
      </c>
      <c r="K660" s="6">
        <v>70289000</v>
      </c>
      <c r="L660" s="7"/>
    </row>
    <row r="661" spans="1:12" x14ac:dyDescent="0.25">
      <c r="A661" t="s">
        <v>455</v>
      </c>
      <c r="B661" s="5">
        <v>133549</v>
      </c>
      <c r="C661" t="s">
        <v>89</v>
      </c>
      <c r="D661" s="1" t="str">
        <f>"13056"</f>
        <v>13056</v>
      </c>
      <c r="E661" t="s">
        <v>17</v>
      </c>
      <c r="F661" t="s">
        <v>458</v>
      </c>
      <c r="G661" s="1" t="str">
        <f>"001E"</f>
        <v>001E</v>
      </c>
      <c r="H661" s="1">
        <v>2014</v>
      </c>
      <c r="I661" s="6">
        <v>7270200</v>
      </c>
      <c r="J661" s="6">
        <v>408400</v>
      </c>
      <c r="K661" s="6">
        <v>6861800</v>
      </c>
      <c r="L661" s="7"/>
    </row>
    <row r="662" spans="1:12" x14ac:dyDescent="0.25">
      <c r="A662" t="s">
        <v>459</v>
      </c>
      <c r="B662" s="5">
        <v>533612</v>
      </c>
      <c r="C662" t="s">
        <v>95</v>
      </c>
      <c r="D662" s="1" t="str">
        <f>"53241"</f>
        <v>53241</v>
      </c>
      <c r="E662" t="s">
        <v>10</v>
      </c>
      <c r="F662" t="s">
        <v>370</v>
      </c>
      <c r="G662" s="1" t="str">
        <f>"025"</f>
        <v>025</v>
      </c>
      <c r="H662" s="1">
        <v>2003</v>
      </c>
      <c r="I662" s="6">
        <v>13958000</v>
      </c>
      <c r="J662" s="6">
        <v>12900</v>
      </c>
      <c r="K662" s="6">
        <v>13945100</v>
      </c>
      <c r="L662" s="7"/>
    </row>
    <row r="663" spans="1:12" x14ac:dyDescent="0.25">
      <c r="A663" t="s">
        <v>459</v>
      </c>
      <c r="B663" s="5">
        <v>533612</v>
      </c>
      <c r="C663" t="s">
        <v>95</v>
      </c>
      <c r="D663" s="1" t="str">
        <f>"53257"</f>
        <v>53257</v>
      </c>
      <c r="E663" t="s">
        <v>10</v>
      </c>
      <c r="F663" t="s">
        <v>460</v>
      </c>
      <c r="G663" s="1" t="str">
        <f>"006"</f>
        <v>006</v>
      </c>
      <c r="H663" s="1">
        <v>2003</v>
      </c>
      <c r="I663" s="6">
        <v>41931400</v>
      </c>
      <c r="J663" s="6">
        <v>3330300</v>
      </c>
      <c r="K663" s="6">
        <v>38601100</v>
      </c>
      <c r="L663" s="7"/>
    </row>
    <row r="664" spans="1:12" x14ac:dyDescent="0.25">
      <c r="A664" t="s">
        <v>459</v>
      </c>
      <c r="B664" s="5">
        <v>533612</v>
      </c>
      <c r="C664" t="s">
        <v>95</v>
      </c>
      <c r="D664" s="1" t="str">
        <f>"53257"</f>
        <v>53257</v>
      </c>
      <c r="E664" t="s">
        <v>10</v>
      </c>
      <c r="F664" t="s">
        <v>460</v>
      </c>
      <c r="G664" s="1" t="str">
        <f>"007"</f>
        <v>007</v>
      </c>
      <c r="H664" s="1">
        <v>2004</v>
      </c>
      <c r="I664" s="6">
        <v>14253300</v>
      </c>
      <c r="J664" s="6">
        <v>8567500</v>
      </c>
      <c r="K664" s="6">
        <v>5685800</v>
      </c>
      <c r="L664" s="7"/>
    </row>
    <row r="665" spans="1:12" x14ac:dyDescent="0.25">
      <c r="A665" t="s">
        <v>459</v>
      </c>
      <c r="B665" s="5">
        <v>533612</v>
      </c>
      <c r="C665" t="s">
        <v>95</v>
      </c>
      <c r="D665" s="1" t="str">
        <f>"53257"</f>
        <v>53257</v>
      </c>
      <c r="E665" t="s">
        <v>10</v>
      </c>
      <c r="F665" t="s">
        <v>460</v>
      </c>
      <c r="G665" s="1" t="str">
        <f>"009"</f>
        <v>009</v>
      </c>
      <c r="H665" s="1">
        <v>2016</v>
      </c>
      <c r="I665" s="6">
        <v>8718000</v>
      </c>
      <c r="J665" s="6">
        <v>174700</v>
      </c>
      <c r="K665" s="6">
        <v>8543300</v>
      </c>
      <c r="L665" s="7"/>
    </row>
    <row r="666" spans="1:12" x14ac:dyDescent="0.25">
      <c r="A666" t="s">
        <v>459</v>
      </c>
      <c r="B666" s="5">
        <v>533612</v>
      </c>
      <c r="C666" t="s">
        <v>95</v>
      </c>
      <c r="D666" s="1" t="str">
        <f>"53257"</f>
        <v>53257</v>
      </c>
      <c r="E666" t="s">
        <v>10</v>
      </c>
      <c r="F666" t="s">
        <v>460</v>
      </c>
      <c r="G666" s="1" t="str">
        <f>"010"</f>
        <v>010</v>
      </c>
      <c r="H666" s="1">
        <v>2018</v>
      </c>
      <c r="I666" s="6">
        <v>22147300</v>
      </c>
      <c r="J666" s="6">
        <v>20754200</v>
      </c>
      <c r="K666" s="6">
        <v>1393100</v>
      </c>
      <c r="L666" s="7"/>
    </row>
    <row r="667" spans="1:12" x14ac:dyDescent="0.25">
      <c r="A667" t="s">
        <v>461</v>
      </c>
      <c r="B667" s="5">
        <v>403619</v>
      </c>
      <c r="C667" t="s">
        <v>134</v>
      </c>
      <c r="D667" s="1" t="str">
        <f t="shared" ref="D667:D714" si="22">"40251"</f>
        <v>40251</v>
      </c>
      <c r="E667" t="s">
        <v>10</v>
      </c>
      <c r="F667" t="s">
        <v>134</v>
      </c>
      <c r="G667" s="1" t="str">
        <f>"022"</f>
        <v>022</v>
      </c>
      <c r="H667" s="1">
        <v>1994</v>
      </c>
      <c r="I667" s="6">
        <v>277655500</v>
      </c>
      <c r="J667" s="6">
        <v>41210300</v>
      </c>
      <c r="K667" s="6">
        <v>236445200</v>
      </c>
      <c r="L667" s="7"/>
    </row>
    <row r="668" spans="1:12" x14ac:dyDescent="0.25">
      <c r="A668" t="s">
        <v>461</v>
      </c>
      <c r="B668" s="5">
        <v>403619</v>
      </c>
      <c r="C668" t="s">
        <v>134</v>
      </c>
      <c r="D668" s="1" t="str">
        <f t="shared" si="22"/>
        <v>40251</v>
      </c>
      <c r="E668" t="s">
        <v>10</v>
      </c>
      <c r="F668" t="s">
        <v>134</v>
      </c>
      <c r="G668" s="1" t="str">
        <f>"037"</f>
        <v>037</v>
      </c>
      <c r="H668" s="1">
        <v>1998</v>
      </c>
      <c r="I668" s="6">
        <v>141277700</v>
      </c>
      <c r="J668" s="6">
        <v>60317400</v>
      </c>
      <c r="K668" s="6">
        <v>80960300</v>
      </c>
      <c r="L668" s="7"/>
    </row>
    <row r="669" spans="1:12" x14ac:dyDescent="0.25">
      <c r="A669" t="s">
        <v>461</v>
      </c>
      <c r="B669" s="5">
        <v>403619</v>
      </c>
      <c r="C669" t="s">
        <v>134</v>
      </c>
      <c r="D669" s="1" t="str">
        <f t="shared" si="22"/>
        <v>40251</v>
      </c>
      <c r="E669" t="s">
        <v>10</v>
      </c>
      <c r="F669" t="s">
        <v>134</v>
      </c>
      <c r="G669" s="1" t="str">
        <f>"039"</f>
        <v>039</v>
      </c>
      <c r="H669" s="1">
        <v>2000</v>
      </c>
      <c r="I669" s="6">
        <v>45724500</v>
      </c>
      <c r="J669" s="6">
        <v>23863400</v>
      </c>
      <c r="K669" s="6">
        <v>21861100</v>
      </c>
      <c r="L669" s="7"/>
    </row>
    <row r="670" spans="1:12" x14ac:dyDescent="0.25">
      <c r="A670" t="s">
        <v>461</v>
      </c>
      <c r="B670" s="5">
        <v>403619</v>
      </c>
      <c r="C670" t="s">
        <v>134</v>
      </c>
      <c r="D670" s="1" t="str">
        <f t="shared" si="22"/>
        <v>40251</v>
      </c>
      <c r="E670" t="s">
        <v>10</v>
      </c>
      <c r="F670" t="s">
        <v>134</v>
      </c>
      <c r="G670" s="1" t="str">
        <f>"041"</f>
        <v>041</v>
      </c>
      <c r="H670" s="1">
        <v>2000</v>
      </c>
      <c r="I670" s="6">
        <v>125023600</v>
      </c>
      <c r="J670" s="6">
        <v>10021400</v>
      </c>
      <c r="K670" s="6">
        <v>115002200</v>
      </c>
      <c r="L670" s="7"/>
    </row>
    <row r="671" spans="1:12" x14ac:dyDescent="0.25">
      <c r="A671" t="s">
        <v>461</v>
      </c>
      <c r="B671" s="5">
        <v>403619</v>
      </c>
      <c r="C671" t="s">
        <v>134</v>
      </c>
      <c r="D671" s="1" t="str">
        <f t="shared" si="22"/>
        <v>40251</v>
      </c>
      <c r="E671" t="s">
        <v>10</v>
      </c>
      <c r="F671" t="s">
        <v>134</v>
      </c>
      <c r="G671" s="1" t="str">
        <f>"042"</f>
        <v>042</v>
      </c>
      <c r="H671" s="1">
        <v>2001</v>
      </c>
      <c r="I671" s="6">
        <v>40600800</v>
      </c>
      <c r="J671" s="6">
        <v>7118300</v>
      </c>
      <c r="K671" s="6">
        <v>33482500</v>
      </c>
      <c r="L671" s="7"/>
    </row>
    <row r="672" spans="1:12" x14ac:dyDescent="0.25">
      <c r="A672" t="s">
        <v>461</v>
      </c>
      <c r="B672" s="5">
        <v>403619</v>
      </c>
      <c r="C672" t="s">
        <v>134</v>
      </c>
      <c r="D672" s="1" t="str">
        <f t="shared" si="22"/>
        <v>40251</v>
      </c>
      <c r="E672" t="s">
        <v>10</v>
      </c>
      <c r="F672" t="s">
        <v>134</v>
      </c>
      <c r="G672" s="1" t="str">
        <f>"046"</f>
        <v>046</v>
      </c>
      <c r="H672" s="1">
        <v>2001</v>
      </c>
      <c r="I672" s="6">
        <v>44352300</v>
      </c>
      <c r="J672" s="6">
        <v>14759500</v>
      </c>
      <c r="K672" s="6">
        <v>29592800</v>
      </c>
      <c r="L672" s="7"/>
    </row>
    <row r="673" spans="1:12" x14ac:dyDescent="0.25">
      <c r="A673" t="s">
        <v>461</v>
      </c>
      <c r="B673" s="5">
        <v>403619</v>
      </c>
      <c r="C673" t="s">
        <v>134</v>
      </c>
      <c r="D673" s="1" t="str">
        <f t="shared" si="22"/>
        <v>40251</v>
      </c>
      <c r="E673" t="s">
        <v>10</v>
      </c>
      <c r="F673" t="s">
        <v>134</v>
      </c>
      <c r="G673" s="1" t="str">
        <f>"048"</f>
        <v>048</v>
      </c>
      <c r="H673" s="1">
        <v>2002</v>
      </c>
      <c r="I673" s="6">
        <v>334279000</v>
      </c>
      <c r="J673" s="6">
        <v>45325600</v>
      </c>
      <c r="K673" s="6">
        <v>288953400</v>
      </c>
      <c r="L673" s="7"/>
    </row>
    <row r="674" spans="1:12" x14ac:dyDescent="0.25">
      <c r="A674" t="s">
        <v>461</v>
      </c>
      <c r="B674" s="5">
        <v>403619</v>
      </c>
      <c r="C674" t="s">
        <v>134</v>
      </c>
      <c r="D674" s="1" t="str">
        <f t="shared" si="22"/>
        <v>40251</v>
      </c>
      <c r="E674" t="s">
        <v>10</v>
      </c>
      <c r="F674" t="s">
        <v>134</v>
      </c>
      <c r="G674" s="1" t="str">
        <f>"049"</f>
        <v>049</v>
      </c>
      <c r="H674" s="1">
        <v>2002</v>
      </c>
      <c r="I674" s="6">
        <v>56039600</v>
      </c>
      <c r="J674" s="6">
        <v>2052700</v>
      </c>
      <c r="K674" s="6">
        <v>53986900</v>
      </c>
      <c r="L674" s="7"/>
    </row>
    <row r="675" spans="1:12" x14ac:dyDescent="0.25">
      <c r="A675" t="s">
        <v>461</v>
      </c>
      <c r="B675" s="5">
        <v>403619</v>
      </c>
      <c r="C675" t="s">
        <v>134</v>
      </c>
      <c r="D675" s="1" t="str">
        <f t="shared" si="22"/>
        <v>40251</v>
      </c>
      <c r="E675" t="s">
        <v>10</v>
      </c>
      <c r="F675" t="s">
        <v>134</v>
      </c>
      <c r="G675" s="1" t="str">
        <f>"051"</f>
        <v>051</v>
      </c>
      <c r="H675" s="1">
        <v>2003</v>
      </c>
      <c r="I675" s="6">
        <v>15930200</v>
      </c>
      <c r="J675" s="6">
        <v>10048700</v>
      </c>
      <c r="K675" s="6">
        <v>5881500</v>
      </c>
      <c r="L675" s="7"/>
    </row>
    <row r="676" spans="1:12" x14ac:dyDescent="0.25">
      <c r="A676" t="s">
        <v>461</v>
      </c>
      <c r="B676" s="5">
        <v>403619</v>
      </c>
      <c r="C676" t="s">
        <v>134</v>
      </c>
      <c r="D676" s="1" t="str">
        <f t="shared" si="22"/>
        <v>40251</v>
      </c>
      <c r="E676" t="s">
        <v>10</v>
      </c>
      <c r="F676" t="s">
        <v>134</v>
      </c>
      <c r="G676" s="1" t="str">
        <f>"052"</f>
        <v>052</v>
      </c>
      <c r="H676" s="1">
        <v>2003</v>
      </c>
      <c r="I676" s="6">
        <v>28485700</v>
      </c>
      <c r="J676" s="6">
        <v>10225900</v>
      </c>
      <c r="K676" s="6">
        <v>18259800</v>
      </c>
      <c r="L676" s="7"/>
    </row>
    <row r="677" spans="1:12" x14ac:dyDescent="0.25">
      <c r="A677" t="s">
        <v>461</v>
      </c>
      <c r="B677" s="5">
        <v>403619</v>
      </c>
      <c r="C677" t="s">
        <v>134</v>
      </c>
      <c r="D677" s="1" t="str">
        <f t="shared" si="22"/>
        <v>40251</v>
      </c>
      <c r="E677" t="s">
        <v>10</v>
      </c>
      <c r="F677" t="s">
        <v>134</v>
      </c>
      <c r="G677" s="1" t="str">
        <f>"053"</f>
        <v>053</v>
      </c>
      <c r="H677" s="1">
        <v>2004</v>
      </c>
      <c r="I677" s="6">
        <v>73194200</v>
      </c>
      <c r="J677" s="6">
        <v>4752300</v>
      </c>
      <c r="K677" s="6">
        <v>68441900</v>
      </c>
      <c r="L677" s="7"/>
    </row>
    <row r="678" spans="1:12" x14ac:dyDescent="0.25">
      <c r="A678" t="s">
        <v>461</v>
      </c>
      <c r="B678" s="5">
        <v>403619</v>
      </c>
      <c r="C678" t="s">
        <v>134</v>
      </c>
      <c r="D678" s="1" t="str">
        <f t="shared" si="22"/>
        <v>40251</v>
      </c>
      <c r="E678" t="s">
        <v>10</v>
      </c>
      <c r="F678" t="s">
        <v>134</v>
      </c>
      <c r="G678" s="1" t="str">
        <f>"054"</f>
        <v>054</v>
      </c>
      <c r="H678" s="1">
        <v>2004</v>
      </c>
      <c r="I678" s="6">
        <v>18435500</v>
      </c>
      <c r="J678" s="6">
        <v>1148000</v>
      </c>
      <c r="K678" s="6">
        <v>17287500</v>
      </c>
      <c r="L678" s="7"/>
    </row>
    <row r="679" spans="1:12" x14ac:dyDescent="0.25">
      <c r="A679" t="s">
        <v>461</v>
      </c>
      <c r="B679" s="5">
        <v>403619</v>
      </c>
      <c r="C679" t="s">
        <v>134</v>
      </c>
      <c r="D679" s="1" t="str">
        <f t="shared" si="22"/>
        <v>40251</v>
      </c>
      <c r="E679" t="s">
        <v>10</v>
      </c>
      <c r="F679" t="s">
        <v>134</v>
      </c>
      <c r="G679" s="1" t="str">
        <f>"056"</f>
        <v>056</v>
      </c>
      <c r="H679" s="1">
        <v>2004</v>
      </c>
      <c r="I679" s="6">
        <v>170547400</v>
      </c>
      <c r="J679" s="6">
        <v>8958600</v>
      </c>
      <c r="K679" s="6">
        <v>161588800</v>
      </c>
      <c r="L679" s="7"/>
    </row>
    <row r="680" spans="1:12" x14ac:dyDescent="0.25">
      <c r="A680" t="s">
        <v>461</v>
      </c>
      <c r="B680" s="5">
        <v>403619</v>
      </c>
      <c r="C680" t="s">
        <v>134</v>
      </c>
      <c r="D680" s="1" t="str">
        <f t="shared" si="22"/>
        <v>40251</v>
      </c>
      <c r="E680" t="s">
        <v>10</v>
      </c>
      <c r="F680" t="s">
        <v>134</v>
      </c>
      <c r="G680" s="1" t="str">
        <f>"057"</f>
        <v>057</v>
      </c>
      <c r="H680" s="1">
        <v>2005</v>
      </c>
      <c r="I680" s="6">
        <v>16622500</v>
      </c>
      <c r="J680" s="6">
        <v>0</v>
      </c>
      <c r="K680" s="6">
        <v>16622500</v>
      </c>
      <c r="L680" s="7"/>
    </row>
    <row r="681" spans="1:12" x14ac:dyDescent="0.25">
      <c r="A681" t="s">
        <v>461</v>
      </c>
      <c r="B681" s="5">
        <v>403619</v>
      </c>
      <c r="C681" t="s">
        <v>134</v>
      </c>
      <c r="D681" s="1" t="str">
        <f t="shared" si="22"/>
        <v>40251</v>
      </c>
      <c r="E681" t="s">
        <v>10</v>
      </c>
      <c r="F681" t="s">
        <v>134</v>
      </c>
      <c r="G681" s="1" t="str">
        <f>"058"</f>
        <v>058</v>
      </c>
      <c r="H681" s="1">
        <v>2005</v>
      </c>
      <c r="I681" s="6">
        <v>4737100</v>
      </c>
      <c r="J681" s="6">
        <v>4753200</v>
      </c>
      <c r="K681" s="6">
        <v>-16100</v>
      </c>
      <c r="L681" s="7"/>
    </row>
    <row r="682" spans="1:12" x14ac:dyDescent="0.25">
      <c r="A682" t="s">
        <v>461</v>
      </c>
      <c r="B682" s="5">
        <v>403619</v>
      </c>
      <c r="C682" t="s">
        <v>134</v>
      </c>
      <c r="D682" s="1" t="str">
        <f t="shared" si="22"/>
        <v>40251</v>
      </c>
      <c r="E682" t="s">
        <v>10</v>
      </c>
      <c r="F682" t="s">
        <v>134</v>
      </c>
      <c r="G682" s="1" t="str">
        <f>"059"</f>
        <v>059</v>
      </c>
      <c r="H682" s="1">
        <v>2005</v>
      </c>
      <c r="I682" s="6">
        <v>46785500</v>
      </c>
      <c r="J682" s="6">
        <v>46021500</v>
      </c>
      <c r="K682" s="6">
        <v>764000</v>
      </c>
      <c r="L682" s="7"/>
    </row>
    <row r="683" spans="1:12" x14ac:dyDescent="0.25">
      <c r="A683" t="s">
        <v>461</v>
      </c>
      <c r="B683" s="5">
        <v>403619</v>
      </c>
      <c r="C683" t="s">
        <v>134</v>
      </c>
      <c r="D683" s="1" t="str">
        <f t="shared" si="22"/>
        <v>40251</v>
      </c>
      <c r="E683" t="s">
        <v>10</v>
      </c>
      <c r="F683" t="s">
        <v>134</v>
      </c>
      <c r="G683" s="1" t="str">
        <f>"060"</f>
        <v>060</v>
      </c>
      <c r="H683" s="1">
        <v>2005</v>
      </c>
      <c r="I683" s="6">
        <v>11733300</v>
      </c>
      <c r="J683" s="6">
        <v>2212900</v>
      </c>
      <c r="K683" s="6">
        <v>9520400</v>
      </c>
      <c r="L683" s="7"/>
    </row>
    <row r="684" spans="1:12" x14ac:dyDescent="0.25">
      <c r="A684" t="s">
        <v>461</v>
      </c>
      <c r="B684" s="5">
        <v>403619</v>
      </c>
      <c r="C684" t="s">
        <v>134</v>
      </c>
      <c r="D684" s="1" t="str">
        <f t="shared" si="22"/>
        <v>40251</v>
      </c>
      <c r="E684" t="s">
        <v>10</v>
      </c>
      <c r="F684" t="s">
        <v>134</v>
      </c>
      <c r="G684" s="1" t="str">
        <f>"062"</f>
        <v>062</v>
      </c>
      <c r="H684" s="1">
        <v>2006</v>
      </c>
      <c r="I684" s="6">
        <v>8050600</v>
      </c>
      <c r="J684" s="6">
        <v>5329800</v>
      </c>
      <c r="K684" s="6">
        <v>2720800</v>
      </c>
      <c r="L684" s="7"/>
    </row>
    <row r="685" spans="1:12" x14ac:dyDescent="0.25">
      <c r="A685" t="s">
        <v>461</v>
      </c>
      <c r="B685" s="5">
        <v>403619</v>
      </c>
      <c r="C685" t="s">
        <v>134</v>
      </c>
      <c r="D685" s="1" t="str">
        <f t="shared" si="22"/>
        <v>40251</v>
      </c>
      <c r="E685" t="s">
        <v>10</v>
      </c>
      <c r="F685" t="s">
        <v>134</v>
      </c>
      <c r="G685" s="1" t="str">
        <f>"063"</f>
        <v>063</v>
      </c>
      <c r="H685" s="1">
        <v>2006</v>
      </c>
      <c r="I685" s="6">
        <v>11733500</v>
      </c>
      <c r="J685" s="6">
        <v>8871100</v>
      </c>
      <c r="K685" s="6">
        <v>2862400</v>
      </c>
      <c r="L685" s="7"/>
    </row>
    <row r="686" spans="1:12" x14ac:dyDescent="0.25">
      <c r="A686" t="s">
        <v>461</v>
      </c>
      <c r="B686" s="5">
        <v>403619</v>
      </c>
      <c r="C686" t="s">
        <v>134</v>
      </c>
      <c r="D686" s="1" t="str">
        <f t="shared" si="22"/>
        <v>40251</v>
      </c>
      <c r="E686" t="s">
        <v>10</v>
      </c>
      <c r="F686" t="s">
        <v>134</v>
      </c>
      <c r="G686" s="1" t="str">
        <f>"064"</f>
        <v>064</v>
      </c>
      <c r="H686" s="1">
        <v>2006</v>
      </c>
      <c r="I686" s="6">
        <v>24219000</v>
      </c>
      <c r="J686" s="6">
        <v>14358000</v>
      </c>
      <c r="K686" s="6">
        <v>9861000</v>
      </c>
      <c r="L686" s="7"/>
    </row>
    <row r="687" spans="1:12" x14ac:dyDescent="0.25">
      <c r="A687" t="s">
        <v>461</v>
      </c>
      <c r="B687" s="5">
        <v>403619</v>
      </c>
      <c r="C687" t="s">
        <v>134</v>
      </c>
      <c r="D687" s="1" t="str">
        <f t="shared" si="22"/>
        <v>40251</v>
      </c>
      <c r="E687" t="s">
        <v>10</v>
      </c>
      <c r="F687" t="s">
        <v>134</v>
      </c>
      <c r="G687" s="1" t="str">
        <f>"065"</f>
        <v>065</v>
      </c>
      <c r="H687" s="1">
        <v>2006</v>
      </c>
      <c r="I687" s="6">
        <v>3277300</v>
      </c>
      <c r="J687" s="6">
        <v>3220700</v>
      </c>
      <c r="K687" s="6">
        <v>56600</v>
      </c>
      <c r="L687" s="7"/>
    </row>
    <row r="688" spans="1:12" x14ac:dyDescent="0.25">
      <c r="A688" t="s">
        <v>461</v>
      </c>
      <c r="B688" s="5">
        <v>403619</v>
      </c>
      <c r="C688" t="s">
        <v>134</v>
      </c>
      <c r="D688" s="1" t="str">
        <f t="shared" si="22"/>
        <v>40251</v>
      </c>
      <c r="E688" t="s">
        <v>10</v>
      </c>
      <c r="F688" t="s">
        <v>134</v>
      </c>
      <c r="G688" s="1" t="str">
        <f>"066"</f>
        <v>066</v>
      </c>
      <c r="H688" s="1">
        <v>2007</v>
      </c>
      <c r="I688" s="6">
        <v>28505600</v>
      </c>
      <c r="J688" s="6">
        <v>50443300</v>
      </c>
      <c r="K688" s="6">
        <v>-21937700</v>
      </c>
      <c r="L688" s="7"/>
    </row>
    <row r="689" spans="1:12" x14ac:dyDescent="0.25">
      <c r="A689" t="s">
        <v>461</v>
      </c>
      <c r="B689" s="5">
        <v>403619</v>
      </c>
      <c r="C689" t="s">
        <v>134</v>
      </c>
      <c r="D689" s="1" t="str">
        <f t="shared" si="22"/>
        <v>40251</v>
      </c>
      <c r="E689" t="s">
        <v>10</v>
      </c>
      <c r="F689" t="s">
        <v>134</v>
      </c>
      <c r="G689" s="1" t="str">
        <f>"067"</f>
        <v>067</v>
      </c>
      <c r="H689" s="1">
        <v>2007</v>
      </c>
      <c r="I689" s="6">
        <v>141576400</v>
      </c>
      <c r="J689" s="6">
        <v>9266900</v>
      </c>
      <c r="K689" s="6">
        <v>132309500</v>
      </c>
      <c r="L689" s="7"/>
    </row>
    <row r="690" spans="1:12" x14ac:dyDescent="0.25">
      <c r="A690" t="s">
        <v>461</v>
      </c>
      <c r="B690" s="5">
        <v>403619</v>
      </c>
      <c r="C690" t="s">
        <v>134</v>
      </c>
      <c r="D690" s="1" t="str">
        <f t="shared" si="22"/>
        <v>40251</v>
      </c>
      <c r="E690" t="s">
        <v>10</v>
      </c>
      <c r="F690" t="s">
        <v>134</v>
      </c>
      <c r="G690" s="1" t="str">
        <f>"068"</f>
        <v>068</v>
      </c>
      <c r="H690" s="1">
        <v>2007</v>
      </c>
      <c r="I690" s="6">
        <v>81821800</v>
      </c>
      <c r="J690" s="6">
        <v>32806800</v>
      </c>
      <c r="K690" s="6">
        <v>49015000</v>
      </c>
      <c r="L690" s="7"/>
    </row>
    <row r="691" spans="1:12" x14ac:dyDescent="0.25">
      <c r="A691" t="s">
        <v>461</v>
      </c>
      <c r="B691" s="5">
        <v>403619</v>
      </c>
      <c r="C691" t="s">
        <v>134</v>
      </c>
      <c r="D691" s="1" t="str">
        <f t="shared" si="22"/>
        <v>40251</v>
      </c>
      <c r="E691" t="s">
        <v>10</v>
      </c>
      <c r="F691" t="s">
        <v>134</v>
      </c>
      <c r="G691" s="1" t="str">
        <f>"070"</f>
        <v>070</v>
      </c>
      <c r="H691" s="1">
        <v>2007</v>
      </c>
      <c r="I691" s="6">
        <v>41906800</v>
      </c>
      <c r="J691" s="6">
        <v>14904700</v>
      </c>
      <c r="K691" s="6">
        <v>27002100</v>
      </c>
      <c r="L691" s="7"/>
    </row>
    <row r="692" spans="1:12" x14ac:dyDescent="0.25">
      <c r="A692" t="s">
        <v>461</v>
      </c>
      <c r="B692" s="5">
        <v>403619</v>
      </c>
      <c r="C692" t="s">
        <v>134</v>
      </c>
      <c r="D692" s="1" t="str">
        <f t="shared" si="22"/>
        <v>40251</v>
      </c>
      <c r="E692" t="s">
        <v>10</v>
      </c>
      <c r="F692" t="s">
        <v>134</v>
      </c>
      <c r="G692" s="1" t="str">
        <f>"071"</f>
        <v>071</v>
      </c>
      <c r="H692" s="1">
        <v>2008</v>
      </c>
      <c r="I692" s="6">
        <v>69061900</v>
      </c>
      <c r="J692" s="6">
        <v>66751300</v>
      </c>
      <c r="K692" s="6">
        <v>2310600</v>
      </c>
      <c r="L692" s="7"/>
    </row>
    <row r="693" spans="1:12" x14ac:dyDescent="0.25">
      <c r="A693" t="s">
        <v>461</v>
      </c>
      <c r="B693" s="5">
        <v>403619</v>
      </c>
      <c r="C693" t="s">
        <v>134</v>
      </c>
      <c r="D693" s="1" t="str">
        <f t="shared" si="22"/>
        <v>40251</v>
      </c>
      <c r="E693" t="s">
        <v>10</v>
      </c>
      <c r="F693" t="s">
        <v>134</v>
      </c>
      <c r="G693" s="1" t="str">
        <f>"072"</f>
        <v>072</v>
      </c>
      <c r="H693" s="1">
        <v>2009</v>
      </c>
      <c r="I693" s="6">
        <v>22047500</v>
      </c>
      <c r="J693" s="6">
        <v>24474700</v>
      </c>
      <c r="K693" s="6">
        <v>-2427200</v>
      </c>
      <c r="L693" s="7"/>
    </row>
    <row r="694" spans="1:12" x14ac:dyDescent="0.25">
      <c r="A694" t="s">
        <v>461</v>
      </c>
      <c r="B694" s="5">
        <v>403619</v>
      </c>
      <c r="C694" t="s">
        <v>134</v>
      </c>
      <c r="D694" s="1" t="str">
        <f t="shared" si="22"/>
        <v>40251</v>
      </c>
      <c r="E694" t="s">
        <v>10</v>
      </c>
      <c r="F694" t="s">
        <v>134</v>
      </c>
      <c r="G694" s="1" t="str">
        <f>"073"</f>
        <v>073</v>
      </c>
      <c r="H694" s="1">
        <v>2009</v>
      </c>
      <c r="I694" s="6">
        <v>8685300</v>
      </c>
      <c r="J694" s="6">
        <v>4602800</v>
      </c>
      <c r="K694" s="6">
        <v>4082500</v>
      </c>
      <c r="L694" s="7"/>
    </row>
    <row r="695" spans="1:12" x14ac:dyDescent="0.25">
      <c r="A695" t="s">
        <v>461</v>
      </c>
      <c r="B695" s="5">
        <v>403619</v>
      </c>
      <c r="C695" t="s">
        <v>134</v>
      </c>
      <c r="D695" s="1" t="str">
        <f t="shared" si="22"/>
        <v>40251</v>
      </c>
      <c r="E695" t="s">
        <v>10</v>
      </c>
      <c r="F695" t="s">
        <v>134</v>
      </c>
      <c r="G695" s="1" t="str">
        <f>"074"</f>
        <v>074</v>
      </c>
      <c r="H695" s="1">
        <v>2009</v>
      </c>
      <c r="I695" s="6">
        <v>54378700</v>
      </c>
      <c r="J695" s="6">
        <v>63334700</v>
      </c>
      <c r="K695" s="6">
        <v>-8956000</v>
      </c>
      <c r="L695" s="7"/>
    </row>
    <row r="696" spans="1:12" x14ac:dyDescent="0.25">
      <c r="A696" t="s">
        <v>461</v>
      </c>
      <c r="B696" s="5">
        <v>403619</v>
      </c>
      <c r="C696" t="s">
        <v>134</v>
      </c>
      <c r="D696" s="1" t="str">
        <f t="shared" si="22"/>
        <v>40251</v>
      </c>
      <c r="E696" t="s">
        <v>10</v>
      </c>
      <c r="F696" t="s">
        <v>134</v>
      </c>
      <c r="G696" s="1" t="str">
        <f>"075"</f>
        <v>075</v>
      </c>
      <c r="H696" s="1">
        <v>2009</v>
      </c>
      <c r="I696" s="6">
        <v>121333300</v>
      </c>
      <c r="J696" s="6">
        <v>26470500</v>
      </c>
      <c r="K696" s="6">
        <v>94862800</v>
      </c>
      <c r="L696" s="7"/>
    </row>
    <row r="697" spans="1:12" x14ac:dyDescent="0.25">
      <c r="A697" t="s">
        <v>461</v>
      </c>
      <c r="B697" s="5">
        <v>403619</v>
      </c>
      <c r="C697" t="s">
        <v>134</v>
      </c>
      <c r="D697" s="1" t="str">
        <f t="shared" si="22"/>
        <v>40251</v>
      </c>
      <c r="E697" t="s">
        <v>10</v>
      </c>
      <c r="F697" t="s">
        <v>134</v>
      </c>
      <c r="G697" s="1" t="str">
        <f>"076"</f>
        <v>076</v>
      </c>
      <c r="H697" s="1">
        <v>2010</v>
      </c>
      <c r="I697" s="6">
        <v>20587000</v>
      </c>
      <c r="J697" s="6">
        <v>16113000</v>
      </c>
      <c r="K697" s="6">
        <v>4474000</v>
      </c>
      <c r="L697" s="7"/>
    </row>
    <row r="698" spans="1:12" x14ac:dyDescent="0.25">
      <c r="A698" t="s">
        <v>461</v>
      </c>
      <c r="B698" s="5">
        <v>403619</v>
      </c>
      <c r="C698" t="s">
        <v>134</v>
      </c>
      <c r="D698" s="1" t="str">
        <f t="shared" si="22"/>
        <v>40251</v>
      </c>
      <c r="E698" t="s">
        <v>10</v>
      </c>
      <c r="F698" t="s">
        <v>134</v>
      </c>
      <c r="G698" s="1" t="str">
        <f>"077"</f>
        <v>077</v>
      </c>
      <c r="H698" s="1">
        <v>2012</v>
      </c>
      <c r="I698" s="6">
        <v>9226900</v>
      </c>
      <c r="J698" s="6">
        <v>3368100</v>
      </c>
      <c r="K698" s="6">
        <v>5858800</v>
      </c>
      <c r="L698" s="7"/>
    </row>
    <row r="699" spans="1:12" x14ac:dyDescent="0.25">
      <c r="A699" t="s">
        <v>461</v>
      </c>
      <c r="B699" s="5">
        <v>403619</v>
      </c>
      <c r="C699" t="s">
        <v>134</v>
      </c>
      <c r="D699" s="1" t="str">
        <f t="shared" si="22"/>
        <v>40251</v>
      </c>
      <c r="E699" t="s">
        <v>10</v>
      </c>
      <c r="F699" t="s">
        <v>134</v>
      </c>
      <c r="G699" s="1" t="str">
        <f>"078"</f>
        <v>078</v>
      </c>
      <c r="H699" s="1">
        <v>2013</v>
      </c>
      <c r="I699" s="6">
        <v>303935900</v>
      </c>
      <c r="J699" s="6">
        <v>49588500</v>
      </c>
      <c r="K699" s="6">
        <v>254347400</v>
      </c>
      <c r="L699" s="7"/>
    </row>
    <row r="700" spans="1:12" x14ac:dyDescent="0.25">
      <c r="A700" t="s">
        <v>461</v>
      </c>
      <c r="B700" s="5">
        <v>403619</v>
      </c>
      <c r="C700" t="s">
        <v>134</v>
      </c>
      <c r="D700" s="1" t="str">
        <f t="shared" si="22"/>
        <v>40251</v>
      </c>
      <c r="E700" t="s">
        <v>10</v>
      </c>
      <c r="F700" t="s">
        <v>134</v>
      </c>
      <c r="G700" s="1" t="str">
        <f>"079"</f>
        <v>079</v>
      </c>
      <c r="H700" s="1">
        <v>2013</v>
      </c>
      <c r="I700" s="6">
        <v>65195700</v>
      </c>
      <c r="J700" s="6">
        <v>13718700</v>
      </c>
      <c r="K700" s="6">
        <v>51477000</v>
      </c>
      <c r="L700" s="7"/>
    </row>
    <row r="701" spans="1:12" x14ac:dyDescent="0.25">
      <c r="A701" t="s">
        <v>461</v>
      </c>
      <c r="B701" s="5">
        <v>403619</v>
      </c>
      <c r="C701" t="s">
        <v>134</v>
      </c>
      <c r="D701" s="1" t="str">
        <f t="shared" si="22"/>
        <v>40251</v>
      </c>
      <c r="E701" t="s">
        <v>10</v>
      </c>
      <c r="F701" t="s">
        <v>134</v>
      </c>
      <c r="G701" s="1" t="str">
        <f>"080"</f>
        <v>080</v>
      </c>
      <c r="H701" s="1">
        <v>2014</v>
      </c>
      <c r="I701" s="6">
        <v>13584000</v>
      </c>
      <c r="J701" s="6">
        <v>3500300</v>
      </c>
      <c r="K701" s="6">
        <v>10083700</v>
      </c>
      <c r="L701" s="7"/>
    </row>
    <row r="702" spans="1:12" x14ac:dyDescent="0.25">
      <c r="A702" t="s">
        <v>461</v>
      </c>
      <c r="B702" s="5">
        <v>403619</v>
      </c>
      <c r="C702" t="s">
        <v>134</v>
      </c>
      <c r="D702" s="1" t="str">
        <f t="shared" si="22"/>
        <v>40251</v>
      </c>
      <c r="E702" t="s">
        <v>10</v>
      </c>
      <c r="F702" t="s">
        <v>134</v>
      </c>
      <c r="G702" s="1" t="str">
        <f>"081"</f>
        <v>081</v>
      </c>
      <c r="H702" s="1">
        <v>2015</v>
      </c>
      <c r="I702" s="6">
        <v>20451400</v>
      </c>
      <c r="J702" s="6">
        <v>2689200</v>
      </c>
      <c r="K702" s="6">
        <v>17762200</v>
      </c>
      <c r="L702" s="7"/>
    </row>
    <row r="703" spans="1:12" x14ac:dyDescent="0.25">
      <c r="A703" t="s">
        <v>461</v>
      </c>
      <c r="B703" s="5">
        <v>403619</v>
      </c>
      <c r="C703" t="s">
        <v>134</v>
      </c>
      <c r="D703" s="1" t="str">
        <f t="shared" si="22"/>
        <v>40251</v>
      </c>
      <c r="E703" t="s">
        <v>10</v>
      </c>
      <c r="F703" t="s">
        <v>134</v>
      </c>
      <c r="G703" s="1" t="str">
        <f>"082"</f>
        <v>082</v>
      </c>
      <c r="H703" s="1">
        <v>2015</v>
      </c>
      <c r="I703" s="6">
        <v>99245000</v>
      </c>
      <c r="J703" s="6">
        <v>5474100</v>
      </c>
      <c r="K703" s="6">
        <v>93770900</v>
      </c>
      <c r="L703" s="7"/>
    </row>
    <row r="704" spans="1:12" x14ac:dyDescent="0.25">
      <c r="A704" t="s">
        <v>461</v>
      </c>
      <c r="B704" s="5">
        <v>403619</v>
      </c>
      <c r="C704" t="s">
        <v>134</v>
      </c>
      <c r="D704" s="1" t="str">
        <f t="shared" si="22"/>
        <v>40251</v>
      </c>
      <c r="E704" t="s">
        <v>10</v>
      </c>
      <c r="F704" t="s">
        <v>134</v>
      </c>
      <c r="G704" s="1" t="str">
        <f>"083"</f>
        <v>083</v>
      </c>
      <c r="H704" s="1">
        <v>2015</v>
      </c>
      <c r="I704" s="6">
        <v>25472900</v>
      </c>
      <c r="J704" s="6">
        <v>5774200</v>
      </c>
      <c r="K704" s="6">
        <v>19698700</v>
      </c>
      <c r="L704" s="7"/>
    </row>
    <row r="705" spans="1:12" x14ac:dyDescent="0.25">
      <c r="A705" t="s">
        <v>461</v>
      </c>
      <c r="B705" s="5">
        <v>403619</v>
      </c>
      <c r="C705" t="s">
        <v>134</v>
      </c>
      <c r="D705" s="1" t="str">
        <f t="shared" si="22"/>
        <v>40251</v>
      </c>
      <c r="E705" t="s">
        <v>10</v>
      </c>
      <c r="F705" t="s">
        <v>134</v>
      </c>
      <c r="G705" s="1" t="str">
        <f>"084"</f>
        <v>084</v>
      </c>
      <c r="H705" s="1">
        <v>2015</v>
      </c>
      <c r="I705" s="6">
        <v>107799500</v>
      </c>
      <c r="J705" s="6">
        <v>60111100</v>
      </c>
      <c r="K705" s="6">
        <v>47688400</v>
      </c>
      <c r="L705" s="7"/>
    </row>
    <row r="706" spans="1:12" x14ac:dyDescent="0.25">
      <c r="A706" t="s">
        <v>461</v>
      </c>
      <c r="B706" s="5">
        <v>403619</v>
      </c>
      <c r="C706" t="s">
        <v>134</v>
      </c>
      <c r="D706" s="1" t="str">
        <f t="shared" si="22"/>
        <v>40251</v>
      </c>
      <c r="E706" t="s">
        <v>10</v>
      </c>
      <c r="F706" t="s">
        <v>134</v>
      </c>
      <c r="G706" s="1" t="str">
        <f>"085"</f>
        <v>085</v>
      </c>
      <c r="H706" s="1">
        <v>2015</v>
      </c>
      <c r="I706" s="6">
        <v>39621800</v>
      </c>
      <c r="J706" s="6">
        <v>32096600</v>
      </c>
      <c r="K706" s="6">
        <v>7525200</v>
      </c>
      <c r="L706" s="7"/>
    </row>
    <row r="707" spans="1:12" x14ac:dyDescent="0.25">
      <c r="A707" t="s">
        <v>461</v>
      </c>
      <c r="B707" s="5">
        <v>403619</v>
      </c>
      <c r="C707" t="s">
        <v>134</v>
      </c>
      <c r="D707" s="1" t="str">
        <f t="shared" si="22"/>
        <v>40251</v>
      </c>
      <c r="E707" t="s">
        <v>10</v>
      </c>
      <c r="F707" t="s">
        <v>134</v>
      </c>
      <c r="G707" s="1" t="str">
        <f>"086"</f>
        <v>086</v>
      </c>
      <c r="H707" s="1">
        <v>2016</v>
      </c>
      <c r="I707" s="6">
        <v>4520600</v>
      </c>
      <c r="J707" s="6">
        <v>3311300</v>
      </c>
      <c r="K707" s="6">
        <v>1209300</v>
      </c>
      <c r="L707" s="7"/>
    </row>
    <row r="708" spans="1:12" x14ac:dyDescent="0.25">
      <c r="A708" t="s">
        <v>461</v>
      </c>
      <c r="B708" s="5">
        <v>403619</v>
      </c>
      <c r="C708" t="s">
        <v>134</v>
      </c>
      <c r="D708" s="1" t="str">
        <f t="shared" si="22"/>
        <v>40251</v>
      </c>
      <c r="E708" t="s">
        <v>10</v>
      </c>
      <c r="F708" t="s">
        <v>134</v>
      </c>
      <c r="G708" s="1" t="str">
        <f>"087"</f>
        <v>087</v>
      </c>
      <c r="H708" s="1">
        <v>2016</v>
      </c>
      <c r="I708" s="6">
        <v>3409700</v>
      </c>
      <c r="J708" s="6">
        <v>380600</v>
      </c>
      <c r="K708" s="6">
        <v>3029100</v>
      </c>
      <c r="L708" s="7"/>
    </row>
    <row r="709" spans="1:12" x14ac:dyDescent="0.25">
      <c r="A709" t="s">
        <v>461</v>
      </c>
      <c r="B709" s="5">
        <v>403619</v>
      </c>
      <c r="C709" t="s">
        <v>134</v>
      </c>
      <c r="D709" s="1" t="str">
        <f t="shared" si="22"/>
        <v>40251</v>
      </c>
      <c r="E709" t="s">
        <v>10</v>
      </c>
      <c r="F709" t="s">
        <v>134</v>
      </c>
      <c r="G709" s="1" t="str">
        <f>"088"</f>
        <v>088</v>
      </c>
      <c r="H709" s="1">
        <v>2016</v>
      </c>
      <c r="I709" s="6">
        <v>4318600</v>
      </c>
      <c r="J709" s="6">
        <v>4207500</v>
      </c>
      <c r="K709" s="6">
        <v>111100</v>
      </c>
      <c r="L709" s="7"/>
    </row>
    <row r="710" spans="1:12" x14ac:dyDescent="0.25">
      <c r="A710" t="s">
        <v>461</v>
      </c>
      <c r="B710" s="5">
        <v>403619</v>
      </c>
      <c r="C710" t="s">
        <v>134</v>
      </c>
      <c r="D710" s="1" t="str">
        <f t="shared" si="22"/>
        <v>40251</v>
      </c>
      <c r="E710" t="s">
        <v>10</v>
      </c>
      <c r="F710" t="s">
        <v>134</v>
      </c>
      <c r="G710" s="1" t="str">
        <f>"089"</f>
        <v>089</v>
      </c>
      <c r="H710" s="1">
        <v>2017</v>
      </c>
      <c r="I710" s="6">
        <v>2960600</v>
      </c>
      <c r="J710" s="6">
        <v>0</v>
      </c>
      <c r="K710" s="6">
        <v>2960600</v>
      </c>
      <c r="L710" s="7"/>
    </row>
    <row r="711" spans="1:12" x14ac:dyDescent="0.25">
      <c r="A711" t="s">
        <v>461</v>
      </c>
      <c r="B711" s="5">
        <v>403619</v>
      </c>
      <c r="C711" t="s">
        <v>134</v>
      </c>
      <c r="D711" s="1" t="str">
        <f t="shared" si="22"/>
        <v>40251</v>
      </c>
      <c r="E711" t="s">
        <v>10</v>
      </c>
      <c r="F711" t="s">
        <v>134</v>
      </c>
      <c r="G711" s="1" t="str">
        <f>"090"</f>
        <v>090</v>
      </c>
      <c r="H711" s="1">
        <v>2017</v>
      </c>
      <c r="I711" s="6">
        <v>2200300</v>
      </c>
      <c r="J711" s="6">
        <v>276600</v>
      </c>
      <c r="K711" s="6">
        <v>1923700</v>
      </c>
      <c r="L711" s="7"/>
    </row>
    <row r="712" spans="1:12" x14ac:dyDescent="0.25">
      <c r="A712" t="s">
        <v>461</v>
      </c>
      <c r="B712" s="5">
        <v>403619</v>
      </c>
      <c r="C712" t="s">
        <v>134</v>
      </c>
      <c r="D712" s="1" t="str">
        <f t="shared" si="22"/>
        <v>40251</v>
      </c>
      <c r="E712" t="s">
        <v>10</v>
      </c>
      <c r="F712" t="s">
        <v>134</v>
      </c>
      <c r="G712" s="1" t="str">
        <f>"091"</f>
        <v>091</v>
      </c>
      <c r="H712" s="1">
        <v>2017</v>
      </c>
      <c r="I712" s="6">
        <v>53188600</v>
      </c>
      <c r="J712" s="6">
        <v>62670400</v>
      </c>
      <c r="K712" s="6">
        <v>-9481800</v>
      </c>
      <c r="L712" s="7"/>
    </row>
    <row r="713" spans="1:12" x14ac:dyDescent="0.25">
      <c r="A713" t="s">
        <v>461</v>
      </c>
      <c r="B713" s="5">
        <v>403619</v>
      </c>
      <c r="C713" t="s">
        <v>134</v>
      </c>
      <c r="D713" s="1" t="str">
        <f t="shared" si="22"/>
        <v>40251</v>
      </c>
      <c r="E713" t="s">
        <v>10</v>
      </c>
      <c r="F713" t="s">
        <v>134</v>
      </c>
      <c r="G713" s="1" t="str">
        <f>"092"</f>
        <v>092</v>
      </c>
      <c r="H713" s="1">
        <v>2017</v>
      </c>
      <c r="I713" s="6">
        <v>1376900</v>
      </c>
      <c r="J713" s="6">
        <v>1122000</v>
      </c>
      <c r="K713" s="6">
        <v>254900</v>
      </c>
      <c r="L713" s="7"/>
    </row>
    <row r="714" spans="1:12" x14ac:dyDescent="0.25">
      <c r="A714" t="s">
        <v>461</v>
      </c>
      <c r="B714" s="5">
        <v>403619</v>
      </c>
      <c r="C714" t="s">
        <v>134</v>
      </c>
      <c r="D714" s="1" t="str">
        <f t="shared" si="22"/>
        <v>40251</v>
      </c>
      <c r="E714" t="s">
        <v>10</v>
      </c>
      <c r="F714" t="s">
        <v>134</v>
      </c>
      <c r="G714" s="1" t="str">
        <f>"093"</f>
        <v>093</v>
      </c>
      <c r="H714" s="1">
        <v>2018</v>
      </c>
      <c r="I714" s="6">
        <v>2636500</v>
      </c>
      <c r="J714" s="6">
        <v>756900</v>
      </c>
      <c r="K714" s="6">
        <v>1879600</v>
      </c>
      <c r="L714" s="7"/>
    </row>
    <row r="715" spans="1:12" x14ac:dyDescent="0.25">
      <c r="A715" t="s">
        <v>462</v>
      </c>
      <c r="B715" s="5">
        <v>363661</v>
      </c>
      <c r="C715" t="s">
        <v>234</v>
      </c>
      <c r="D715" s="1" t="str">
        <f>"36126"</f>
        <v>36126</v>
      </c>
      <c r="E715" t="s">
        <v>15</v>
      </c>
      <c r="F715" t="s">
        <v>463</v>
      </c>
      <c r="G715" s="1" t="str">
        <f>"002"</f>
        <v>002</v>
      </c>
      <c r="H715" s="1">
        <v>2004</v>
      </c>
      <c r="I715" s="6">
        <v>1379500</v>
      </c>
      <c r="J715" s="6">
        <v>219600</v>
      </c>
      <c r="K715" s="6">
        <v>1159900</v>
      </c>
      <c r="L715" s="7"/>
    </row>
    <row r="716" spans="1:12" x14ac:dyDescent="0.25">
      <c r="A716" t="s">
        <v>464</v>
      </c>
      <c r="B716" s="5">
        <v>63668</v>
      </c>
      <c r="C716" t="s">
        <v>23</v>
      </c>
      <c r="D716" s="1" t="str">
        <f>"06251"</f>
        <v>06251</v>
      </c>
      <c r="E716" t="s">
        <v>10</v>
      </c>
      <c r="F716" t="s">
        <v>465</v>
      </c>
      <c r="G716" s="1" t="str">
        <f>"001"</f>
        <v>001</v>
      </c>
      <c r="H716" s="1">
        <v>1989</v>
      </c>
      <c r="I716" s="6">
        <v>13383700</v>
      </c>
      <c r="J716" s="6">
        <v>116300</v>
      </c>
      <c r="K716" s="6">
        <v>13267400</v>
      </c>
      <c r="L716" s="7"/>
    </row>
    <row r="717" spans="1:12" x14ac:dyDescent="0.25">
      <c r="A717" t="s">
        <v>464</v>
      </c>
      <c r="B717" s="5">
        <v>63668</v>
      </c>
      <c r="C717" t="s">
        <v>23</v>
      </c>
      <c r="D717" s="1" t="str">
        <f>"06251"</f>
        <v>06251</v>
      </c>
      <c r="E717" t="s">
        <v>10</v>
      </c>
      <c r="F717" t="s">
        <v>465</v>
      </c>
      <c r="G717" s="1" t="str">
        <f>"002"</f>
        <v>002</v>
      </c>
      <c r="H717" s="1">
        <v>2005</v>
      </c>
      <c r="I717" s="6">
        <v>10882200</v>
      </c>
      <c r="J717" s="6">
        <v>19900</v>
      </c>
      <c r="K717" s="6">
        <v>10862300</v>
      </c>
      <c r="L717" s="7"/>
    </row>
    <row r="718" spans="1:12" x14ac:dyDescent="0.25">
      <c r="A718" t="s">
        <v>466</v>
      </c>
      <c r="B718" s="5">
        <v>133675</v>
      </c>
      <c r="C718" t="s">
        <v>89</v>
      </c>
      <c r="D718" s="1" t="str">
        <f>"13112"</f>
        <v>13112</v>
      </c>
      <c r="E718" t="s">
        <v>15</v>
      </c>
      <c r="F718" t="s">
        <v>467</v>
      </c>
      <c r="G718" s="1" t="str">
        <f>"005"</f>
        <v>005</v>
      </c>
      <c r="H718" s="1">
        <v>2003</v>
      </c>
      <c r="I718" s="6">
        <v>66224500</v>
      </c>
      <c r="J718" s="6">
        <v>1358400</v>
      </c>
      <c r="K718" s="6">
        <v>64866100</v>
      </c>
      <c r="L718" s="7"/>
    </row>
    <row r="719" spans="1:12" x14ac:dyDescent="0.25">
      <c r="A719" t="s">
        <v>466</v>
      </c>
      <c r="B719" s="5">
        <v>133675</v>
      </c>
      <c r="C719" t="s">
        <v>89</v>
      </c>
      <c r="D719" s="1" t="str">
        <f>"13112"</f>
        <v>13112</v>
      </c>
      <c r="E719" t="s">
        <v>15</v>
      </c>
      <c r="F719" t="s">
        <v>467</v>
      </c>
      <c r="G719" s="1" t="str">
        <f>"006"</f>
        <v>006</v>
      </c>
      <c r="H719" s="1">
        <v>2005</v>
      </c>
      <c r="I719" s="6">
        <v>8649100</v>
      </c>
      <c r="J719" s="6">
        <v>6068800</v>
      </c>
      <c r="K719" s="6">
        <v>2580300</v>
      </c>
      <c r="L719" s="7"/>
    </row>
    <row r="720" spans="1:12" x14ac:dyDescent="0.25">
      <c r="A720" t="s">
        <v>466</v>
      </c>
      <c r="B720" s="5">
        <v>133675</v>
      </c>
      <c r="C720" t="s">
        <v>89</v>
      </c>
      <c r="D720" s="1" t="str">
        <f>"13112"</f>
        <v>13112</v>
      </c>
      <c r="E720" t="s">
        <v>15</v>
      </c>
      <c r="F720" t="s">
        <v>467</v>
      </c>
      <c r="G720" s="1" t="str">
        <f>"007"</f>
        <v>007</v>
      </c>
      <c r="H720" s="1">
        <v>2005</v>
      </c>
      <c r="I720" s="6">
        <v>47339200</v>
      </c>
      <c r="J720" s="6">
        <v>14419000</v>
      </c>
      <c r="K720" s="6">
        <v>32920200</v>
      </c>
      <c r="L720" s="7"/>
    </row>
    <row r="721" spans="1:12" x14ac:dyDescent="0.25">
      <c r="A721" t="s">
        <v>466</v>
      </c>
      <c r="B721" s="5">
        <v>133675</v>
      </c>
      <c r="C721" t="s">
        <v>89</v>
      </c>
      <c r="D721" s="1" t="str">
        <f>"13112"</f>
        <v>13112</v>
      </c>
      <c r="E721" t="s">
        <v>15</v>
      </c>
      <c r="F721" t="s">
        <v>467</v>
      </c>
      <c r="G721" s="1" t="str">
        <f>"008"</f>
        <v>008</v>
      </c>
      <c r="H721" s="1">
        <v>2018</v>
      </c>
      <c r="I721" s="6">
        <v>2715600</v>
      </c>
      <c r="J721" s="6">
        <v>2611600</v>
      </c>
      <c r="K721" s="6">
        <v>104000</v>
      </c>
      <c r="L721" s="7"/>
    </row>
    <row r="722" spans="1:12" x14ac:dyDescent="0.25">
      <c r="A722" t="s">
        <v>466</v>
      </c>
      <c r="B722" s="5">
        <v>133675</v>
      </c>
      <c r="C722" t="s">
        <v>89</v>
      </c>
      <c r="D722" s="1" t="str">
        <f>"13112"</f>
        <v>13112</v>
      </c>
      <c r="E722" t="s">
        <v>15</v>
      </c>
      <c r="F722" t="s">
        <v>467</v>
      </c>
      <c r="G722" s="1" t="str">
        <f>"009"</f>
        <v>009</v>
      </c>
      <c r="H722" s="1">
        <v>2018</v>
      </c>
      <c r="I722" s="6">
        <v>9971900</v>
      </c>
      <c r="J722" s="6">
        <v>9893500</v>
      </c>
      <c r="K722" s="6">
        <v>78400</v>
      </c>
      <c r="L722" s="7"/>
    </row>
    <row r="723" spans="1:12" x14ac:dyDescent="0.25">
      <c r="A723" t="s">
        <v>466</v>
      </c>
      <c r="B723" s="5">
        <v>133675</v>
      </c>
      <c r="C723" t="s">
        <v>89</v>
      </c>
      <c r="D723" s="1" t="str">
        <f t="shared" ref="D723:D728" si="23">"13258"</f>
        <v>13258</v>
      </c>
      <c r="E723" t="s">
        <v>10</v>
      </c>
      <c r="F723" t="s">
        <v>468</v>
      </c>
      <c r="G723" s="1" t="str">
        <f>"004"</f>
        <v>004</v>
      </c>
      <c r="H723" s="1">
        <v>2000</v>
      </c>
      <c r="I723" s="6">
        <v>68952900</v>
      </c>
      <c r="J723" s="6">
        <v>29942500</v>
      </c>
      <c r="K723" s="6">
        <v>39010400</v>
      </c>
      <c r="L723" s="7"/>
    </row>
    <row r="724" spans="1:12" x14ac:dyDescent="0.25">
      <c r="A724" t="s">
        <v>466</v>
      </c>
      <c r="B724" s="5">
        <v>133675</v>
      </c>
      <c r="C724" t="s">
        <v>89</v>
      </c>
      <c r="D724" s="1" t="str">
        <f t="shared" si="23"/>
        <v>13258</v>
      </c>
      <c r="E724" t="s">
        <v>10</v>
      </c>
      <c r="F724" t="s">
        <v>468</v>
      </c>
      <c r="G724" s="1" t="str">
        <f>"005"</f>
        <v>005</v>
      </c>
      <c r="H724" s="1">
        <v>2008</v>
      </c>
      <c r="I724" s="6">
        <v>28054500</v>
      </c>
      <c r="J724" s="6">
        <v>8979700</v>
      </c>
      <c r="K724" s="6">
        <v>19074800</v>
      </c>
      <c r="L724" s="7"/>
    </row>
    <row r="725" spans="1:12" x14ac:dyDescent="0.25">
      <c r="A725" t="s">
        <v>466</v>
      </c>
      <c r="B725" s="5">
        <v>133675</v>
      </c>
      <c r="C725" t="s">
        <v>89</v>
      </c>
      <c r="D725" s="1" t="str">
        <f t="shared" si="23"/>
        <v>13258</v>
      </c>
      <c r="E725" t="s">
        <v>10</v>
      </c>
      <c r="F725" t="s">
        <v>468</v>
      </c>
      <c r="G725" s="1" t="str">
        <f>"006"</f>
        <v>006</v>
      </c>
      <c r="H725" s="1">
        <v>2010</v>
      </c>
      <c r="I725" s="6">
        <v>44671200</v>
      </c>
      <c r="J725" s="6">
        <v>17693000</v>
      </c>
      <c r="K725" s="6">
        <v>26978200</v>
      </c>
      <c r="L725" s="7"/>
    </row>
    <row r="726" spans="1:12" x14ac:dyDescent="0.25">
      <c r="A726" t="s">
        <v>466</v>
      </c>
      <c r="B726" s="5">
        <v>133675</v>
      </c>
      <c r="C726" t="s">
        <v>89</v>
      </c>
      <c r="D726" s="1" t="str">
        <f t="shared" si="23"/>
        <v>13258</v>
      </c>
      <c r="E726" t="s">
        <v>10</v>
      </c>
      <c r="F726" t="s">
        <v>468</v>
      </c>
      <c r="G726" s="1" t="str">
        <f>"007"</f>
        <v>007</v>
      </c>
      <c r="H726" s="1">
        <v>2012</v>
      </c>
      <c r="I726" s="6">
        <v>17204800</v>
      </c>
      <c r="J726" s="6">
        <v>8247500</v>
      </c>
      <c r="K726" s="6">
        <v>8957300</v>
      </c>
      <c r="L726" s="7"/>
    </row>
    <row r="727" spans="1:12" x14ac:dyDescent="0.25">
      <c r="A727" t="s">
        <v>466</v>
      </c>
      <c r="B727" s="5">
        <v>133675</v>
      </c>
      <c r="C727" t="s">
        <v>89</v>
      </c>
      <c r="D727" s="1" t="str">
        <f t="shared" si="23"/>
        <v>13258</v>
      </c>
      <c r="E727" t="s">
        <v>10</v>
      </c>
      <c r="F727" t="s">
        <v>468</v>
      </c>
      <c r="G727" s="1" t="str">
        <f>"008"</f>
        <v>008</v>
      </c>
      <c r="H727" s="1">
        <v>2012</v>
      </c>
      <c r="I727" s="6">
        <v>26908000</v>
      </c>
      <c r="J727" s="6">
        <v>416000</v>
      </c>
      <c r="K727" s="6">
        <v>26492000</v>
      </c>
      <c r="L727" s="7"/>
    </row>
    <row r="728" spans="1:12" x14ac:dyDescent="0.25">
      <c r="A728" t="s">
        <v>466</v>
      </c>
      <c r="B728" s="5">
        <v>133675</v>
      </c>
      <c r="C728" t="s">
        <v>89</v>
      </c>
      <c r="D728" s="1" t="str">
        <f t="shared" si="23"/>
        <v>13258</v>
      </c>
      <c r="E728" t="s">
        <v>10</v>
      </c>
      <c r="F728" t="s">
        <v>468</v>
      </c>
      <c r="G728" s="1" t="str">
        <f>"009"</f>
        <v>009</v>
      </c>
      <c r="H728" s="1">
        <v>2015</v>
      </c>
      <c r="I728" s="6">
        <v>14625000</v>
      </c>
      <c r="J728" s="6">
        <v>7246100</v>
      </c>
      <c r="K728" s="6">
        <v>7378900</v>
      </c>
      <c r="L728" s="7"/>
    </row>
    <row r="729" spans="1:12" x14ac:dyDescent="0.25">
      <c r="A729" t="s">
        <v>469</v>
      </c>
      <c r="B729" s="5">
        <v>233682</v>
      </c>
      <c r="C729" t="s">
        <v>91</v>
      </c>
      <c r="D729" s="1" t="str">
        <f t="shared" ref="D729:D734" si="24">"23251"</f>
        <v>23251</v>
      </c>
      <c r="E729" t="s">
        <v>10</v>
      </c>
      <c r="F729" t="s">
        <v>70</v>
      </c>
      <c r="G729" s="1" t="str">
        <f>"005"</f>
        <v>005</v>
      </c>
      <c r="H729" s="1">
        <v>1996</v>
      </c>
      <c r="I729" s="6">
        <v>20322200</v>
      </c>
      <c r="J729" s="6">
        <v>6404200</v>
      </c>
      <c r="K729" s="6">
        <v>13918000</v>
      </c>
      <c r="L729" s="7"/>
    </row>
    <row r="730" spans="1:12" x14ac:dyDescent="0.25">
      <c r="A730" t="s">
        <v>469</v>
      </c>
      <c r="B730" s="5">
        <v>233682</v>
      </c>
      <c r="C730" t="s">
        <v>91</v>
      </c>
      <c r="D730" s="1" t="str">
        <f t="shared" si="24"/>
        <v>23251</v>
      </c>
      <c r="E730" t="s">
        <v>10</v>
      </c>
      <c r="F730" t="s">
        <v>70</v>
      </c>
      <c r="G730" s="1" t="str">
        <f>"006"</f>
        <v>006</v>
      </c>
      <c r="H730" s="1">
        <v>2003</v>
      </c>
      <c r="I730" s="6">
        <v>20824000</v>
      </c>
      <c r="J730" s="6">
        <v>10143200</v>
      </c>
      <c r="K730" s="6">
        <v>10680800</v>
      </c>
      <c r="L730" s="7"/>
    </row>
    <row r="731" spans="1:12" x14ac:dyDescent="0.25">
      <c r="A731" t="s">
        <v>469</v>
      </c>
      <c r="B731" s="5">
        <v>233682</v>
      </c>
      <c r="C731" t="s">
        <v>91</v>
      </c>
      <c r="D731" s="1" t="str">
        <f t="shared" si="24"/>
        <v>23251</v>
      </c>
      <c r="E731" t="s">
        <v>10</v>
      </c>
      <c r="F731" t="s">
        <v>70</v>
      </c>
      <c r="G731" s="1" t="str">
        <f>"007"</f>
        <v>007</v>
      </c>
      <c r="H731" s="1">
        <v>2005</v>
      </c>
      <c r="I731" s="6">
        <v>43721700</v>
      </c>
      <c r="J731" s="6">
        <v>32349800</v>
      </c>
      <c r="K731" s="6">
        <v>11371900</v>
      </c>
      <c r="L731" s="7"/>
    </row>
    <row r="732" spans="1:12" x14ac:dyDescent="0.25">
      <c r="A732" t="s">
        <v>469</v>
      </c>
      <c r="B732" s="5">
        <v>233682</v>
      </c>
      <c r="C732" t="s">
        <v>91</v>
      </c>
      <c r="D732" s="1" t="str">
        <f t="shared" si="24"/>
        <v>23251</v>
      </c>
      <c r="E732" t="s">
        <v>10</v>
      </c>
      <c r="F732" t="s">
        <v>70</v>
      </c>
      <c r="G732" s="1" t="str">
        <f>"008"</f>
        <v>008</v>
      </c>
      <c r="H732" s="1">
        <v>2007</v>
      </c>
      <c r="I732" s="6">
        <v>4741600</v>
      </c>
      <c r="J732" s="6">
        <v>2332700</v>
      </c>
      <c r="K732" s="6">
        <v>2408900</v>
      </c>
      <c r="L732" s="7"/>
    </row>
    <row r="733" spans="1:12" x14ac:dyDescent="0.25">
      <c r="A733" t="s">
        <v>469</v>
      </c>
      <c r="B733" s="5">
        <v>233682</v>
      </c>
      <c r="C733" t="s">
        <v>91</v>
      </c>
      <c r="D733" s="1" t="str">
        <f t="shared" si="24"/>
        <v>23251</v>
      </c>
      <c r="E733" t="s">
        <v>10</v>
      </c>
      <c r="F733" t="s">
        <v>70</v>
      </c>
      <c r="G733" s="1" t="str">
        <f>"009"</f>
        <v>009</v>
      </c>
      <c r="H733" s="1">
        <v>2018</v>
      </c>
      <c r="I733" s="6">
        <v>21740600</v>
      </c>
      <c r="J733" s="6">
        <v>21014500</v>
      </c>
      <c r="K733" s="6">
        <v>726100</v>
      </c>
      <c r="L733" s="7"/>
    </row>
    <row r="734" spans="1:12" x14ac:dyDescent="0.25">
      <c r="A734" t="s">
        <v>469</v>
      </c>
      <c r="B734" s="5">
        <v>233682</v>
      </c>
      <c r="C734" t="s">
        <v>91</v>
      </c>
      <c r="D734" s="1" t="str">
        <f t="shared" si="24"/>
        <v>23251</v>
      </c>
      <c r="E734" t="s">
        <v>10</v>
      </c>
      <c r="F734" t="s">
        <v>70</v>
      </c>
      <c r="G734" s="1" t="str">
        <f>"010"</f>
        <v>010</v>
      </c>
      <c r="H734" s="1">
        <v>2017</v>
      </c>
      <c r="I734" s="6">
        <v>17573200</v>
      </c>
      <c r="J734" s="6">
        <v>17449200</v>
      </c>
      <c r="K734" s="6">
        <v>124000</v>
      </c>
      <c r="L734" s="7"/>
    </row>
    <row r="735" spans="1:12" x14ac:dyDescent="0.25">
      <c r="A735" t="s">
        <v>470</v>
      </c>
      <c r="B735" s="5">
        <v>373787</v>
      </c>
      <c r="C735" t="s">
        <v>12</v>
      </c>
      <c r="D735" s="1" t="str">
        <f>"37145"</f>
        <v>37145</v>
      </c>
      <c r="E735" t="s">
        <v>15</v>
      </c>
      <c r="F735" t="s">
        <v>211</v>
      </c>
      <c r="G735" s="1" t="str">
        <f>"002"</f>
        <v>002</v>
      </c>
      <c r="H735" s="1">
        <v>2005</v>
      </c>
      <c r="I735" s="6">
        <v>44429200</v>
      </c>
      <c r="J735" s="6">
        <v>5398600</v>
      </c>
      <c r="K735" s="6">
        <v>39030600</v>
      </c>
      <c r="L735" s="7"/>
    </row>
    <row r="736" spans="1:12" x14ac:dyDescent="0.25">
      <c r="A736" t="s">
        <v>470</v>
      </c>
      <c r="B736" s="5">
        <v>373787</v>
      </c>
      <c r="C736" t="s">
        <v>12</v>
      </c>
      <c r="D736" s="1" t="str">
        <f>"37145"</f>
        <v>37145</v>
      </c>
      <c r="E736" t="s">
        <v>15</v>
      </c>
      <c r="F736" t="s">
        <v>211</v>
      </c>
      <c r="G736" s="1" t="str">
        <f>"003"</f>
        <v>003</v>
      </c>
      <c r="H736" s="1">
        <v>2005</v>
      </c>
      <c r="I736" s="6">
        <v>1136700</v>
      </c>
      <c r="J736" s="6">
        <v>405100</v>
      </c>
      <c r="K736" s="6">
        <v>731600</v>
      </c>
      <c r="L736" s="7"/>
    </row>
    <row r="737" spans="1:12" x14ac:dyDescent="0.25">
      <c r="A737" t="s">
        <v>470</v>
      </c>
      <c r="B737" s="5">
        <v>373787</v>
      </c>
      <c r="C737" t="s">
        <v>12</v>
      </c>
      <c r="D737" s="1" t="str">
        <f>"37145"</f>
        <v>37145</v>
      </c>
      <c r="E737" t="s">
        <v>15</v>
      </c>
      <c r="F737" t="s">
        <v>211</v>
      </c>
      <c r="G737" s="1" t="str">
        <f>"004"</f>
        <v>004</v>
      </c>
      <c r="H737" s="1">
        <v>2005</v>
      </c>
      <c r="I737" s="6">
        <v>5141400</v>
      </c>
      <c r="J737" s="6">
        <v>106600</v>
      </c>
      <c r="K737" s="6">
        <v>5034800</v>
      </c>
      <c r="L737" s="7"/>
    </row>
    <row r="738" spans="1:12" x14ac:dyDescent="0.25">
      <c r="A738" t="s">
        <v>470</v>
      </c>
      <c r="B738" s="5">
        <v>373787</v>
      </c>
      <c r="C738" t="s">
        <v>12</v>
      </c>
      <c r="D738" s="1" t="str">
        <f>"37251"</f>
        <v>37251</v>
      </c>
      <c r="E738" t="s">
        <v>10</v>
      </c>
      <c r="F738" t="s">
        <v>471</v>
      </c>
      <c r="G738" s="1" t="str">
        <f>"002"</f>
        <v>002</v>
      </c>
      <c r="H738" s="1">
        <v>2006</v>
      </c>
      <c r="I738" s="6">
        <v>27689600</v>
      </c>
      <c r="J738" s="6">
        <v>12930700</v>
      </c>
      <c r="K738" s="6">
        <v>14758900</v>
      </c>
      <c r="L738" s="7"/>
    </row>
    <row r="739" spans="1:12" x14ac:dyDescent="0.25">
      <c r="A739" t="s">
        <v>470</v>
      </c>
      <c r="B739" s="5">
        <v>373787</v>
      </c>
      <c r="C739" t="s">
        <v>12</v>
      </c>
      <c r="D739" s="1" t="str">
        <f>"37251"</f>
        <v>37251</v>
      </c>
      <c r="E739" t="s">
        <v>10</v>
      </c>
      <c r="F739" t="s">
        <v>471</v>
      </c>
      <c r="G739" s="1" t="str">
        <f>"003"</f>
        <v>003</v>
      </c>
      <c r="H739" s="1">
        <v>2013</v>
      </c>
      <c r="I739" s="6">
        <v>11974500</v>
      </c>
      <c r="J739" s="6">
        <v>7531100</v>
      </c>
      <c r="K739" s="6">
        <v>4443400</v>
      </c>
      <c r="L739" s="7"/>
    </row>
    <row r="740" spans="1:12" x14ac:dyDescent="0.25">
      <c r="A740" t="s">
        <v>472</v>
      </c>
      <c r="B740" s="5">
        <v>133794</v>
      </c>
      <c r="C740" t="s">
        <v>89</v>
      </c>
      <c r="D740" s="1" t="str">
        <f>"13157"</f>
        <v>13157</v>
      </c>
      <c r="E740" t="s">
        <v>15</v>
      </c>
      <c r="F740" t="s">
        <v>473</v>
      </c>
      <c r="G740" s="1" t="str">
        <f>"003"</f>
        <v>003</v>
      </c>
      <c r="H740" s="1">
        <v>2004</v>
      </c>
      <c r="I740" s="6">
        <v>35510700</v>
      </c>
      <c r="J740" s="6">
        <v>2588300</v>
      </c>
      <c r="K740" s="6">
        <v>32922400</v>
      </c>
      <c r="L740" s="7"/>
    </row>
    <row r="741" spans="1:12" x14ac:dyDescent="0.25">
      <c r="A741" t="s">
        <v>472</v>
      </c>
      <c r="B741" s="5">
        <v>133794</v>
      </c>
      <c r="C741" t="s">
        <v>89</v>
      </c>
      <c r="D741" s="1" t="str">
        <f>"13157"</f>
        <v>13157</v>
      </c>
      <c r="E741" t="s">
        <v>15</v>
      </c>
      <c r="F741" t="s">
        <v>473</v>
      </c>
      <c r="G741" s="1" t="str">
        <f>"004"</f>
        <v>004</v>
      </c>
      <c r="H741" s="1">
        <v>2007</v>
      </c>
      <c r="I741" s="6">
        <v>8699100</v>
      </c>
      <c r="J741" s="6">
        <v>3948100</v>
      </c>
      <c r="K741" s="6">
        <v>4751000</v>
      </c>
      <c r="L741" s="7"/>
    </row>
    <row r="742" spans="1:12" x14ac:dyDescent="0.25">
      <c r="A742" t="s">
        <v>472</v>
      </c>
      <c r="B742" s="5">
        <v>133794</v>
      </c>
      <c r="C742" t="s">
        <v>89</v>
      </c>
      <c r="D742" s="1" t="str">
        <f>"13157"</f>
        <v>13157</v>
      </c>
      <c r="E742" t="s">
        <v>15</v>
      </c>
      <c r="F742" t="s">
        <v>473</v>
      </c>
      <c r="G742" s="1" t="str">
        <f>"005"</f>
        <v>005</v>
      </c>
      <c r="H742" s="1">
        <v>2016</v>
      </c>
      <c r="I742" s="6">
        <v>53132900</v>
      </c>
      <c r="J742" s="6">
        <v>25350000</v>
      </c>
      <c r="K742" s="6">
        <v>27782900</v>
      </c>
      <c r="L742" s="7"/>
    </row>
    <row r="743" spans="1:12" x14ac:dyDescent="0.25">
      <c r="A743" t="s">
        <v>474</v>
      </c>
      <c r="B743" s="5">
        <v>673822</v>
      </c>
      <c r="C743" t="s">
        <v>140</v>
      </c>
      <c r="D743" s="1" t="str">
        <f>"64153"</f>
        <v>64153</v>
      </c>
      <c r="E743" t="s">
        <v>15</v>
      </c>
      <c r="F743" t="s">
        <v>475</v>
      </c>
      <c r="G743" s="1" t="str">
        <f>"005"</f>
        <v>005</v>
      </c>
      <c r="H743" s="1">
        <v>2018</v>
      </c>
      <c r="I743" s="6">
        <v>12956600</v>
      </c>
      <c r="J743" s="6">
        <v>315200</v>
      </c>
      <c r="K743" s="6">
        <v>12641400</v>
      </c>
      <c r="L743" s="7"/>
    </row>
    <row r="744" spans="1:12" x14ac:dyDescent="0.25">
      <c r="A744" t="s">
        <v>474</v>
      </c>
      <c r="B744" s="5">
        <v>673822</v>
      </c>
      <c r="C744" t="s">
        <v>268</v>
      </c>
      <c r="D744" s="1" t="str">
        <f>"67106"</f>
        <v>67106</v>
      </c>
      <c r="E744" t="s">
        <v>15</v>
      </c>
      <c r="F744" t="s">
        <v>476</v>
      </c>
      <c r="G744" s="1" t="str">
        <f>"001"</f>
        <v>001</v>
      </c>
      <c r="H744" s="1">
        <v>2013</v>
      </c>
      <c r="I744" s="6">
        <v>14601000</v>
      </c>
      <c r="J744" s="6">
        <v>14680600</v>
      </c>
      <c r="K744" s="6">
        <v>-79600</v>
      </c>
      <c r="L744" s="7"/>
    </row>
    <row r="745" spans="1:12" x14ac:dyDescent="0.25">
      <c r="A745" t="s">
        <v>474</v>
      </c>
      <c r="B745" s="5">
        <v>673822</v>
      </c>
      <c r="C745" t="s">
        <v>268</v>
      </c>
      <c r="D745" s="1" t="str">
        <f>"67153"</f>
        <v>67153</v>
      </c>
      <c r="E745" t="s">
        <v>15</v>
      </c>
      <c r="F745" t="s">
        <v>475</v>
      </c>
      <c r="G745" s="1" t="str">
        <f>"003"</f>
        <v>003</v>
      </c>
      <c r="H745" s="1">
        <v>2003</v>
      </c>
      <c r="I745" s="6">
        <v>55712100</v>
      </c>
      <c r="J745" s="6">
        <v>2389500</v>
      </c>
      <c r="K745" s="6">
        <v>53322600</v>
      </c>
      <c r="L745" s="7"/>
    </row>
    <row r="746" spans="1:12" x14ac:dyDescent="0.25">
      <c r="A746" t="s">
        <v>474</v>
      </c>
      <c r="B746" s="5">
        <v>673822</v>
      </c>
      <c r="C746" t="s">
        <v>268</v>
      </c>
      <c r="D746" s="1" t="str">
        <f>"67153"</f>
        <v>67153</v>
      </c>
      <c r="E746" t="s">
        <v>15</v>
      </c>
      <c r="F746" t="s">
        <v>475</v>
      </c>
      <c r="G746" s="1" t="str">
        <f>"004"</f>
        <v>004</v>
      </c>
      <c r="H746" s="1">
        <v>2017</v>
      </c>
      <c r="I746" s="6">
        <v>8744000</v>
      </c>
      <c r="J746" s="6">
        <v>6368000</v>
      </c>
      <c r="K746" s="6">
        <v>2376000</v>
      </c>
      <c r="L746" s="7"/>
    </row>
    <row r="747" spans="1:12" x14ac:dyDescent="0.25">
      <c r="A747" t="s">
        <v>477</v>
      </c>
      <c r="B747" s="5">
        <v>673857</v>
      </c>
      <c r="C747" t="s">
        <v>268</v>
      </c>
      <c r="D747" s="1" t="str">
        <f>"67251"</f>
        <v>67251</v>
      </c>
      <c r="E747" t="s">
        <v>10</v>
      </c>
      <c r="F747" t="s">
        <v>478</v>
      </c>
      <c r="G747" s="1" t="str">
        <f>"008"</f>
        <v>008</v>
      </c>
      <c r="H747" s="1">
        <v>2000</v>
      </c>
      <c r="I747" s="6">
        <v>26078300</v>
      </c>
      <c r="J747" s="6">
        <v>18412800</v>
      </c>
      <c r="K747" s="6">
        <v>7665500</v>
      </c>
      <c r="L747" s="7"/>
    </row>
    <row r="748" spans="1:12" x14ac:dyDescent="0.25">
      <c r="A748" t="s">
        <v>477</v>
      </c>
      <c r="B748" s="5">
        <v>673857</v>
      </c>
      <c r="C748" t="s">
        <v>268</v>
      </c>
      <c r="D748" s="1" t="str">
        <f>"67251"</f>
        <v>67251</v>
      </c>
      <c r="E748" t="s">
        <v>10</v>
      </c>
      <c r="F748" t="s">
        <v>478</v>
      </c>
      <c r="G748" s="1" t="str">
        <f>"009"</f>
        <v>009</v>
      </c>
      <c r="H748" s="1">
        <v>2003</v>
      </c>
      <c r="I748" s="6">
        <v>51976600</v>
      </c>
      <c r="J748" s="6">
        <v>23720900</v>
      </c>
      <c r="K748" s="6">
        <v>28255700</v>
      </c>
      <c r="L748" s="7"/>
    </row>
    <row r="749" spans="1:12" x14ac:dyDescent="0.25">
      <c r="A749" t="s">
        <v>477</v>
      </c>
      <c r="B749" s="5">
        <v>673857</v>
      </c>
      <c r="C749" t="s">
        <v>268</v>
      </c>
      <c r="D749" s="1" t="str">
        <f>"67251"</f>
        <v>67251</v>
      </c>
      <c r="E749" t="s">
        <v>10</v>
      </c>
      <c r="F749" t="s">
        <v>478</v>
      </c>
      <c r="G749" s="1" t="str">
        <f>"010"</f>
        <v>010</v>
      </c>
      <c r="H749" s="1">
        <v>2008</v>
      </c>
      <c r="I749" s="6">
        <v>65125000</v>
      </c>
      <c r="J749" s="6">
        <v>1150600</v>
      </c>
      <c r="K749" s="6">
        <v>63974400</v>
      </c>
      <c r="L749" s="7"/>
    </row>
    <row r="750" spans="1:12" x14ac:dyDescent="0.25">
      <c r="A750" t="s">
        <v>477</v>
      </c>
      <c r="B750" s="5">
        <v>673857</v>
      </c>
      <c r="C750" t="s">
        <v>268</v>
      </c>
      <c r="D750" s="1" t="str">
        <f>"67251"</f>
        <v>67251</v>
      </c>
      <c r="E750" t="s">
        <v>10</v>
      </c>
      <c r="F750" t="s">
        <v>478</v>
      </c>
      <c r="G750" s="1" t="str">
        <f>"011"</f>
        <v>011</v>
      </c>
      <c r="H750" s="1">
        <v>2016</v>
      </c>
      <c r="I750" s="6">
        <v>18810200</v>
      </c>
      <c r="J750" s="6">
        <v>2400</v>
      </c>
      <c r="K750" s="6">
        <v>18807800</v>
      </c>
      <c r="L750" s="7"/>
    </row>
    <row r="751" spans="1:12" x14ac:dyDescent="0.25">
      <c r="A751" t="s">
        <v>479</v>
      </c>
      <c r="B751" s="5">
        <v>293871</v>
      </c>
      <c r="C751" t="s">
        <v>237</v>
      </c>
      <c r="D751" s="1" t="str">
        <f>"29161"</f>
        <v>29161</v>
      </c>
      <c r="E751" t="s">
        <v>15</v>
      </c>
      <c r="F751" t="s">
        <v>480</v>
      </c>
      <c r="G751" s="1" t="str">
        <f>"002"</f>
        <v>002</v>
      </c>
      <c r="H751" s="1">
        <v>1995</v>
      </c>
      <c r="I751" s="6">
        <v>6054900</v>
      </c>
      <c r="J751" s="6">
        <v>1233500</v>
      </c>
      <c r="K751" s="6">
        <v>4821400</v>
      </c>
      <c r="L751" s="7"/>
    </row>
    <row r="752" spans="1:12" x14ac:dyDescent="0.25">
      <c r="A752" t="s">
        <v>479</v>
      </c>
      <c r="B752" s="5">
        <v>293871</v>
      </c>
      <c r="C752" t="s">
        <v>237</v>
      </c>
      <c r="D752" s="1" t="str">
        <f>"29161"</f>
        <v>29161</v>
      </c>
      <c r="E752" t="s">
        <v>15</v>
      </c>
      <c r="F752" t="s">
        <v>480</v>
      </c>
      <c r="G752" s="1" t="str">
        <f>"003"</f>
        <v>003</v>
      </c>
      <c r="H752" s="1">
        <v>1995</v>
      </c>
      <c r="I752" s="6">
        <v>13179300</v>
      </c>
      <c r="J752" s="6">
        <v>7296300</v>
      </c>
      <c r="K752" s="6">
        <v>5883000</v>
      </c>
      <c r="L752" s="7"/>
    </row>
    <row r="753" spans="1:12" x14ac:dyDescent="0.25">
      <c r="A753" t="s">
        <v>481</v>
      </c>
      <c r="B753" s="5">
        <v>703892</v>
      </c>
      <c r="C753" t="s">
        <v>444</v>
      </c>
      <c r="D753" s="1" t="str">
        <f>"70121"</f>
        <v>70121</v>
      </c>
      <c r="E753" t="s">
        <v>15</v>
      </c>
      <c r="F753" t="s">
        <v>482</v>
      </c>
      <c r="G753" s="1" t="str">
        <f>"001"</f>
        <v>001</v>
      </c>
      <c r="H753" s="1">
        <v>2015</v>
      </c>
      <c r="I753" s="6">
        <v>27488400</v>
      </c>
      <c r="J753" s="6">
        <v>2732300</v>
      </c>
      <c r="K753" s="6">
        <v>24756100</v>
      </c>
      <c r="L753" s="7"/>
    </row>
    <row r="754" spans="1:12" x14ac:dyDescent="0.25">
      <c r="A754" t="s">
        <v>481</v>
      </c>
      <c r="B754" s="5">
        <v>703892</v>
      </c>
      <c r="C754" t="s">
        <v>444</v>
      </c>
      <c r="D754" s="1" t="str">
        <f>"70121"</f>
        <v>70121</v>
      </c>
      <c r="E754" t="s">
        <v>15</v>
      </c>
      <c r="F754" t="s">
        <v>482</v>
      </c>
      <c r="G754" s="1" t="str">
        <f>"002"</f>
        <v>002</v>
      </c>
      <c r="H754" s="1">
        <v>2016</v>
      </c>
      <c r="I754" s="6">
        <v>37523700</v>
      </c>
      <c r="J754" s="6">
        <v>29347400</v>
      </c>
      <c r="K754" s="6">
        <v>8176300</v>
      </c>
      <c r="L754" s="7"/>
    </row>
    <row r="755" spans="1:12" x14ac:dyDescent="0.25">
      <c r="A755" t="s">
        <v>481</v>
      </c>
      <c r="B755" s="5">
        <v>703892</v>
      </c>
      <c r="C755" t="s">
        <v>444</v>
      </c>
      <c r="D755" s="1" t="str">
        <f>"70121"</f>
        <v>70121</v>
      </c>
      <c r="E755" t="s">
        <v>15</v>
      </c>
      <c r="F755" t="s">
        <v>482</v>
      </c>
      <c r="G755" s="1" t="str">
        <f>"003"</f>
        <v>003</v>
      </c>
      <c r="H755" s="1">
        <v>2017</v>
      </c>
      <c r="I755" s="6">
        <v>30959700</v>
      </c>
      <c r="J755" s="6">
        <v>20000</v>
      </c>
      <c r="K755" s="6">
        <v>30939700</v>
      </c>
      <c r="L755" s="7"/>
    </row>
    <row r="756" spans="1:12" x14ac:dyDescent="0.25">
      <c r="A756" t="s">
        <v>481</v>
      </c>
      <c r="B756" s="5">
        <v>703892</v>
      </c>
      <c r="C756" t="s">
        <v>444</v>
      </c>
      <c r="D756" s="1" t="str">
        <f>"70121"</f>
        <v>70121</v>
      </c>
      <c r="E756" t="s">
        <v>15</v>
      </c>
      <c r="F756" t="s">
        <v>482</v>
      </c>
      <c r="G756" s="1" t="str">
        <f>"004"</f>
        <v>004</v>
      </c>
      <c r="H756" s="1">
        <v>2018</v>
      </c>
      <c r="I756" s="6">
        <v>522100</v>
      </c>
      <c r="J756" s="6">
        <v>542900</v>
      </c>
      <c r="K756" s="6">
        <v>-20800</v>
      </c>
      <c r="L756" s="7"/>
    </row>
    <row r="757" spans="1:12" x14ac:dyDescent="0.25">
      <c r="A757" t="s">
        <v>481</v>
      </c>
      <c r="B757" s="5">
        <v>703892</v>
      </c>
      <c r="C757" t="s">
        <v>444</v>
      </c>
      <c r="D757" s="1" t="str">
        <f t="shared" ref="D757:D763" si="25">"70261"</f>
        <v>70261</v>
      </c>
      <c r="E757" t="s">
        <v>10</v>
      </c>
      <c r="F757" t="s">
        <v>483</v>
      </c>
      <c r="G757" s="1" t="str">
        <f>"005"</f>
        <v>005</v>
      </c>
      <c r="H757" s="1">
        <v>1993</v>
      </c>
      <c r="I757" s="6">
        <v>29636400</v>
      </c>
      <c r="J757" s="6">
        <v>13458200</v>
      </c>
      <c r="K757" s="6">
        <v>16178200</v>
      </c>
      <c r="L757" s="7"/>
    </row>
    <row r="758" spans="1:12" x14ac:dyDescent="0.25">
      <c r="A758" t="s">
        <v>481</v>
      </c>
      <c r="B758" s="5">
        <v>703892</v>
      </c>
      <c r="C758" t="s">
        <v>444</v>
      </c>
      <c r="D758" s="1" t="str">
        <f t="shared" si="25"/>
        <v>70261</v>
      </c>
      <c r="E758" t="s">
        <v>10</v>
      </c>
      <c r="F758" t="s">
        <v>483</v>
      </c>
      <c r="G758" s="1" t="str">
        <f>"006"</f>
        <v>006</v>
      </c>
      <c r="H758" s="1">
        <v>1997</v>
      </c>
      <c r="I758" s="6">
        <v>31040000</v>
      </c>
      <c r="J758" s="6">
        <v>2869600</v>
      </c>
      <c r="K758" s="6">
        <v>28170400</v>
      </c>
      <c r="L758" s="7"/>
    </row>
    <row r="759" spans="1:12" x14ac:dyDescent="0.25">
      <c r="A759" t="s">
        <v>481</v>
      </c>
      <c r="B759" s="5">
        <v>703892</v>
      </c>
      <c r="C759" t="s">
        <v>444</v>
      </c>
      <c r="D759" s="1" t="str">
        <f t="shared" si="25"/>
        <v>70261</v>
      </c>
      <c r="E759" t="s">
        <v>10</v>
      </c>
      <c r="F759" t="s">
        <v>483</v>
      </c>
      <c r="G759" s="1" t="str">
        <f>"007"</f>
        <v>007</v>
      </c>
      <c r="H759" s="1">
        <v>2000</v>
      </c>
      <c r="I759" s="6">
        <v>128868200</v>
      </c>
      <c r="J759" s="6">
        <v>39227000</v>
      </c>
      <c r="K759" s="6">
        <v>89641200</v>
      </c>
      <c r="L759" s="7"/>
    </row>
    <row r="760" spans="1:12" x14ac:dyDescent="0.25">
      <c r="A760" t="s">
        <v>481</v>
      </c>
      <c r="B760" s="5">
        <v>703892</v>
      </c>
      <c r="C760" t="s">
        <v>444</v>
      </c>
      <c r="D760" s="1" t="str">
        <f t="shared" si="25"/>
        <v>70261</v>
      </c>
      <c r="E760" t="s">
        <v>10</v>
      </c>
      <c r="F760" t="s">
        <v>483</v>
      </c>
      <c r="G760" s="1" t="str">
        <f>"008"</f>
        <v>008</v>
      </c>
      <c r="H760" s="1">
        <v>2001</v>
      </c>
      <c r="I760" s="6">
        <v>66375100</v>
      </c>
      <c r="J760" s="6">
        <v>14743600</v>
      </c>
      <c r="K760" s="6">
        <v>51631500</v>
      </c>
      <c r="L760" s="7"/>
    </row>
    <row r="761" spans="1:12" x14ac:dyDescent="0.25">
      <c r="A761" t="s">
        <v>481</v>
      </c>
      <c r="B761" s="5">
        <v>703892</v>
      </c>
      <c r="C761" t="s">
        <v>444</v>
      </c>
      <c r="D761" s="1" t="str">
        <f t="shared" si="25"/>
        <v>70261</v>
      </c>
      <c r="E761" t="s">
        <v>10</v>
      </c>
      <c r="F761" t="s">
        <v>483</v>
      </c>
      <c r="G761" s="1" t="str">
        <f>"009"</f>
        <v>009</v>
      </c>
      <c r="H761" s="1">
        <v>2015</v>
      </c>
      <c r="I761" s="6">
        <v>19911500</v>
      </c>
      <c r="J761" s="6">
        <v>10327400</v>
      </c>
      <c r="K761" s="6">
        <v>9584100</v>
      </c>
      <c r="L761" s="7"/>
    </row>
    <row r="762" spans="1:12" x14ac:dyDescent="0.25">
      <c r="A762" t="s">
        <v>481</v>
      </c>
      <c r="B762" s="5">
        <v>703892</v>
      </c>
      <c r="C762" t="s">
        <v>444</v>
      </c>
      <c r="D762" s="1" t="str">
        <f t="shared" si="25"/>
        <v>70261</v>
      </c>
      <c r="E762" t="s">
        <v>10</v>
      </c>
      <c r="F762" t="s">
        <v>483</v>
      </c>
      <c r="G762" s="1" t="str">
        <f>"010"</f>
        <v>010</v>
      </c>
      <c r="H762" s="1">
        <v>2015</v>
      </c>
      <c r="I762" s="6">
        <v>18390500</v>
      </c>
      <c r="J762" s="6">
        <v>3681600</v>
      </c>
      <c r="K762" s="6">
        <v>14708900</v>
      </c>
      <c r="L762" s="7"/>
    </row>
    <row r="763" spans="1:12" x14ac:dyDescent="0.25">
      <c r="A763" t="s">
        <v>481</v>
      </c>
      <c r="B763" s="5">
        <v>703892</v>
      </c>
      <c r="C763" t="s">
        <v>444</v>
      </c>
      <c r="D763" s="1" t="str">
        <f t="shared" si="25"/>
        <v>70261</v>
      </c>
      <c r="E763" t="s">
        <v>10</v>
      </c>
      <c r="F763" t="s">
        <v>483</v>
      </c>
      <c r="G763" s="1" t="str">
        <f>"011"</f>
        <v>011</v>
      </c>
      <c r="H763" s="1">
        <v>2017</v>
      </c>
      <c r="I763" s="6">
        <v>6894100</v>
      </c>
      <c r="J763" s="6">
        <v>117700</v>
      </c>
      <c r="K763" s="6">
        <v>6776400</v>
      </c>
      <c r="L763" s="7"/>
    </row>
    <row r="764" spans="1:12" x14ac:dyDescent="0.25">
      <c r="A764" t="s">
        <v>484</v>
      </c>
      <c r="B764" s="5">
        <v>103899</v>
      </c>
      <c r="C764" t="s">
        <v>9</v>
      </c>
      <c r="D764" s="1" t="str">
        <f>"10261"</f>
        <v>10261</v>
      </c>
      <c r="E764" t="s">
        <v>10</v>
      </c>
      <c r="F764" t="s">
        <v>485</v>
      </c>
      <c r="G764" s="1" t="str">
        <f>"002"</f>
        <v>002</v>
      </c>
      <c r="H764" s="1">
        <v>1999</v>
      </c>
      <c r="I764" s="6">
        <v>3481100</v>
      </c>
      <c r="J764" s="6">
        <v>107200</v>
      </c>
      <c r="K764" s="6">
        <v>3373900</v>
      </c>
      <c r="L764" s="7"/>
    </row>
    <row r="765" spans="1:12" x14ac:dyDescent="0.25">
      <c r="A765" t="s">
        <v>484</v>
      </c>
      <c r="B765" s="5">
        <v>103899</v>
      </c>
      <c r="C765" t="s">
        <v>9</v>
      </c>
      <c r="D765" s="1" t="str">
        <f>"10261"</f>
        <v>10261</v>
      </c>
      <c r="E765" t="s">
        <v>10</v>
      </c>
      <c r="F765" t="s">
        <v>485</v>
      </c>
      <c r="G765" s="1" t="str">
        <f>"003"</f>
        <v>003</v>
      </c>
      <c r="H765" s="1">
        <v>2006</v>
      </c>
      <c r="I765" s="6">
        <v>3318000</v>
      </c>
      <c r="J765" s="6">
        <v>304800</v>
      </c>
      <c r="K765" s="6">
        <v>3013200</v>
      </c>
      <c r="L765" s="7"/>
    </row>
    <row r="766" spans="1:12" x14ac:dyDescent="0.25">
      <c r="A766" t="s">
        <v>486</v>
      </c>
      <c r="B766" s="5">
        <v>713906</v>
      </c>
      <c r="C766" t="s">
        <v>14</v>
      </c>
      <c r="D766" s="1" t="str">
        <f>"01030"</f>
        <v>01030</v>
      </c>
      <c r="E766" t="s">
        <v>17</v>
      </c>
      <c r="F766" t="s">
        <v>487</v>
      </c>
      <c r="G766" s="1" t="str">
        <f>"001T"</f>
        <v>001T</v>
      </c>
      <c r="H766" s="1">
        <v>2015</v>
      </c>
      <c r="I766" s="6">
        <v>49553900</v>
      </c>
      <c r="J766" s="6">
        <v>1249400</v>
      </c>
      <c r="K766" s="6">
        <v>48304500</v>
      </c>
      <c r="L766" s="7"/>
    </row>
    <row r="767" spans="1:12" x14ac:dyDescent="0.25">
      <c r="A767" t="s">
        <v>486</v>
      </c>
      <c r="B767" s="5">
        <v>713906</v>
      </c>
      <c r="C767" t="s">
        <v>58</v>
      </c>
      <c r="D767" s="1" t="str">
        <f>"71261"</f>
        <v>71261</v>
      </c>
      <c r="E767" t="s">
        <v>10</v>
      </c>
      <c r="F767" t="s">
        <v>488</v>
      </c>
      <c r="G767" s="1" t="str">
        <f>"001"</f>
        <v>001</v>
      </c>
      <c r="H767" s="1">
        <v>1997</v>
      </c>
      <c r="I767" s="6">
        <v>17431900</v>
      </c>
      <c r="J767" s="6">
        <v>10523600</v>
      </c>
      <c r="K767" s="6">
        <v>6908300</v>
      </c>
      <c r="L767" s="7"/>
    </row>
    <row r="768" spans="1:12" x14ac:dyDescent="0.25">
      <c r="A768" t="s">
        <v>486</v>
      </c>
      <c r="B768" s="5">
        <v>713906</v>
      </c>
      <c r="C768" t="s">
        <v>58</v>
      </c>
      <c r="D768" s="1" t="str">
        <f>"71261"</f>
        <v>71261</v>
      </c>
      <c r="E768" t="s">
        <v>10</v>
      </c>
      <c r="F768" t="s">
        <v>488</v>
      </c>
      <c r="G768" s="1" t="str">
        <f>"002"</f>
        <v>002</v>
      </c>
      <c r="H768" s="1">
        <v>2002</v>
      </c>
      <c r="I768" s="6">
        <v>5607000</v>
      </c>
      <c r="J768" s="6">
        <v>609300</v>
      </c>
      <c r="K768" s="6">
        <v>4997700</v>
      </c>
      <c r="L768" s="7"/>
    </row>
    <row r="769" spans="1:12" x14ac:dyDescent="0.25">
      <c r="A769" t="s">
        <v>486</v>
      </c>
      <c r="B769" s="5">
        <v>713906</v>
      </c>
      <c r="C769" t="s">
        <v>58</v>
      </c>
      <c r="D769" s="1" t="str">
        <f>"71261"</f>
        <v>71261</v>
      </c>
      <c r="E769" t="s">
        <v>10</v>
      </c>
      <c r="F769" t="s">
        <v>488</v>
      </c>
      <c r="G769" s="1" t="str">
        <f>"003"</f>
        <v>003</v>
      </c>
      <c r="H769" s="1">
        <v>2012</v>
      </c>
      <c r="I769" s="6">
        <v>21553500</v>
      </c>
      <c r="J769" s="6">
        <v>17816300</v>
      </c>
      <c r="K769" s="6">
        <v>3737200</v>
      </c>
      <c r="L769" s="7"/>
    </row>
    <row r="770" spans="1:12" x14ac:dyDescent="0.25">
      <c r="A770" t="s">
        <v>486</v>
      </c>
      <c r="B770" s="5">
        <v>713906</v>
      </c>
      <c r="C770" t="s">
        <v>58</v>
      </c>
      <c r="D770" s="1" t="str">
        <f>"71261"</f>
        <v>71261</v>
      </c>
      <c r="E770" t="s">
        <v>10</v>
      </c>
      <c r="F770" t="s">
        <v>488</v>
      </c>
      <c r="G770" s="1" t="str">
        <f>"004"</f>
        <v>004</v>
      </c>
      <c r="H770" s="1">
        <v>2018</v>
      </c>
      <c r="I770" s="6">
        <v>3496700</v>
      </c>
      <c r="J770" s="6">
        <v>3086000</v>
      </c>
      <c r="K770" s="6">
        <v>410700</v>
      </c>
      <c r="L770" s="7"/>
    </row>
    <row r="771" spans="1:12" x14ac:dyDescent="0.25">
      <c r="A771" t="s">
        <v>489</v>
      </c>
      <c r="B771" s="5">
        <v>93920</v>
      </c>
      <c r="C771" t="s">
        <v>114</v>
      </c>
      <c r="D771" s="1" t="str">
        <f>"09161"</f>
        <v>09161</v>
      </c>
      <c r="E771" t="s">
        <v>15</v>
      </c>
      <c r="F771" t="s">
        <v>490</v>
      </c>
      <c r="G771" s="1" t="str">
        <f>"001"</f>
        <v>001</v>
      </c>
      <c r="H771" s="1">
        <v>2008</v>
      </c>
      <c r="I771" s="6">
        <v>10605500</v>
      </c>
      <c r="J771" s="6">
        <v>283700</v>
      </c>
      <c r="K771" s="6">
        <v>10321800</v>
      </c>
      <c r="L771" s="7"/>
    </row>
    <row r="772" spans="1:12" x14ac:dyDescent="0.25">
      <c r="A772" t="s">
        <v>491</v>
      </c>
      <c r="B772" s="5">
        <v>673925</v>
      </c>
      <c r="C772" t="s">
        <v>268</v>
      </c>
      <c r="D772" s="1" t="str">
        <f>"67261"</f>
        <v>67261</v>
      </c>
      <c r="E772" t="s">
        <v>10</v>
      </c>
      <c r="F772" t="s">
        <v>492</v>
      </c>
      <c r="G772" s="1" t="str">
        <f>"003"</f>
        <v>003</v>
      </c>
      <c r="H772" s="1">
        <v>2018</v>
      </c>
      <c r="I772" s="6">
        <v>13900800</v>
      </c>
      <c r="J772" s="6">
        <v>729000</v>
      </c>
      <c r="K772" s="6">
        <v>13171800</v>
      </c>
      <c r="L772" s="7"/>
    </row>
    <row r="773" spans="1:12" x14ac:dyDescent="0.25">
      <c r="A773" t="s">
        <v>493</v>
      </c>
      <c r="B773" s="5">
        <v>233934</v>
      </c>
      <c r="C773" t="s">
        <v>91</v>
      </c>
      <c r="D773" s="1" t="str">
        <f>"23161"</f>
        <v>23161</v>
      </c>
      <c r="E773" t="s">
        <v>15</v>
      </c>
      <c r="F773" t="s">
        <v>494</v>
      </c>
      <c r="G773" s="1" t="str">
        <f>"003"</f>
        <v>003</v>
      </c>
      <c r="H773" s="1">
        <v>2006</v>
      </c>
      <c r="I773" s="6">
        <v>13038800</v>
      </c>
      <c r="J773" s="6">
        <v>19300</v>
      </c>
      <c r="K773" s="6">
        <v>13019500</v>
      </c>
      <c r="L773" s="7"/>
    </row>
    <row r="774" spans="1:12" x14ac:dyDescent="0.25">
      <c r="A774" t="s">
        <v>493</v>
      </c>
      <c r="B774" s="5">
        <v>233934</v>
      </c>
      <c r="C774" t="s">
        <v>91</v>
      </c>
      <c r="D774" s="1" t="str">
        <f>"23161"</f>
        <v>23161</v>
      </c>
      <c r="E774" t="s">
        <v>15</v>
      </c>
      <c r="F774" t="s">
        <v>494</v>
      </c>
      <c r="G774" s="1" t="str">
        <f>"004"</f>
        <v>004</v>
      </c>
      <c r="H774" s="1">
        <v>2015</v>
      </c>
      <c r="I774" s="6">
        <v>18461700</v>
      </c>
      <c r="J774" s="6">
        <v>14642600</v>
      </c>
      <c r="K774" s="6">
        <v>3819100</v>
      </c>
      <c r="L774" s="7"/>
    </row>
    <row r="775" spans="1:12" x14ac:dyDescent="0.25">
      <c r="A775" t="s">
        <v>495</v>
      </c>
      <c r="B775" s="5">
        <v>83941</v>
      </c>
      <c r="C775" t="s">
        <v>38</v>
      </c>
      <c r="D775" s="1" t="str">
        <f>"08261"</f>
        <v>08261</v>
      </c>
      <c r="E775" t="s">
        <v>10</v>
      </c>
      <c r="F775" t="s">
        <v>496</v>
      </c>
      <c r="G775" s="1" t="str">
        <f>"001"</f>
        <v>001</v>
      </c>
      <c r="H775" s="1">
        <v>1994</v>
      </c>
      <c r="I775" s="6">
        <v>14170600</v>
      </c>
      <c r="J775" s="6">
        <v>3331300</v>
      </c>
      <c r="K775" s="6">
        <v>10839300</v>
      </c>
      <c r="L775" s="7"/>
    </row>
    <row r="776" spans="1:12" x14ac:dyDescent="0.25">
      <c r="A776" t="s">
        <v>495</v>
      </c>
      <c r="B776" s="5">
        <v>83941</v>
      </c>
      <c r="C776" t="s">
        <v>38</v>
      </c>
      <c r="D776" s="1" t="str">
        <f>"08261"</f>
        <v>08261</v>
      </c>
      <c r="E776" t="s">
        <v>10</v>
      </c>
      <c r="F776" t="s">
        <v>496</v>
      </c>
      <c r="G776" s="1" t="str">
        <f>"003"</f>
        <v>003</v>
      </c>
      <c r="H776" s="1">
        <v>2007</v>
      </c>
      <c r="I776" s="6">
        <v>275400</v>
      </c>
      <c r="J776" s="6">
        <v>2958300</v>
      </c>
      <c r="K776" s="6">
        <v>-2682900</v>
      </c>
      <c r="L776" s="7"/>
    </row>
    <row r="777" spans="1:12" x14ac:dyDescent="0.25">
      <c r="A777" t="s">
        <v>495</v>
      </c>
      <c r="B777" s="5">
        <v>83941</v>
      </c>
      <c r="C777" t="s">
        <v>38</v>
      </c>
      <c r="D777" s="1" t="str">
        <f>"08261"</f>
        <v>08261</v>
      </c>
      <c r="E777" t="s">
        <v>10</v>
      </c>
      <c r="F777" t="s">
        <v>496</v>
      </c>
      <c r="G777" s="1" t="str">
        <f>"004"</f>
        <v>004</v>
      </c>
      <c r="H777" s="1">
        <v>2018</v>
      </c>
      <c r="I777" s="6">
        <v>12114700</v>
      </c>
      <c r="J777" s="6">
        <v>9565200</v>
      </c>
      <c r="K777" s="6">
        <v>2549500</v>
      </c>
      <c r="L777" s="7"/>
    </row>
    <row r="778" spans="1:12" x14ac:dyDescent="0.25">
      <c r="A778" t="s">
        <v>495</v>
      </c>
      <c r="B778" s="5">
        <v>83941</v>
      </c>
      <c r="C778" t="s">
        <v>38</v>
      </c>
      <c r="D778" s="1" t="str">
        <f>"08261"</f>
        <v>08261</v>
      </c>
      <c r="E778" t="s">
        <v>10</v>
      </c>
      <c r="F778" t="s">
        <v>496</v>
      </c>
      <c r="G778" s="1" t="str">
        <f>"005"</f>
        <v>005</v>
      </c>
      <c r="H778" s="1">
        <v>2018</v>
      </c>
      <c r="I778" s="6">
        <v>1437700</v>
      </c>
      <c r="J778" s="6">
        <v>1286900</v>
      </c>
      <c r="K778" s="6">
        <v>150800</v>
      </c>
      <c r="L778" s="7"/>
    </row>
    <row r="779" spans="1:12" x14ac:dyDescent="0.25">
      <c r="A779" t="s">
        <v>497</v>
      </c>
      <c r="B779" s="5">
        <v>293948</v>
      </c>
      <c r="C779" t="s">
        <v>237</v>
      </c>
      <c r="D779" s="1" t="str">
        <f>"29261"</f>
        <v>29261</v>
      </c>
      <c r="E779" t="s">
        <v>10</v>
      </c>
      <c r="F779" t="s">
        <v>498</v>
      </c>
      <c r="G779" s="1" t="str">
        <f>"009"</f>
        <v>009</v>
      </c>
      <c r="H779" s="1">
        <v>1991</v>
      </c>
      <c r="I779" s="6">
        <v>394600</v>
      </c>
      <c r="J779" s="6">
        <v>8300</v>
      </c>
      <c r="K779" s="6">
        <v>386300</v>
      </c>
      <c r="L779" s="7"/>
    </row>
    <row r="780" spans="1:12" x14ac:dyDescent="0.25">
      <c r="A780" t="s">
        <v>497</v>
      </c>
      <c r="B780" s="5">
        <v>293948</v>
      </c>
      <c r="C780" t="s">
        <v>237</v>
      </c>
      <c r="D780" s="1" t="str">
        <f>"29261"</f>
        <v>29261</v>
      </c>
      <c r="E780" t="s">
        <v>10</v>
      </c>
      <c r="F780" t="s">
        <v>498</v>
      </c>
      <c r="G780" s="1" t="str">
        <f>"010"</f>
        <v>010</v>
      </c>
      <c r="H780" s="1">
        <v>1991</v>
      </c>
      <c r="I780" s="6">
        <v>291800</v>
      </c>
      <c r="J780" s="6">
        <v>9900</v>
      </c>
      <c r="K780" s="6">
        <v>281900</v>
      </c>
      <c r="L780" s="7"/>
    </row>
    <row r="781" spans="1:12" x14ac:dyDescent="0.25">
      <c r="A781" t="s">
        <v>497</v>
      </c>
      <c r="B781" s="5">
        <v>293948</v>
      </c>
      <c r="C781" t="s">
        <v>237</v>
      </c>
      <c r="D781" s="1" t="str">
        <f>"29261"</f>
        <v>29261</v>
      </c>
      <c r="E781" t="s">
        <v>10</v>
      </c>
      <c r="F781" t="s">
        <v>498</v>
      </c>
      <c r="G781" s="1" t="str">
        <f>"011"</f>
        <v>011</v>
      </c>
      <c r="H781" s="1">
        <v>1997</v>
      </c>
      <c r="I781" s="6">
        <v>12815700</v>
      </c>
      <c r="J781" s="6">
        <v>179500</v>
      </c>
      <c r="K781" s="6">
        <v>12636200</v>
      </c>
      <c r="L781" s="7"/>
    </row>
    <row r="782" spans="1:12" x14ac:dyDescent="0.25">
      <c r="A782" t="s">
        <v>497</v>
      </c>
      <c r="B782" s="5">
        <v>293948</v>
      </c>
      <c r="C782" t="s">
        <v>237</v>
      </c>
      <c r="D782" s="1" t="str">
        <f>"29261"</f>
        <v>29261</v>
      </c>
      <c r="E782" t="s">
        <v>10</v>
      </c>
      <c r="F782" t="s">
        <v>498</v>
      </c>
      <c r="G782" s="1" t="str">
        <f>"012"</f>
        <v>012</v>
      </c>
      <c r="H782" s="1">
        <v>2010</v>
      </c>
      <c r="I782" s="6">
        <v>3748000</v>
      </c>
      <c r="J782" s="6">
        <v>1140800</v>
      </c>
      <c r="K782" s="6">
        <v>2607200</v>
      </c>
      <c r="L782" s="7"/>
    </row>
    <row r="783" spans="1:12" x14ac:dyDescent="0.25">
      <c r="A783" t="s">
        <v>497</v>
      </c>
      <c r="B783" s="5">
        <v>293948</v>
      </c>
      <c r="C783" t="s">
        <v>237</v>
      </c>
      <c r="D783" s="1" t="str">
        <f>"29261"</f>
        <v>29261</v>
      </c>
      <c r="E783" t="s">
        <v>10</v>
      </c>
      <c r="F783" t="s">
        <v>498</v>
      </c>
      <c r="G783" s="1" t="str">
        <f>"013"</f>
        <v>013</v>
      </c>
      <c r="H783" s="1">
        <v>2010</v>
      </c>
      <c r="I783" s="6">
        <v>195300</v>
      </c>
      <c r="J783" s="6">
        <v>157200</v>
      </c>
      <c r="K783" s="6">
        <v>38100</v>
      </c>
      <c r="L783" s="7"/>
    </row>
    <row r="784" spans="1:12" x14ac:dyDescent="0.25">
      <c r="A784" t="s">
        <v>499</v>
      </c>
      <c r="B784" s="5">
        <v>683955</v>
      </c>
      <c r="C784" t="s">
        <v>40</v>
      </c>
      <c r="D784" s="1" t="str">
        <f>"44261"</f>
        <v>44261</v>
      </c>
      <c r="E784" t="s">
        <v>10</v>
      </c>
      <c r="F784" t="s">
        <v>500</v>
      </c>
      <c r="G784" s="1" t="str">
        <f>"001E"</f>
        <v>001E</v>
      </c>
      <c r="H784" s="1">
        <v>2001</v>
      </c>
      <c r="I784" s="6">
        <v>752800</v>
      </c>
      <c r="J784" s="6">
        <v>14100</v>
      </c>
      <c r="K784" s="6">
        <v>738700</v>
      </c>
      <c r="L784" s="7"/>
    </row>
    <row r="785" spans="1:12" x14ac:dyDescent="0.25">
      <c r="A785" t="s">
        <v>501</v>
      </c>
      <c r="B785" s="5">
        <v>553962</v>
      </c>
      <c r="C785" t="s">
        <v>63</v>
      </c>
      <c r="D785" s="1" t="str">
        <f t="shared" ref="D785:D790" si="26">"55261"</f>
        <v>55261</v>
      </c>
      <c r="E785" t="s">
        <v>10</v>
      </c>
      <c r="F785" t="s">
        <v>502</v>
      </c>
      <c r="G785" s="1" t="str">
        <f>"005"</f>
        <v>005</v>
      </c>
      <c r="H785" s="1">
        <v>1987</v>
      </c>
      <c r="I785" s="6">
        <v>21441200</v>
      </c>
      <c r="J785" s="6">
        <v>77900</v>
      </c>
      <c r="K785" s="6">
        <v>21363300</v>
      </c>
      <c r="L785" s="7"/>
    </row>
    <row r="786" spans="1:12" x14ac:dyDescent="0.25">
      <c r="A786" t="s">
        <v>501</v>
      </c>
      <c r="B786" s="5">
        <v>553962</v>
      </c>
      <c r="C786" t="s">
        <v>63</v>
      </c>
      <c r="D786" s="1" t="str">
        <f t="shared" si="26"/>
        <v>55261</v>
      </c>
      <c r="E786" t="s">
        <v>10</v>
      </c>
      <c r="F786" t="s">
        <v>502</v>
      </c>
      <c r="G786" s="1" t="str">
        <f>"006"</f>
        <v>006</v>
      </c>
      <c r="H786" s="1">
        <v>1995</v>
      </c>
      <c r="I786" s="6">
        <v>27714700</v>
      </c>
      <c r="J786" s="6">
        <v>228500</v>
      </c>
      <c r="K786" s="6">
        <v>27486200</v>
      </c>
      <c r="L786" s="7"/>
    </row>
    <row r="787" spans="1:12" x14ac:dyDescent="0.25">
      <c r="A787" t="s">
        <v>501</v>
      </c>
      <c r="B787" s="5">
        <v>553962</v>
      </c>
      <c r="C787" t="s">
        <v>63</v>
      </c>
      <c r="D787" s="1" t="str">
        <f t="shared" si="26"/>
        <v>55261</v>
      </c>
      <c r="E787" t="s">
        <v>10</v>
      </c>
      <c r="F787" t="s">
        <v>502</v>
      </c>
      <c r="G787" s="1" t="str">
        <f>"007"</f>
        <v>007</v>
      </c>
      <c r="H787" s="1">
        <v>2003</v>
      </c>
      <c r="I787" s="6">
        <v>6994800</v>
      </c>
      <c r="J787" s="6">
        <v>2557800</v>
      </c>
      <c r="K787" s="6">
        <v>4437000</v>
      </c>
      <c r="L787" s="7"/>
    </row>
    <row r="788" spans="1:12" x14ac:dyDescent="0.25">
      <c r="A788" t="s">
        <v>501</v>
      </c>
      <c r="B788" s="5">
        <v>553962</v>
      </c>
      <c r="C788" t="s">
        <v>63</v>
      </c>
      <c r="D788" s="1" t="str">
        <f t="shared" si="26"/>
        <v>55261</v>
      </c>
      <c r="E788" t="s">
        <v>10</v>
      </c>
      <c r="F788" t="s">
        <v>502</v>
      </c>
      <c r="G788" s="1" t="str">
        <f>"008"</f>
        <v>008</v>
      </c>
      <c r="H788" s="1">
        <v>2005</v>
      </c>
      <c r="I788" s="6">
        <v>28888100</v>
      </c>
      <c r="J788" s="6">
        <v>15731300</v>
      </c>
      <c r="K788" s="6">
        <v>13156800</v>
      </c>
      <c r="L788" s="7"/>
    </row>
    <row r="789" spans="1:12" x14ac:dyDescent="0.25">
      <c r="A789" t="s">
        <v>501</v>
      </c>
      <c r="B789" s="5">
        <v>553962</v>
      </c>
      <c r="C789" t="s">
        <v>63</v>
      </c>
      <c r="D789" s="1" t="str">
        <f t="shared" si="26"/>
        <v>55261</v>
      </c>
      <c r="E789" t="s">
        <v>10</v>
      </c>
      <c r="F789" t="s">
        <v>502</v>
      </c>
      <c r="G789" s="1" t="str">
        <f>"009"</f>
        <v>009</v>
      </c>
      <c r="H789" s="1">
        <v>2008</v>
      </c>
      <c r="I789" s="6">
        <v>9135100</v>
      </c>
      <c r="J789" s="6">
        <v>6476100</v>
      </c>
      <c r="K789" s="6">
        <v>2659000</v>
      </c>
      <c r="L789" s="7"/>
    </row>
    <row r="790" spans="1:12" x14ac:dyDescent="0.25">
      <c r="A790" t="s">
        <v>501</v>
      </c>
      <c r="B790" s="5">
        <v>553962</v>
      </c>
      <c r="C790" t="s">
        <v>63</v>
      </c>
      <c r="D790" s="1" t="str">
        <f t="shared" si="26"/>
        <v>55261</v>
      </c>
      <c r="E790" t="s">
        <v>10</v>
      </c>
      <c r="F790" t="s">
        <v>502</v>
      </c>
      <c r="G790" s="1" t="str">
        <f>"010"</f>
        <v>010</v>
      </c>
      <c r="H790" s="1">
        <v>2014</v>
      </c>
      <c r="I790" s="6">
        <v>10206100</v>
      </c>
      <c r="J790" s="6">
        <v>3853800</v>
      </c>
      <c r="K790" s="6">
        <v>6352300</v>
      </c>
      <c r="L790" s="7"/>
    </row>
    <row r="791" spans="1:12" x14ac:dyDescent="0.25">
      <c r="A791" t="s">
        <v>503</v>
      </c>
      <c r="B791" s="5">
        <v>383969</v>
      </c>
      <c r="C791" t="s">
        <v>189</v>
      </c>
      <c r="D791" s="1" t="str">
        <f>"38261"</f>
        <v>38261</v>
      </c>
      <c r="E791" t="s">
        <v>10</v>
      </c>
      <c r="F791" t="s">
        <v>504</v>
      </c>
      <c r="G791" s="1" t="str">
        <f>"001"</f>
        <v>001</v>
      </c>
      <c r="H791" s="1">
        <v>1995</v>
      </c>
      <c r="I791" s="6">
        <v>791500</v>
      </c>
      <c r="J791" s="6">
        <v>0</v>
      </c>
      <c r="K791" s="6">
        <v>791500</v>
      </c>
      <c r="L791" s="7"/>
    </row>
    <row r="792" spans="1:12" x14ac:dyDescent="0.25">
      <c r="A792" t="s">
        <v>503</v>
      </c>
      <c r="B792" s="5">
        <v>383969</v>
      </c>
      <c r="C792" t="s">
        <v>189</v>
      </c>
      <c r="D792" s="1" t="str">
        <f>"38261"</f>
        <v>38261</v>
      </c>
      <c r="E792" t="s">
        <v>10</v>
      </c>
      <c r="F792" t="s">
        <v>504</v>
      </c>
      <c r="G792" s="1" t="str">
        <f>"002"</f>
        <v>002</v>
      </c>
      <c r="H792" s="1">
        <v>1998</v>
      </c>
      <c r="I792" s="6">
        <v>242700</v>
      </c>
      <c r="J792" s="6">
        <v>28500</v>
      </c>
      <c r="K792" s="6">
        <v>214200</v>
      </c>
      <c r="L792" s="7"/>
    </row>
    <row r="793" spans="1:12" x14ac:dyDescent="0.25">
      <c r="A793" t="s">
        <v>505</v>
      </c>
      <c r="B793" s="5">
        <v>122016</v>
      </c>
      <c r="C793" t="s">
        <v>221</v>
      </c>
      <c r="D793" s="1" t="str">
        <f>"12131"</f>
        <v>12131</v>
      </c>
      <c r="E793" t="s">
        <v>15</v>
      </c>
      <c r="F793" t="s">
        <v>506</v>
      </c>
      <c r="G793" s="1" t="str">
        <f>"001"</f>
        <v>001</v>
      </c>
      <c r="H793" s="1">
        <v>2000</v>
      </c>
      <c r="I793" s="6">
        <v>2555800</v>
      </c>
      <c r="J793" s="6">
        <v>7900</v>
      </c>
      <c r="K793" s="6">
        <v>2547900</v>
      </c>
      <c r="L793" s="7"/>
    </row>
    <row r="794" spans="1:12" x14ac:dyDescent="0.25">
      <c r="A794" t="s">
        <v>505</v>
      </c>
      <c r="B794" s="5">
        <v>122016</v>
      </c>
      <c r="C794" t="s">
        <v>221</v>
      </c>
      <c r="D794" s="1" t="str">
        <f>"12131"</f>
        <v>12131</v>
      </c>
      <c r="E794" t="s">
        <v>15</v>
      </c>
      <c r="F794" t="s">
        <v>506</v>
      </c>
      <c r="G794" s="1" t="str">
        <f>"003"</f>
        <v>003</v>
      </c>
      <c r="H794" s="1">
        <v>2018</v>
      </c>
      <c r="I794" s="6">
        <v>0</v>
      </c>
      <c r="J794" s="6">
        <v>0</v>
      </c>
      <c r="K794" s="6">
        <v>0</v>
      </c>
      <c r="L794" s="7"/>
    </row>
    <row r="795" spans="1:12" x14ac:dyDescent="0.25">
      <c r="A795" t="s">
        <v>505</v>
      </c>
      <c r="B795" s="5">
        <v>122016</v>
      </c>
      <c r="C795" t="s">
        <v>221</v>
      </c>
      <c r="D795" s="1" t="str">
        <f>"12131"</f>
        <v>12131</v>
      </c>
      <c r="E795" t="s">
        <v>15</v>
      </c>
      <c r="F795" t="s">
        <v>506</v>
      </c>
      <c r="G795" s="1" t="str">
        <f>"004"</f>
        <v>004</v>
      </c>
      <c r="H795" s="1">
        <v>2018</v>
      </c>
      <c r="I795" s="6">
        <v>206700</v>
      </c>
      <c r="J795" s="6">
        <v>206800</v>
      </c>
      <c r="K795" s="6">
        <v>-100</v>
      </c>
      <c r="L795" s="7"/>
    </row>
    <row r="796" spans="1:12" x14ac:dyDescent="0.25">
      <c r="A796" t="s">
        <v>507</v>
      </c>
      <c r="B796" s="5">
        <v>203983</v>
      </c>
      <c r="C796" t="s">
        <v>152</v>
      </c>
      <c r="D796" s="1" t="str">
        <f>"20161"</f>
        <v>20161</v>
      </c>
      <c r="E796" t="s">
        <v>15</v>
      </c>
      <c r="F796" t="s">
        <v>508</v>
      </c>
      <c r="G796" s="1" t="str">
        <f>"001"</f>
        <v>001</v>
      </c>
      <c r="H796" s="1">
        <v>1999</v>
      </c>
      <c r="I796" s="6">
        <v>21820200</v>
      </c>
      <c r="J796" s="6">
        <v>200500</v>
      </c>
      <c r="K796" s="6">
        <v>21619700</v>
      </c>
      <c r="L796" s="7"/>
    </row>
    <row r="797" spans="1:12" x14ac:dyDescent="0.25">
      <c r="A797" t="s">
        <v>507</v>
      </c>
      <c r="B797" s="5">
        <v>203983</v>
      </c>
      <c r="C797" t="s">
        <v>152</v>
      </c>
      <c r="D797" s="1" t="str">
        <f>"20161"</f>
        <v>20161</v>
      </c>
      <c r="E797" t="s">
        <v>15</v>
      </c>
      <c r="F797" t="s">
        <v>508</v>
      </c>
      <c r="G797" s="1" t="str">
        <f>"002"</f>
        <v>002</v>
      </c>
      <c r="H797" s="1">
        <v>2008</v>
      </c>
      <c r="I797" s="6">
        <v>3945100</v>
      </c>
      <c r="J797" s="6">
        <v>4175100</v>
      </c>
      <c r="K797" s="6">
        <v>-230000</v>
      </c>
      <c r="L797" s="7"/>
    </row>
    <row r="798" spans="1:12" x14ac:dyDescent="0.25">
      <c r="A798" t="s">
        <v>509</v>
      </c>
      <c r="B798" s="5">
        <v>631526</v>
      </c>
      <c r="C798" t="s">
        <v>510</v>
      </c>
      <c r="D798" s="1" t="str">
        <f>"63221"</f>
        <v>63221</v>
      </c>
      <c r="E798" t="s">
        <v>10</v>
      </c>
      <c r="F798" t="s">
        <v>511</v>
      </c>
      <c r="G798" s="1" t="str">
        <f>"002"</f>
        <v>002</v>
      </c>
      <c r="H798" s="1">
        <v>2007</v>
      </c>
      <c r="I798" s="6">
        <v>11522800</v>
      </c>
      <c r="J798" s="6">
        <v>4062400</v>
      </c>
      <c r="K798" s="6">
        <v>7460400</v>
      </c>
      <c r="L798" s="7"/>
    </row>
    <row r="799" spans="1:12" x14ac:dyDescent="0.25">
      <c r="A799" t="s">
        <v>509</v>
      </c>
      <c r="B799" s="5">
        <v>631526</v>
      </c>
      <c r="C799" t="s">
        <v>510</v>
      </c>
      <c r="D799" s="1" t="str">
        <f>"63221"</f>
        <v>63221</v>
      </c>
      <c r="E799" t="s">
        <v>10</v>
      </c>
      <c r="F799" t="s">
        <v>511</v>
      </c>
      <c r="G799" s="1" t="str">
        <f>"003"</f>
        <v>003</v>
      </c>
      <c r="H799" s="1">
        <v>2007</v>
      </c>
      <c r="I799" s="6">
        <v>17198200</v>
      </c>
      <c r="J799" s="6">
        <v>8138700</v>
      </c>
      <c r="K799" s="6">
        <v>9059500</v>
      </c>
      <c r="L799" s="7"/>
    </row>
    <row r="800" spans="1:12" x14ac:dyDescent="0.25">
      <c r="A800" t="s">
        <v>512</v>
      </c>
      <c r="B800" s="5">
        <v>653654</v>
      </c>
      <c r="C800" t="s">
        <v>103</v>
      </c>
      <c r="D800" s="1" t="str">
        <f>"65151"</f>
        <v>65151</v>
      </c>
      <c r="E800" t="s">
        <v>15</v>
      </c>
      <c r="F800" t="s">
        <v>513</v>
      </c>
      <c r="G800" s="1" t="str">
        <f>"001"</f>
        <v>001</v>
      </c>
      <c r="H800" s="1">
        <v>1988</v>
      </c>
      <c r="I800" s="6">
        <v>711100</v>
      </c>
      <c r="J800" s="6">
        <v>306000</v>
      </c>
      <c r="K800" s="6">
        <v>405100</v>
      </c>
      <c r="L800" s="7"/>
    </row>
    <row r="801" spans="1:12" x14ac:dyDescent="0.25">
      <c r="A801" t="s">
        <v>512</v>
      </c>
      <c r="B801" s="5">
        <v>653654</v>
      </c>
      <c r="C801" t="s">
        <v>103</v>
      </c>
      <c r="D801" s="1" t="str">
        <f>"65151"</f>
        <v>65151</v>
      </c>
      <c r="E801" t="s">
        <v>15</v>
      </c>
      <c r="F801" t="s">
        <v>513</v>
      </c>
      <c r="G801" s="1" t="str">
        <f>"002"</f>
        <v>002</v>
      </c>
      <c r="H801" s="1">
        <v>1997</v>
      </c>
      <c r="I801" s="6">
        <v>7553700</v>
      </c>
      <c r="J801" s="6">
        <v>1390200</v>
      </c>
      <c r="K801" s="6">
        <v>6163500</v>
      </c>
      <c r="L801" s="7"/>
    </row>
    <row r="802" spans="1:12" x14ac:dyDescent="0.25">
      <c r="A802" t="s">
        <v>512</v>
      </c>
      <c r="B802" s="5">
        <v>653654</v>
      </c>
      <c r="C802" t="s">
        <v>103</v>
      </c>
      <c r="D802" s="1" t="str">
        <f>"65151"</f>
        <v>65151</v>
      </c>
      <c r="E802" t="s">
        <v>15</v>
      </c>
      <c r="F802" t="s">
        <v>513</v>
      </c>
      <c r="G802" s="1" t="str">
        <f>"003"</f>
        <v>003</v>
      </c>
      <c r="H802" s="1">
        <v>2010</v>
      </c>
      <c r="I802" s="6">
        <v>933100</v>
      </c>
      <c r="J802" s="6">
        <v>84900</v>
      </c>
      <c r="K802" s="6">
        <v>848200</v>
      </c>
      <c r="L802" s="7"/>
    </row>
    <row r="803" spans="1:12" x14ac:dyDescent="0.25">
      <c r="A803" t="s">
        <v>514</v>
      </c>
      <c r="B803" s="5">
        <v>413990</v>
      </c>
      <c r="C803" t="s">
        <v>70</v>
      </c>
      <c r="D803" s="1" t="str">
        <f>"41191"</f>
        <v>41191</v>
      </c>
      <c r="E803" t="s">
        <v>15</v>
      </c>
      <c r="F803" t="s">
        <v>515</v>
      </c>
      <c r="G803" s="1" t="str">
        <f>"002"</f>
        <v>002</v>
      </c>
      <c r="H803" s="1">
        <v>1998</v>
      </c>
      <c r="I803" s="6">
        <v>19357500</v>
      </c>
      <c r="J803" s="6">
        <v>2261500</v>
      </c>
      <c r="K803" s="6">
        <v>17096000</v>
      </c>
      <c r="L803" s="7"/>
    </row>
    <row r="804" spans="1:12" x14ac:dyDescent="0.25">
      <c r="A804" t="s">
        <v>514</v>
      </c>
      <c r="B804" s="5">
        <v>413990</v>
      </c>
      <c r="C804" t="s">
        <v>224</v>
      </c>
      <c r="D804" s="1" t="str">
        <f>"62165"</f>
        <v>62165</v>
      </c>
      <c r="E804" t="s">
        <v>15</v>
      </c>
      <c r="F804" t="s">
        <v>516</v>
      </c>
      <c r="G804" s="1" t="str">
        <f>"001"</f>
        <v>001</v>
      </c>
      <c r="H804" s="1">
        <v>1998</v>
      </c>
      <c r="I804" s="6">
        <v>2092900</v>
      </c>
      <c r="J804" s="6">
        <v>486500</v>
      </c>
      <c r="K804" s="6">
        <v>1606400</v>
      </c>
      <c r="L804" s="7"/>
    </row>
    <row r="805" spans="1:12" x14ac:dyDescent="0.25">
      <c r="A805" t="s">
        <v>517</v>
      </c>
      <c r="B805" s="5">
        <v>404018</v>
      </c>
      <c r="C805" t="s">
        <v>134</v>
      </c>
      <c r="D805" s="1" t="str">
        <f>"40226"</f>
        <v>40226</v>
      </c>
      <c r="E805" t="s">
        <v>10</v>
      </c>
      <c r="F805" t="s">
        <v>290</v>
      </c>
      <c r="G805" s="1" t="str">
        <f>"003"</f>
        <v>003</v>
      </c>
      <c r="H805" s="1">
        <v>2005</v>
      </c>
      <c r="I805" s="6">
        <v>238269700</v>
      </c>
      <c r="J805" s="6">
        <v>173488200</v>
      </c>
      <c r="K805" s="6">
        <v>64781500</v>
      </c>
      <c r="L805" s="7"/>
    </row>
    <row r="806" spans="1:12" x14ac:dyDescent="0.25">
      <c r="A806" t="s">
        <v>517</v>
      </c>
      <c r="B806" s="5">
        <v>404018</v>
      </c>
      <c r="C806" t="s">
        <v>134</v>
      </c>
      <c r="D806" s="1" t="str">
        <f>"40226"</f>
        <v>40226</v>
      </c>
      <c r="E806" t="s">
        <v>10</v>
      </c>
      <c r="F806" t="s">
        <v>290</v>
      </c>
      <c r="G806" s="1" t="str">
        <f>"004"</f>
        <v>004</v>
      </c>
      <c r="H806" s="1">
        <v>2005</v>
      </c>
      <c r="I806" s="6">
        <v>72447400</v>
      </c>
      <c r="J806" s="6">
        <v>19817900</v>
      </c>
      <c r="K806" s="6">
        <v>52629500</v>
      </c>
      <c r="L806" s="7"/>
    </row>
    <row r="807" spans="1:12" x14ac:dyDescent="0.25">
      <c r="A807" t="s">
        <v>517</v>
      </c>
      <c r="B807" s="5">
        <v>404018</v>
      </c>
      <c r="C807" t="s">
        <v>134</v>
      </c>
      <c r="D807" s="1" t="str">
        <f t="shared" ref="D807:D816" si="27">"40265"</f>
        <v>40265</v>
      </c>
      <c r="E807" t="s">
        <v>10</v>
      </c>
      <c r="F807" t="s">
        <v>518</v>
      </c>
      <c r="G807" s="1" t="str">
        <f>"006"</f>
        <v>006</v>
      </c>
      <c r="H807" s="1">
        <v>2001</v>
      </c>
      <c r="I807" s="6">
        <v>16264200</v>
      </c>
      <c r="J807" s="6">
        <v>1377200</v>
      </c>
      <c r="K807" s="6">
        <v>14887000</v>
      </c>
      <c r="L807" s="7"/>
    </row>
    <row r="808" spans="1:12" x14ac:dyDescent="0.25">
      <c r="A808" t="s">
        <v>517</v>
      </c>
      <c r="B808" s="5">
        <v>404018</v>
      </c>
      <c r="C808" t="s">
        <v>134</v>
      </c>
      <c r="D808" s="1" t="str">
        <f t="shared" si="27"/>
        <v>40265</v>
      </c>
      <c r="E808" t="s">
        <v>10</v>
      </c>
      <c r="F808" t="s">
        <v>518</v>
      </c>
      <c r="G808" s="1" t="str">
        <f>"007"</f>
        <v>007</v>
      </c>
      <c r="H808" s="1">
        <v>2007</v>
      </c>
      <c r="I808" s="6">
        <v>191529400</v>
      </c>
      <c r="J808" s="6">
        <v>165053100</v>
      </c>
      <c r="K808" s="6">
        <v>26476300</v>
      </c>
      <c r="L808" s="7"/>
    </row>
    <row r="809" spans="1:12" x14ac:dyDescent="0.25">
      <c r="A809" t="s">
        <v>517</v>
      </c>
      <c r="B809" s="5">
        <v>404018</v>
      </c>
      <c r="C809" t="s">
        <v>134</v>
      </c>
      <c r="D809" s="1" t="str">
        <f t="shared" si="27"/>
        <v>40265</v>
      </c>
      <c r="E809" t="s">
        <v>10</v>
      </c>
      <c r="F809" t="s">
        <v>518</v>
      </c>
      <c r="G809" s="1" t="str">
        <f>"008"</f>
        <v>008</v>
      </c>
      <c r="H809" s="1">
        <v>2009</v>
      </c>
      <c r="I809" s="6">
        <v>101365600</v>
      </c>
      <c r="J809" s="6">
        <v>23056600</v>
      </c>
      <c r="K809" s="6">
        <v>78309000</v>
      </c>
      <c r="L809" s="7"/>
    </row>
    <row r="810" spans="1:12" x14ac:dyDescent="0.25">
      <c r="A810" t="s">
        <v>517</v>
      </c>
      <c r="B810" s="5">
        <v>404018</v>
      </c>
      <c r="C810" t="s">
        <v>134</v>
      </c>
      <c r="D810" s="1" t="str">
        <f t="shared" si="27"/>
        <v>40265</v>
      </c>
      <c r="E810" t="s">
        <v>10</v>
      </c>
      <c r="F810" t="s">
        <v>518</v>
      </c>
      <c r="G810" s="1" t="str">
        <f>"010"</f>
        <v>010</v>
      </c>
      <c r="H810" s="1">
        <v>2010</v>
      </c>
      <c r="I810" s="6">
        <v>36712500</v>
      </c>
      <c r="J810" s="6">
        <v>19223700</v>
      </c>
      <c r="K810" s="6">
        <v>17488800</v>
      </c>
      <c r="L810" s="7"/>
    </row>
    <row r="811" spans="1:12" x14ac:dyDescent="0.25">
      <c r="A811" t="s">
        <v>517</v>
      </c>
      <c r="B811" s="5">
        <v>404018</v>
      </c>
      <c r="C811" t="s">
        <v>134</v>
      </c>
      <c r="D811" s="1" t="str">
        <f t="shared" si="27"/>
        <v>40265</v>
      </c>
      <c r="E811" t="s">
        <v>10</v>
      </c>
      <c r="F811" t="s">
        <v>518</v>
      </c>
      <c r="G811" s="1" t="str">
        <f>"011"</f>
        <v>011</v>
      </c>
      <c r="H811" s="1">
        <v>2012</v>
      </c>
      <c r="I811" s="6">
        <v>152269900</v>
      </c>
      <c r="J811" s="6">
        <v>12861900</v>
      </c>
      <c r="K811" s="6">
        <v>139408000</v>
      </c>
      <c r="L811" s="7"/>
    </row>
    <row r="812" spans="1:12" x14ac:dyDescent="0.25">
      <c r="A812" t="s">
        <v>517</v>
      </c>
      <c r="B812" s="5">
        <v>404018</v>
      </c>
      <c r="C812" t="s">
        <v>134</v>
      </c>
      <c r="D812" s="1" t="str">
        <f t="shared" si="27"/>
        <v>40265</v>
      </c>
      <c r="E812" t="s">
        <v>10</v>
      </c>
      <c r="F812" t="s">
        <v>518</v>
      </c>
      <c r="G812" s="1" t="str">
        <f>"012"</f>
        <v>012</v>
      </c>
      <c r="H812" s="1">
        <v>2016</v>
      </c>
      <c r="I812" s="6">
        <v>42207000</v>
      </c>
      <c r="J812" s="6">
        <v>10700</v>
      </c>
      <c r="K812" s="6">
        <v>42196300</v>
      </c>
      <c r="L812" s="7"/>
    </row>
    <row r="813" spans="1:12" x14ac:dyDescent="0.25">
      <c r="A813" t="s">
        <v>517</v>
      </c>
      <c r="B813" s="5">
        <v>404018</v>
      </c>
      <c r="C813" t="s">
        <v>134</v>
      </c>
      <c r="D813" s="1" t="str">
        <f t="shared" si="27"/>
        <v>40265</v>
      </c>
      <c r="E813" t="s">
        <v>10</v>
      </c>
      <c r="F813" t="s">
        <v>518</v>
      </c>
      <c r="G813" s="1" t="str">
        <f>"013"</f>
        <v>013</v>
      </c>
      <c r="H813" s="1">
        <v>2017</v>
      </c>
      <c r="I813" s="6">
        <v>5037700</v>
      </c>
      <c r="J813" s="6">
        <v>4703500</v>
      </c>
      <c r="K813" s="6">
        <v>334200</v>
      </c>
      <c r="L813" s="7"/>
    </row>
    <row r="814" spans="1:12" x14ac:dyDescent="0.25">
      <c r="A814" t="s">
        <v>517</v>
      </c>
      <c r="B814" s="5">
        <v>404018</v>
      </c>
      <c r="C814" t="s">
        <v>134</v>
      </c>
      <c r="D814" s="1" t="str">
        <f t="shared" si="27"/>
        <v>40265</v>
      </c>
      <c r="E814" t="s">
        <v>10</v>
      </c>
      <c r="F814" t="s">
        <v>518</v>
      </c>
      <c r="G814" s="1" t="str">
        <f>"014"</f>
        <v>014</v>
      </c>
      <c r="H814" s="1">
        <v>2018</v>
      </c>
      <c r="I814" s="6">
        <v>457800</v>
      </c>
      <c r="J814" s="6">
        <v>641300</v>
      </c>
      <c r="K814" s="6">
        <v>-183500</v>
      </c>
      <c r="L814" s="7"/>
    </row>
    <row r="815" spans="1:12" x14ac:dyDescent="0.25">
      <c r="A815" t="s">
        <v>517</v>
      </c>
      <c r="B815" s="5">
        <v>404018</v>
      </c>
      <c r="C815" t="s">
        <v>134</v>
      </c>
      <c r="D815" s="1" t="str">
        <f t="shared" si="27"/>
        <v>40265</v>
      </c>
      <c r="E815" t="s">
        <v>10</v>
      </c>
      <c r="F815" t="s">
        <v>518</v>
      </c>
      <c r="G815" s="1" t="str">
        <f>"015"</f>
        <v>015</v>
      </c>
      <c r="H815" s="1">
        <v>2018</v>
      </c>
      <c r="I815" s="6">
        <v>2924900</v>
      </c>
      <c r="J815" s="6">
        <v>1899900</v>
      </c>
      <c r="K815" s="6">
        <v>1025000</v>
      </c>
      <c r="L815" s="7"/>
    </row>
    <row r="816" spans="1:12" x14ac:dyDescent="0.25">
      <c r="A816" t="s">
        <v>517</v>
      </c>
      <c r="B816" s="5">
        <v>404018</v>
      </c>
      <c r="C816" t="s">
        <v>134</v>
      </c>
      <c r="D816" s="1" t="str">
        <f t="shared" si="27"/>
        <v>40265</v>
      </c>
      <c r="E816" t="s">
        <v>10</v>
      </c>
      <c r="F816" t="s">
        <v>518</v>
      </c>
      <c r="G816" s="1" t="str">
        <f>"016"</f>
        <v>016</v>
      </c>
      <c r="H816" s="1">
        <v>2018</v>
      </c>
      <c r="I816" s="6">
        <v>11422200</v>
      </c>
      <c r="J816" s="6">
        <v>1549200</v>
      </c>
      <c r="K816" s="6">
        <v>9873000</v>
      </c>
      <c r="L816" s="7"/>
    </row>
    <row r="817" spans="1:12" x14ac:dyDescent="0.25">
      <c r="A817" t="s">
        <v>519</v>
      </c>
      <c r="B817" s="5">
        <v>204025</v>
      </c>
      <c r="C817" t="s">
        <v>152</v>
      </c>
      <c r="D817" s="1" t="str">
        <f>"20165"</f>
        <v>20165</v>
      </c>
      <c r="E817" t="s">
        <v>15</v>
      </c>
      <c r="F817" t="s">
        <v>520</v>
      </c>
      <c r="G817" s="1" t="str">
        <f>"001"</f>
        <v>001</v>
      </c>
      <c r="H817" s="1">
        <v>1995</v>
      </c>
      <c r="I817" s="6">
        <v>10654400</v>
      </c>
      <c r="J817" s="6">
        <v>1707500</v>
      </c>
      <c r="K817" s="6">
        <v>8946900</v>
      </c>
      <c r="L817" s="7"/>
    </row>
    <row r="818" spans="1:12" x14ac:dyDescent="0.25">
      <c r="A818" t="s">
        <v>519</v>
      </c>
      <c r="B818" s="5">
        <v>204025</v>
      </c>
      <c r="C818" t="s">
        <v>152</v>
      </c>
      <c r="D818" s="1" t="str">
        <f>"20165"</f>
        <v>20165</v>
      </c>
      <c r="E818" t="s">
        <v>15</v>
      </c>
      <c r="F818" t="s">
        <v>520</v>
      </c>
      <c r="G818" s="1" t="str">
        <f>"002"</f>
        <v>002</v>
      </c>
      <c r="H818" s="1">
        <v>1997</v>
      </c>
      <c r="I818" s="6">
        <v>3531900</v>
      </c>
      <c r="J818" s="6">
        <v>888200</v>
      </c>
      <c r="K818" s="6">
        <v>2643700</v>
      </c>
      <c r="L818" s="7"/>
    </row>
    <row r="819" spans="1:12" x14ac:dyDescent="0.25">
      <c r="A819" t="s">
        <v>521</v>
      </c>
      <c r="B819" s="5">
        <v>674060</v>
      </c>
      <c r="C819" t="s">
        <v>268</v>
      </c>
      <c r="D819" s="1" t="str">
        <f>"67265"</f>
        <v>67265</v>
      </c>
      <c r="E819" t="s">
        <v>10</v>
      </c>
      <c r="F819" t="s">
        <v>522</v>
      </c>
      <c r="G819" s="1" t="str">
        <f>"004"</f>
        <v>004</v>
      </c>
      <c r="H819" s="1">
        <v>2003</v>
      </c>
      <c r="I819" s="6">
        <v>80988300</v>
      </c>
      <c r="J819" s="6">
        <v>50424400</v>
      </c>
      <c r="K819" s="6">
        <v>30563900</v>
      </c>
      <c r="L819" s="7"/>
    </row>
    <row r="820" spans="1:12" x14ac:dyDescent="0.25">
      <c r="A820" t="s">
        <v>521</v>
      </c>
      <c r="B820" s="5">
        <v>674060</v>
      </c>
      <c r="C820" t="s">
        <v>268</v>
      </c>
      <c r="D820" s="1" t="str">
        <f>"67265"</f>
        <v>67265</v>
      </c>
      <c r="E820" t="s">
        <v>10</v>
      </c>
      <c r="F820" t="s">
        <v>522</v>
      </c>
      <c r="G820" s="1" t="str">
        <f>"005"</f>
        <v>005</v>
      </c>
      <c r="H820" s="1">
        <v>2017</v>
      </c>
      <c r="I820" s="6">
        <v>23010400</v>
      </c>
      <c r="J820" s="6">
        <v>6019700</v>
      </c>
      <c r="K820" s="6">
        <v>16990700</v>
      </c>
      <c r="L820" s="7"/>
    </row>
    <row r="821" spans="1:12" x14ac:dyDescent="0.25">
      <c r="A821" t="s">
        <v>521</v>
      </c>
      <c r="B821" s="5">
        <v>674060</v>
      </c>
      <c r="C821" t="s">
        <v>268</v>
      </c>
      <c r="D821" s="1" t="str">
        <f>"67265"</f>
        <v>67265</v>
      </c>
      <c r="E821" t="s">
        <v>10</v>
      </c>
      <c r="F821" t="s">
        <v>522</v>
      </c>
      <c r="G821" s="1" t="str">
        <f>"006"</f>
        <v>006</v>
      </c>
      <c r="H821" s="1">
        <v>2017</v>
      </c>
      <c r="I821" s="6">
        <v>14912800</v>
      </c>
      <c r="J821" s="6">
        <v>1801800</v>
      </c>
      <c r="K821" s="6">
        <v>13111000</v>
      </c>
      <c r="L821" s="7"/>
    </row>
    <row r="822" spans="1:12" x14ac:dyDescent="0.25">
      <c r="A822" t="s">
        <v>523</v>
      </c>
      <c r="B822" s="5">
        <v>424067</v>
      </c>
      <c r="C822" t="s">
        <v>304</v>
      </c>
      <c r="D822" s="1" t="str">
        <f>"42265"</f>
        <v>42265</v>
      </c>
      <c r="E822" t="s">
        <v>10</v>
      </c>
      <c r="F822" t="s">
        <v>304</v>
      </c>
      <c r="G822" s="1" t="str">
        <f>"003"</f>
        <v>003</v>
      </c>
      <c r="H822" s="1">
        <v>2007</v>
      </c>
      <c r="I822" s="6">
        <v>14412100</v>
      </c>
      <c r="J822" s="6">
        <v>13416200</v>
      </c>
      <c r="K822" s="6">
        <v>995900</v>
      </c>
      <c r="L822" s="7"/>
    </row>
    <row r="823" spans="1:12" x14ac:dyDescent="0.25">
      <c r="A823" t="s">
        <v>523</v>
      </c>
      <c r="B823" s="5">
        <v>424067</v>
      </c>
      <c r="C823" t="s">
        <v>304</v>
      </c>
      <c r="D823" s="1" t="str">
        <f>"42265"</f>
        <v>42265</v>
      </c>
      <c r="E823" t="s">
        <v>10</v>
      </c>
      <c r="F823" t="s">
        <v>304</v>
      </c>
      <c r="G823" s="1" t="str">
        <f>"004"</f>
        <v>004</v>
      </c>
      <c r="H823" s="1">
        <v>2010</v>
      </c>
      <c r="I823" s="6">
        <v>9382800</v>
      </c>
      <c r="J823" s="6">
        <v>1428600</v>
      </c>
      <c r="K823" s="6">
        <v>7954200</v>
      </c>
      <c r="L823" s="7"/>
    </row>
    <row r="824" spans="1:12" x14ac:dyDescent="0.25">
      <c r="A824" t="s">
        <v>524</v>
      </c>
      <c r="B824" s="5">
        <v>704088</v>
      </c>
      <c r="C824" t="s">
        <v>444</v>
      </c>
      <c r="D824" s="1" t="str">
        <f>"70265"</f>
        <v>70265</v>
      </c>
      <c r="E824" t="s">
        <v>10</v>
      </c>
      <c r="F824" t="s">
        <v>525</v>
      </c>
      <c r="G824" s="1" t="str">
        <f>"007"</f>
        <v>007</v>
      </c>
      <c r="H824" s="1">
        <v>2017</v>
      </c>
      <c r="I824" s="6">
        <v>6484700</v>
      </c>
      <c r="J824" s="6">
        <v>4338300</v>
      </c>
      <c r="K824" s="6">
        <v>2146400</v>
      </c>
      <c r="L824" s="7"/>
    </row>
    <row r="825" spans="1:12" x14ac:dyDescent="0.25">
      <c r="A825" t="s">
        <v>526</v>
      </c>
      <c r="B825" s="5">
        <v>594137</v>
      </c>
      <c r="C825" t="s">
        <v>159</v>
      </c>
      <c r="D825" s="1" t="str">
        <f>"59165"</f>
        <v>59165</v>
      </c>
      <c r="E825" t="s">
        <v>15</v>
      </c>
      <c r="F825" t="s">
        <v>527</v>
      </c>
      <c r="G825" s="1" t="str">
        <f>"001"</f>
        <v>001</v>
      </c>
      <c r="H825" s="1">
        <v>1999</v>
      </c>
      <c r="I825" s="6">
        <v>21142500</v>
      </c>
      <c r="J825" s="6">
        <v>403600</v>
      </c>
      <c r="K825" s="6">
        <v>20738900</v>
      </c>
      <c r="L825" s="7"/>
    </row>
    <row r="826" spans="1:12" x14ac:dyDescent="0.25">
      <c r="A826" t="s">
        <v>526</v>
      </c>
      <c r="B826" s="5">
        <v>594137</v>
      </c>
      <c r="C826" t="s">
        <v>159</v>
      </c>
      <c r="D826" s="1" t="str">
        <f>"59165"</f>
        <v>59165</v>
      </c>
      <c r="E826" t="s">
        <v>15</v>
      </c>
      <c r="F826" t="s">
        <v>527</v>
      </c>
      <c r="G826" s="1" t="str">
        <f>"002"</f>
        <v>002</v>
      </c>
      <c r="H826" s="1">
        <v>2001</v>
      </c>
      <c r="I826" s="6">
        <v>15513000</v>
      </c>
      <c r="J826" s="6">
        <v>5477800</v>
      </c>
      <c r="K826" s="6">
        <v>10035200</v>
      </c>
      <c r="L826" s="7"/>
    </row>
    <row r="827" spans="1:12" x14ac:dyDescent="0.25">
      <c r="A827" t="s">
        <v>526</v>
      </c>
      <c r="B827" s="5">
        <v>594137</v>
      </c>
      <c r="C827" t="s">
        <v>159</v>
      </c>
      <c r="D827" s="1" t="str">
        <f>"59165"</f>
        <v>59165</v>
      </c>
      <c r="E827" t="s">
        <v>15</v>
      </c>
      <c r="F827" t="s">
        <v>527</v>
      </c>
      <c r="G827" s="1" t="str">
        <f>"003"</f>
        <v>003</v>
      </c>
      <c r="H827" s="1">
        <v>2017</v>
      </c>
      <c r="I827" s="6">
        <v>17900500</v>
      </c>
      <c r="J827" s="6">
        <v>708100</v>
      </c>
      <c r="K827" s="6">
        <v>17192400</v>
      </c>
      <c r="L827" s="7"/>
    </row>
    <row r="828" spans="1:12" x14ac:dyDescent="0.25">
      <c r="A828" t="s">
        <v>528</v>
      </c>
      <c r="B828" s="5">
        <v>134144</v>
      </c>
      <c r="C828" t="s">
        <v>89</v>
      </c>
      <c r="D828" s="1" t="str">
        <f>"13109"</f>
        <v>13109</v>
      </c>
      <c r="E828" t="s">
        <v>15</v>
      </c>
      <c r="F828" t="s">
        <v>529</v>
      </c>
      <c r="G828" s="1" t="str">
        <f>"001"</f>
        <v>001</v>
      </c>
      <c r="H828" s="1">
        <v>2008</v>
      </c>
      <c r="I828" s="6">
        <v>1038900</v>
      </c>
      <c r="J828" s="6">
        <v>833000</v>
      </c>
      <c r="K828" s="6">
        <v>205900</v>
      </c>
      <c r="L828" s="7"/>
    </row>
    <row r="829" spans="1:12" x14ac:dyDescent="0.25">
      <c r="A829" t="s">
        <v>528</v>
      </c>
      <c r="B829" s="5">
        <v>134144</v>
      </c>
      <c r="C829" t="s">
        <v>89</v>
      </c>
      <c r="D829" s="1" t="str">
        <f>"13109"</f>
        <v>13109</v>
      </c>
      <c r="E829" t="s">
        <v>15</v>
      </c>
      <c r="F829" t="s">
        <v>529</v>
      </c>
      <c r="G829" s="1" t="str">
        <f>"002"</f>
        <v>002</v>
      </c>
      <c r="H829" s="1">
        <v>2013</v>
      </c>
      <c r="I829" s="6">
        <v>748900</v>
      </c>
      <c r="J829" s="6">
        <v>21100</v>
      </c>
      <c r="K829" s="6">
        <v>727800</v>
      </c>
      <c r="L829" s="7"/>
    </row>
    <row r="830" spans="1:12" x14ac:dyDescent="0.25">
      <c r="A830" t="s">
        <v>528</v>
      </c>
      <c r="B830" s="5">
        <v>134144</v>
      </c>
      <c r="C830" t="s">
        <v>89</v>
      </c>
      <c r="D830" s="1" t="str">
        <f>"13225"</f>
        <v>13225</v>
      </c>
      <c r="E830" t="s">
        <v>10</v>
      </c>
      <c r="F830" t="s">
        <v>416</v>
      </c>
      <c r="G830" s="1" t="str">
        <f>"004"</f>
        <v>004</v>
      </c>
      <c r="H830" s="1">
        <v>2003</v>
      </c>
      <c r="I830" s="6">
        <v>36919500</v>
      </c>
      <c r="J830" s="6">
        <v>3331600</v>
      </c>
      <c r="K830" s="6">
        <v>33587900</v>
      </c>
      <c r="L830" s="7"/>
    </row>
    <row r="831" spans="1:12" x14ac:dyDescent="0.25">
      <c r="A831" t="s">
        <v>528</v>
      </c>
      <c r="B831" s="5">
        <v>134144</v>
      </c>
      <c r="C831" t="s">
        <v>89</v>
      </c>
      <c r="D831" s="1" t="str">
        <f>"13225"</f>
        <v>13225</v>
      </c>
      <c r="E831" t="s">
        <v>10</v>
      </c>
      <c r="F831" t="s">
        <v>416</v>
      </c>
      <c r="G831" s="1" t="str">
        <f>"011"</f>
        <v>011</v>
      </c>
      <c r="H831" s="1">
        <v>2018</v>
      </c>
      <c r="I831" s="6">
        <v>448300</v>
      </c>
      <c r="J831" s="6">
        <v>436200</v>
      </c>
      <c r="K831" s="6">
        <v>12100</v>
      </c>
      <c r="L831" s="7"/>
    </row>
    <row r="832" spans="1:12" x14ac:dyDescent="0.25">
      <c r="A832" t="s">
        <v>528</v>
      </c>
      <c r="B832" s="5">
        <v>134144</v>
      </c>
      <c r="C832" t="s">
        <v>89</v>
      </c>
      <c r="D832" s="1" t="str">
        <f>"13225"</f>
        <v>13225</v>
      </c>
      <c r="E832" t="s">
        <v>10</v>
      </c>
      <c r="F832" t="s">
        <v>416</v>
      </c>
      <c r="G832" s="1" t="str">
        <f>"012"</f>
        <v>012</v>
      </c>
      <c r="H832" s="1">
        <v>2018</v>
      </c>
      <c r="I832" s="6">
        <v>10793300</v>
      </c>
      <c r="J832" s="6">
        <v>6900</v>
      </c>
      <c r="K832" s="6">
        <v>10786400</v>
      </c>
      <c r="L832" s="7">
        <v>9851900</v>
      </c>
    </row>
    <row r="833" spans="1:12" x14ac:dyDescent="0.25">
      <c r="A833" t="s">
        <v>528</v>
      </c>
      <c r="B833" s="5">
        <v>134144</v>
      </c>
      <c r="C833" t="s">
        <v>89</v>
      </c>
      <c r="D833" s="1" t="str">
        <f>"13225"</f>
        <v>13225</v>
      </c>
      <c r="E833" t="s">
        <v>10</v>
      </c>
      <c r="F833" t="s">
        <v>416</v>
      </c>
      <c r="G833" s="1" t="str">
        <f>"013"</f>
        <v>013</v>
      </c>
      <c r="H833" s="1">
        <v>2018</v>
      </c>
      <c r="I833" s="6">
        <v>3049000</v>
      </c>
      <c r="J833" s="6">
        <v>16000</v>
      </c>
      <c r="K833" s="6">
        <v>3033000</v>
      </c>
      <c r="L833" s="7"/>
    </row>
    <row r="834" spans="1:12" x14ac:dyDescent="0.25">
      <c r="A834" t="s">
        <v>528</v>
      </c>
      <c r="B834" s="5">
        <v>134144</v>
      </c>
      <c r="C834" t="s">
        <v>89</v>
      </c>
      <c r="D834" s="1" t="str">
        <f>"13165"</f>
        <v>13165</v>
      </c>
      <c r="E834" t="s">
        <v>15</v>
      </c>
      <c r="F834" t="s">
        <v>530</v>
      </c>
      <c r="G834" s="1" t="str">
        <f>"003"</f>
        <v>003</v>
      </c>
      <c r="H834" s="1">
        <v>2005</v>
      </c>
      <c r="I834" s="6">
        <v>25918800</v>
      </c>
      <c r="J834" s="6">
        <v>15880800</v>
      </c>
      <c r="K834" s="6">
        <v>10038000</v>
      </c>
      <c r="L834" s="7"/>
    </row>
    <row r="835" spans="1:12" x14ac:dyDescent="0.25">
      <c r="A835" t="s">
        <v>528</v>
      </c>
      <c r="B835" s="5">
        <v>134144</v>
      </c>
      <c r="C835" t="s">
        <v>89</v>
      </c>
      <c r="D835" s="1" t="str">
        <f>"13165"</f>
        <v>13165</v>
      </c>
      <c r="E835" t="s">
        <v>15</v>
      </c>
      <c r="F835" t="s">
        <v>530</v>
      </c>
      <c r="G835" s="1" t="str">
        <f>"004"</f>
        <v>004</v>
      </c>
      <c r="H835" s="1">
        <v>2008</v>
      </c>
      <c r="I835" s="6">
        <v>15147500</v>
      </c>
      <c r="J835" s="6">
        <v>12818100</v>
      </c>
      <c r="K835" s="6">
        <v>2329400</v>
      </c>
      <c r="L835" s="7"/>
    </row>
    <row r="836" spans="1:12" x14ac:dyDescent="0.25">
      <c r="A836" t="s">
        <v>528</v>
      </c>
      <c r="B836" s="5">
        <v>134144</v>
      </c>
      <c r="C836" t="s">
        <v>89</v>
      </c>
      <c r="D836" s="1" t="str">
        <f>"13165"</f>
        <v>13165</v>
      </c>
      <c r="E836" t="s">
        <v>15</v>
      </c>
      <c r="F836" t="s">
        <v>530</v>
      </c>
      <c r="G836" s="1" t="str">
        <f>"005"</f>
        <v>005</v>
      </c>
      <c r="H836" s="1">
        <v>2017</v>
      </c>
      <c r="I836" s="6">
        <v>60910200</v>
      </c>
      <c r="J836" s="6">
        <v>53696700</v>
      </c>
      <c r="K836" s="6">
        <v>7213500</v>
      </c>
      <c r="L836" s="7"/>
    </row>
    <row r="837" spans="1:12" x14ac:dyDescent="0.25">
      <c r="A837" t="s">
        <v>528</v>
      </c>
      <c r="B837" s="5">
        <v>134144</v>
      </c>
      <c r="C837" t="s">
        <v>91</v>
      </c>
      <c r="D837" s="1" t="str">
        <f>"23109"</f>
        <v>23109</v>
      </c>
      <c r="E837" t="s">
        <v>15</v>
      </c>
      <c r="F837" t="s">
        <v>529</v>
      </c>
      <c r="G837" s="1" t="str">
        <f>"001"</f>
        <v>001</v>
      </c>
      <c r="H837" s="1">
        <v>2008</v>
      </c>
      <c r="I837" s="6">
        <v>5169500</v>
      </c>
      <c r="J837" s="6">
        <v>4400600</v>
      </c>
      <c r="K837" s="6">
        <v>768900</v>
      </c>
      <c r="L837" s="7"/>
    </row>
    <row r="838" spans="1:12" x14ac:dyDescent="0.25">
      <c r="A838" t="s">
        <v>531</v>
      </c>
      <c r="B838" s="5">
        <v>484165</v>
      </c>
      <c r="C838" t="s">
        <v>32</v>
      </c>
      <c r="D838" s="1" t="str">
        <f>"48165"</f>
        <v>48165</v>
      </c>
      <c r="E838" t="s">
        <v>15</v>
      </c>
      <c r="F838" t="s">
        <v>532</v>
      </c>
      <c r="G838" s="1" t="str">
        <f>"001"</f>
        <v>001</v>
      </c>
      <c r="H838" s="1">
        <v>1987</v>
      </c>
      <c r="I838" s="6">
        <v>16611400</v>
      </c>
      <c r="J838" s="6">
        <v>345000</v>
      </c>
      <c r="K838" s="6">
        <v>16266400</v>
      </c>
      <c r="L838" s="7"/>
    </row>
    <row r="839" spans="1:12" x14ac:dyDescent="0.25">
      <c r="A839" t="s">
        <v>531</v>
      </c>
      <c r="B839" s="5">
        <v>484165</v>
      </c>
      <c r="C839" t="s">
        <v>32</v>
      </c>
      <c r="D839" s="1" t="str">
        <f>"48165"</f>
        <v>48165</v>
      </c>
      <c r="E839" t="s">
        <v>15</v>
      </c>
      <c r="F839" t="s">
        <v>532</v>
      </c>
      <c r="G839" s="1" t="str">
        <f>"002"</f>
        <v>002</v>
      </c>
      <c r="H839" s="1">
        <v>1992</v>
      </c>
      <c r="I839" s="6">
        <v>27008700</v>
      </c>
      <c r="J839" s="6">
        <v>3751800</v>
      </c>
      <c r="K839" s="6">
        <v>23256900</v>
      </c>
      <c r="L839" s="7"/>
    </row>
    <row r="840" spans="1:12" x14ac:dyDescent="0.25">
      <c r="A840" t="s">
        <v>533</v>
      </c>
      <c r="B840" s="5">
        <v>704179</v>
      </c>
      <c r="C840" t="s">
        <v>444</v>
      </c>
      <c r="D840" s="1" t="str">
        <f t="shared" ref="D840:D864" si="28">"70266"</f>
        <v>70266</v>
      </c>
      <c r="E840" t="s">
        <v>10</v>
      </c>
      <c r="F840" t="s">
        <v>534</v>
      </c>
      <c r="G840" s="1" t="str">
        <f>"010"</f>
        <v>010</v>
      </c>
      <c r="H840" s="1">
        <v>1993</v>
      </c>
      <c r="I840" s="6">
        <v>1113700</v>
      </c>
      <c r="J840" s="6">
        <v>600300</v>
      </c>
      <c r="K840" s="6">
        <v>513400</v>
      </c>
      <c r="L840" s="7"/>
    </row>
    <row r="841" spans="1:12" x14ac:dyDescent="0.25">
      <c r="A841" t="s">
        <v>533</v>
      </c>
      <c r="B841" s="5">
        <v>704179</v>
      </c>
      <c r="C841" t="s">
        <v>444</v>
      </c>
      <c r="D841" s="1" t="str">
        <f t="shared" si="28"/>
        <v>70266</v>
      </c>
      <c r="E841" t="s">
        <v>10</v>
      </c>
      <c r="F841" t="s">
        <v>534</v>
      </c>
      <c r="G841" s="1" t="str">
        <f>"011"</f>
        <v>011</v>
      </c>
      <c r="H841" s="1">
        <v>1995</v>
      </c>
      <c r="I841" s="6">
        <v>890900</v>
      </c>
      <c r="J841" s="6">
        <v>486300</v>
      </c>
      <c r="K841" s="6">
        <v>404600</v>
      </c>
      <c r="L841" s="7"/>
    </row>
    <row r="842" spans="1:12" x14ac:dyDescent="0.25">
      <c r="A842" t="s">
        <v>533</v>
      </c>
      <c r="B842" s="5">
        <v>704179</v>
      </c>
      <c r="C842" t="s">
        <v>444</v>
      </c>
      <c r="D842" s="1" t="str">
        <f t="shared" si="28"/>
        <v>70266</v>
      </c>
      <c r="E842" t="s">
        <v>10</v>
      </c>
      <c r="F842" t="s">
        <v>534</v>
      </c>
      <c r="G842" s="1" t="str">
        <f>"012"</f>
        <v>012</v>
      </c>
      <c r="H842" s="1">
        <v>1997</v>
      </c>
      <c r="I842" s="6">
        <v>6497400</v>
      </c>
      <c r="J842" s="6">
        <v>1715400</v>
      </c>
      <c r="K842" s="6">
        <v>4782000</v>
      </c>
      <c r="L842" s="7"/>
    </row>
    <row r="843" spans="1:12" x14ac:dyDescent="0.25">
      <c r="A843" t="s">
        <v>533</v>
      </c>
      <c r="B843" s="5">
        <v>704179</v>
      </c>
      <c r="C843" t="s">
        <v>444</v>
      </c>
      <c r="D843" s="1" t="str">
        <f t="shared" si="28"/>
        <v>70266</v>
      </c>
      <c r="E843" t="s">
        <v>10</v>
      </c>
      <c r="F843" t="s">
        <v>534</v>
      </c>
      <c r="G843" s="1" t="str">
        <f>"013"</f>
        <v>013</v>
      </c>
      <c r="H843" s="1">
        <v>1998</v>
      </c>
      <c r="I843" s="6">
        <v>16455300</v>
      </c>
      <c r="J843" s="6">
        <v>5869100</v>
      </c>
      <c r="K843" s="6">
        <v>10586200</v>
      </c>
      <c r="L843" s="7"/>
    </row>
    <row r="844" spans="1:12" x14ac:dyDescent="0.25">
      <c r="A844" t="s">
        <v>533</v>
      </c>
      <c r="B844" s="5">
        <v>704179</v>
      </c>
      <c r="C844" t="s">
        <v>444</v>
      </c>
      <c r="D844" s="1" t="str">
        <f t="shared" si="28"/>
        <v>70266</v>
      </c>
      <c r="E844" t="s">
        <v>10</v>
      </c>
      <c r="F844" t="s">
        <v>534</v>
      </c>
      <c r="G844" s="1" t="str">
        <f>"014"</f>
        <v>014</v>
      </c>
      <c r="H844" s="1">
        <v>2000</v>
      </c>
      <c r="I844" s="6">
        <v>20609500</v>
      </c>
      <c r="J844" s="6">
        <v>558400</v>
      </c>
      <c r="K844" s="6">
        <v>20051100</v>
      </c>
      <c r="L844" s="7"/>
    </row>
    <row r="845" spans="1:12" x14ac:dyDescent="0.25">
      <c r="A845" t="s">
        <v>533</v>
      </c>
      <c r="B845" s="5">
        <v>704179</v>
      </c>
      <c r="C845" t="s">
        <v>444</v>
      </c>
      <c r="D845" s="1" t="str">
        <f t="shared" si="28"/>
        <v>70266</v>
      </c>
      <c r="E845" t="s">
        <v>10</v>
      </c>
      <c r="F845" t="s">
        <v>534</v>
      </c>
      <c r="G845" s="1" t="str">
        <f>"015"</f>
        <v>015</v>
      </c>
      <c r="H845" s="1">
        <v>2001</v>
      </c>
      <c r="I845" s="6">
        <v>8605800</v>
      </c>
      <c r="J845" s="6">
        <v>564900</v>
      </c>
      <c r="K845" s="6">
        <v>8040900</v>
      </c>
      <c r="L845" s="7"/>
    </row>
    <row r="846" spans="1:12" x14ac:dyDescent="0.25">
      <c r="A846" t="s">
        <v>533</v>
      </c>
      <c r="B846" s="5">
        <v>704179</v>
      </c>
      <c r="C846" t="s">
        <v>444</v>
      </c>
      <c r="D846" s="1" t="str">
        <f t="shared" si="28"/>
        <v>70266</v>
      </c>
      <c r="E846" t="s">
        <v>10</v>
      </c>
      <c r="F846" t="s">
        <v>534</v>
      </c>
      <c r="G846" s="1" t="str">
        <f>"016"</f>
        <v>016</v>
      </c>
      <c r="H846" s="1">
        <v>2001</v>
      </c>
      <c r="I846" s="6">
        <v>5138300</v>
      </c>
      <c r="J846" s="6">
        <v>0</v>
      </c>
      <c r="K846" s="6">
        <v>5138300</v>
      </c>
      <c r="L846" s="7"/>
    </row>
    <row r="847" spans="1:12" x14ac:dyDescent="0.25">
      <c r="A847" t="s">
        <v>533</v>
      </c>
      <c r="B847" s="5">
        <v>704179</v>
      </c>
      <c r="C847" t="s">
        <v>444</v>
      </c>
      <c r="D847" s="1" t="str">
        <f t="shared" si="28"/>
        <v>70266</v>
      </c>
      <c r="E847" t="s">
        <v>10</v>
      </c>
      <c r="F847" t="s">
        <v>534</v>
      </c>
      <c r="G847" s="1" t="str">
        <f>"017"</f>
        <v>017</v>
      </c>
      <c r="H847" s="1">
        <v>2001</v>
      </c>
      <c r="I847" s="6">
        <v>12899100</v>
      </c>
      <c r="J847" s="6">
        <v>2210600</v>
      </c>
      <c r="K847" s="6">
        <v>10688500</v>
      </c>
      <c r="L847" s="7"/>
    </row>
    <row r="848" spans="1:12" x14ac:dyDescent="0.25">
      <c r="A848" t="s">
        <v>533</v>
      </c>
      <c r="B848" s="5">
        <v>704179</v>
      </c>
      <c r="C848" t="s">
        <v>444</v>
      </c>
      <c r="D848" s="1" t="str">
        <f t="shared" si="28"/>
        <v>70266</v>
      </c>
      <c r="E848" t="s">
        <v>10</v>
      </c>
      <c r="F848" t="s">
        <v>534</v>
      </c>
      <c r="G848" s="1" t="str">
        <f>"018"</f>
        <v>018</v>
      </c>
      <c r="H848" s="1">
        <v>2002</v>
      </c>
      <c r="I848" s="6">
        <v>17595500</v>
      </c>
      <c r="J848" s="6">
        <v>51300</v>
      </c>
      <c r="K848" s="6">
        <v>17544200</v>
      </c>
      <c r="L848" s="7"/>
    </row>
    <row r="849" spans="1:12" x14ac:dyDescent="0.25">
      <c r="A849" t="s">
        <v>533</v>
      </c>
      <c r="B849" s="5">
        <v>704179</v>
      </c>
      <c r="C849" t="s">
        <v>444</v>
      </c>
      <c r="D849" s="1" t="str">
        <f t="shared" si="28"/>
        <v>70266</v>
      </c>
      <c r="E849" t="s">
        <v>10</v>
      </c>
      <c r="F849" t="s">
        <v>534</v>
      </c>
      <c r="G849" s="1" t="str">
        <f>"019"</f>
        <v>019</v>
      </c>
      <c r="H849" s="1">
        <v>2003</v>
      </c>
      <c r="I849" s="6">
        <v>8886700</v>
      </c>
      <c r="J849" s="6">
        <v>104200</v>
      </c>
      <c r="K849" s="6">
        <v>8782500</v>
      </c>
      <c r="L849" s="7"/>
    </row>
    <row r="850" spans="1:12" x14ac:dyDescent="0.25">
      <c r="A850" t="s">
        <v>533</v>
      </c>
      <c r="B850" s="5">
        <v>704179</v>
      </c>
      <c r="C850" t="s">
        <v>444</v>
      </c>
      <c r="D850" s="1" t="str">
        <f t="shared" si="28"/>
        <v>70266</v>
      </c>
      <c r="E850" t="s">
        <v>10</v>
      </c>
      <c r="F850" t="s">
        <v>534</v>
      </c>
      <c r="G850" s="1" t="str">
        <f>"020"</f>
        <v>020</v>
      </c>
      <c r="H850" s="1">
        <v>2005</v>
      </c>
      <c r="I850" s="6">
        <v>15060800</v>
      </c>
      <c r="J850" s="6">
        <v>20815500</v>
      </c>
      <c r="K850" s="6">
        <v>-5754700</v>
      </c>
      <c r="L850" s="7"/>
    </row>
    <row r="851" spans="1:12" x14ac:dyDescent="0.25">
      <c r="A851" t="s">
        <v>533</v>
      </c>
      <c r="B851" s="5">
        <v>704179</v>
      </c>
      <c r="C851" t="s">
        <v>444</v>
      </c>
      <c r="D851" s="1" t="str">
        <f t="shared" si="28"/>
        <v>70266</v>
      </c>
      <c r="E851" t="s">
        <v>10</v>
      </c>
      <c r="F851" t="s">
        <v>534</v>
      </c>
      <c r="G851" s="1" t="str">
        <f>"021"</f>
        <v>021</v>
      </c>
      <c r="H851" s="1">
        <v>2006</v>
      </c>
      <c r="I851" s="6">
        <v>19196400</v>
      </c>
      <c r="J851" s="6">
        <v>1954900</v>
      </c>
      <c r="K851" s="6">
        <v>17241500</v>
      </c>
      <c r="L851" s="7"/>
    </row>
    <row r="852" spans="1:12" x14ac:dyDescent="0.25">
      <c r="A852" t="s">
        <v>533</v>
      </c>
      <c r="B852" s="5">
        <v>704179</v>
      </c>
      <c r="C852" t="s">
        <v>444</v>
      </c>
      <c r="D852" s="1" t="str">
        <f t="shared" si="28"/>
        <v>70266</v>
      </c>
      <c r="E852" t="s">
        <v>10</v>
      </c>
      <c r="F852" t="s">
        <v>534</v>
      </c>
      <c r="G852" s="1" t="str">
        <f>"023"</f>
        <v>023</v>
      </c>
      <c r="H852" s="1">
        <v>2009</v>
      </c>
      <c r="I852" s="6">
        <v>0</v>
      </c>
      <c r="J852" s="6">
        <v>233700</v>
      </c>
      <c r="K852" s="6">
        <v>-233700</v>
      </c>
      <c r="L852" s="7"/>
    </row>
    <row r="853" spans="1:12" x14ac:dyDescent="0.25">
      <c r="A853" t="s">
        <v>533</v>
      </c>
      <c r="B853" s="5">
        <v>704179</v>
      </c>
      <c r="C853" t="s">
        <v>444</v>
      </c>
      <c r="D853" s="1" t="str">
        <f t="shared" si="28"/>
        <v>70266</v>
      </c>
      <c r="E853" t="s">
        <v>10</v>
      </c>
      <c r="F853" t="s">
        <v>534</v>
      </c>
      <c r="G853" s="1" t="str">
        <f>"024"</f>
        <v>024</v>
      </c>
      <c r="H853" s="1">
        <v>2010</v>
      </c>
      <c r="I853" s="6">
        <v>19906800</v>
      </c>
      <c r="J853" s="6">
        <v>8464900</v>
      </c>
      <c r="K853" s="6">
        <v>11441900</v>
      </c>
      <c r="L853" s="7"/>
    </row>
    <row r="854" spans="1:12" x14ac:dyDescent="0.25">
      <c r="A854" t="s">
        <v>533</v>
      </c>
      <c r="B854" s="5">
        <v>704179</v>
      </c>
      <c r="C854" t="s">
        <v>444</v>
      </c>
      <c r="D854" s="1" t="str">
        <f t="shared" si="28"/>
        <v>70266</v>
      </c>
      <c r="E854" t="s">
        <v>10</v>
      </c>
      <c r="F854" t="s">
        <v>534</v>
      </c>
      <c r="G854" s="1" t="str">
        <f>"025"</f>
        <v>025</v>
      </c>
      <c r="H854" s="1">
        <v>2012</v>
      </c>
      <c r="I854" s="6">
        <v>11081400</v>
      </c>
      <c r="J854" s="6">
        <v>1050800</v>
      </c>
      <c r="K854" s="6">
        <v>10030600</v>
      </c>
      <c r="L854" s="7"/>
    </row>
    <row r="855" spans="1:12" x14ac:dyDescent="0.25">
      <c r="A855" t="s">
        <v>533</v>
      </c>
      <c r="B855" s="5">
        <v>704179</v>
      </c>
      <c r="C855" t="s">
        <v>444</v>
      </c>
      <c r="D855" s="1" t="str">
        <f t="shared" si="28"/>
        <v>70266</v>
      </c>
      <c r="E855" t="s">
        <v>10</v>
      </c>
      <c r="F855" t="s">
        <v>534</v>
      </c>
      <c r="G855" s="1" t="str">
        <f>"026"</f>
        <v>026</v>
      </c>
      <c r="H855" s="1">
        <v>2013</v>
      </c>
      <c r="I855" s="6">
        <v>0</v>
      </c>
      <c r="J855" s="6">
        <v>29400</v>
      </c>
      <c r="K855" s="6">
        <v>-29400</v>
      </c>
      <c r="L855" s="7"/>
    </row>
    <row r="856" spans="1:12" x14ac:dyDescent="0.25">
      <c r="A856" t="s">
        <v>533</v>
      </c>
      <c r="B856" s="5">
        <v>704179</v>
      </c>
      <c r="C856" t="s">
        <v>444</v>
      </c>
      <c r="D856" s="1" t="str">
        <f t="shared" si="28"/>
        <v>70266</v>
      </c>
      <c r="E856" t="s">
        <v>10</v>
      </c>
      <c r="F856" t="s">
        <v>534</v>
      </c>
      <c r="G856" s="1" t="str">
        <f>"027"</f>
        <v>027</v>
      </c>
      <c r="H856" s="1">
        <v>2014</v>
      </c>
      <c r="I856" s="6">
        <v>65242000</v>
      </c>
      <c r="J856" s="6">
        <v>58230300</v>
      </c>
      <c r="K856" s="6">
        <v>7011700</v>
      </c>
      <c r="L856" s="7"/>
    </row>
    <row r="857" spans="1:12" x14ac:dyDescent="0.25">
      <c r="A857" t="s">
        <v>533</v>
      </c>
      <c r="B857" s="5">
        <v>704179</v>
      </c>
      <c r="C857" t="s">
        <v>444</v>
      </c>
      <c r="D857" s="1" t="str">
        <f t="shared" si="28"/>
        <v>70266</v>
      </c>
      <c r="E857" t="s">
        <v>10</v>
      </c>
      <c r="F857" t="s">
        <v>534</v>
      </c>
      <c r="G857" s="1" t="str">
        <f>"028"</f>
        <v>028</v>
      </c>
      <c r="H857" s="1">
        <v>2016</v>
      </c>
      <c r="I857" s="6">
        <v>2391900</v>
      </c>
      <c r="J857" s="6">
        <v>575700</v>
      </c>
      <c r="K857" s="6">
        <v>1816200</v>
      </c>
      <c r="L857" s="7"/>
    </row>
    <row r="858" spans="1:12" x14ac:dyDescent="0.25">
      <c r="A858" t="s">
        <v>533</v>
      </c>
      <c r="B858" s="5">
        <v>704179</v>
      </c>
      <c r="C858" t="s">
        <v>444</v>
      </c>
      <c r="D858" s="1" t="str">
        <f t="shared" si="28"/>
        <v>70266</v>
      </c>
      <c r="E858" t="s">
        <v>10</v>
      </c>
      <c r="F858" t="s">
        <v>534</v>
      </c>
      <c r="G858" s="1" t="str">
        <f>"029"</f>
        <v>029</v>
      </c>
      <c r="H858" s="1">
        <v>2016</v>
      </c>
      <c r="I858" s="6">
        <v>1486500</v>
      </c>
      <c r="J858" s="6">
        <v>1268100</v>
      </c>
      <c r="K858" s="6">
        <v>218400</v>
      </c>
      <c r="L858" s="7"/>
    </row>
    <row r="859" spans="1:12" x14ac:dyDescent="0.25">
      <c r="A859" t="s">
        <v>533</v>
      </c>
      <c r="B859" s="5">
        <v>704179</v>
      </c>
      <c r="C859" t="s">
        <v>444</v>
      </c>
      <c r="D859" s="1" t="str">
        <f t="shared" si="28"/>
        <v>70266</v>
      </c>
      <c r="E859" t="s">
        <v>10</v>
      </c>
      <c r="F859" t="s">
        <v>534</v>
      </c>
      <c r="G859" s="1" t="str">
        <f>"030"</f>
        <v>030</v>
      </c>
      <c r="H859" s="1">
        <v>2016</v>
      </c>
      <c r="I859" s="6">
        <v>2258300</v>
      </c>
      <c r="J859" s="6">
        <v>570500</v>
      </c>
      <c r="K859" s="6">
        <v>1687800</v>
      </c>
      <c r="L859" s="7"/>
    </row>
    <row r="860" spans="1:12" x14ac:dyDescent="0.25">
      <c r="A860" t="s">
        <v>533</v>
      </c>
      <c r="B860" s="5">
        <v>704179</v>
      </c>
      <c r="C860" t="s">
        <v>444</v>
      </c>
      <c r="D860" s="1" t="str">
        <f t="shared" si="28"/>
        <v>70266</v>
      </c>
      <c r="E860" t="s">
        <v>10</v>
      </c>
      <c r="F860" t="s">
        <v>534</v>
      </c>
      <c r="G860" s="1" t="str">
        <f>"031"</f>
        <v>031</v>
      </c>
      <c r="H860" s="1">
        <v>2017</v>
      </c>
      <c r="I860" s="6">
        <v>19384900</v>
      </c>
      <c r="J860" s="6">
        <v>143600</v>
      </c>
      <c r="K860" s="6">
        <v>19241300</v>
      </c>
      <c r="L860" s="7"/>
    </row>
    <row r="861" spans="1:12" x14ac:dyDescent="0.25">
      <c r="A861" t="s">
        <v>533</v>
      </c>
      <c r="B861" s="5">
        <v>704179</v>
      </c>
      <c r="C861" t="s">
        <v>444</v>
      </c>
      <c r="D861" s="1" t="str">
        <f t="shared" si="28"/>
        <v>70266</v>
      </c>
      <c r="E861" t="s">
        <v>10</v>
      </c>
      <c r="F861" t="s">
        <v>534</v>
      </c>
      <c r="G861" s="1" t="str">
        <f>"032"</f>
        <v>032</v>
      </c>
      <c r="H861" s="1">
        <v>2017</v>
      </c>
      <c r="I861" s="6">
        <v>591900</v>
      </c>
      <c r="J861" s="6">
        <v>115900</v>
      </c>
      <c r="K861" s="6">
        <v>476000</v>
      </c>
      <c r="L861" s="7"/>
    </row>
    <row r="862" spans="1:12" x14ac:dyDescent="0.25">
      <c r="A862" t="s">
        <v>533</v>
      </c>
      <c r="B862" s="5">
        <v>704179</v>
      </c>
      <c r="C862" t="s">
        <v>444</v>
      </c>
      <c r="D862" s="1" t="str">
        <f t="shared" si="28"/>
        <v>70266</v>
      </c>
      <c r="E862" t="s">
        <v>10</v>
      </c>
      <c r="F862" t="s">
        <v>534</v>
      </c>
      <c r="G862" s="1" t="str">
        <f>"033"</f>
        <v>033</v>
      </c>
      <c r="H862" s="1">
        <v>2017</v>
      </c>
      <c r="I862" s="6">
        <v>11409600</v>
      </c>
      <c r="J862" s="6">
        <v>746100</v>
      </c>
      <c r="K862" s="6">
        <v>10663500</v>
      </c>
      <c r="L862" s="7"/>
    </row>
    <row r="863" spans="1:12" x14ac:dyDescent="0.25">
      <c r="A863" t="s">
        <v>533</v>
      </c>
      <c r="B863" s="5">
        <v>704179</v>
      </c>
      <c r="C863" t="s">
        <v>444</v>
      </c>
      <c r="D863" s="1" t="str">
        <f t="shared" si="28"/>
        <v>70266</v>
      </c>
      <c r="E863" t="s">
        <v>10</v>
      </c>
      <c r="F863" t="s">
        <v>534</v>
      </c>
      <c r="G863" s="1" t="str">
        <f>"034"</f>
        <v>034</v>
      </c>
      <c r="H863" s="1">
        <v>2018</v>
      </c>
      <c r="I863" s="6">
        <v>10001900</v>
      </c>
      <c r="J863" s="6">
        <v>0</v>
      </c>
      <c r="K863" s="6">
        <v>10001900</v>
      </c>
      <c r="L863" s="7"/>
    </row>
    <row r="864" spans="1:12" x14ac:dyDescent="0.25">
      <c r="A864" t="s">
        <v>533</v>
      </c>
      <c r="B864" s="5">
        <v>704179</v>
      </c>
      <c r="C864" t="s">
        <v>444</v>
      </c>
      <c r="D864" s="1" t="str">
        <f t="shared" si="28"/>
        <v>70266</v>
      </c>
      <c r="E864" t="s">
        <v>10</v>
      </c>
      <c r="F864" t="s">
        <v>534</v>
      </c>
      <c r="G864" s="1" t="str">
        <f>"035"</f>
        <v>035</v>
      </c>
      <c r="H864" s="1">
        <v>2018</v>
      </c>
      <c r="I864" s="6">
        <v>16014600</v>
      </c>
      <c r="J864" s="6">
        <v>15645000</v>
      </c>
      <c r="K864" s="6">
        <v>369600</v>
      </c>
      <c r="L864" s="7"/>
    </row>
    <row r="865" spans="1:12" x14ac:dyDescent="0.25">
      <c r="A865" t="s">
        <v>535</v>
      </c>
      <c r="B865" s="5">
        <v>614186</v>
      </c>
      <c r="C865" t="s">
        <v>45</v>
      </c>
      <c r="D865" s="1" t="str">
        <f>"61265"</f>
        <v>61265</v>
      </c>
      <c r="E865" t="s">
        <v>10</v>
      </c>
      <c r="F865" t="s">
        <v>536</v>
      </c>
      <c r="G865" s="1" t="str">
        <f>"002"</f>
        <v>002</v>
      </c>
      <c r="H865" s="1">
        <v>1994</v>
      </c>
      <c r="I865" s="6">
        <v>27625700</v>
      </c>
      <c r="J865" s="6">
        <v>358000</v>
      </c>
      <c r="K865" s="6">
        <v>27267700</v>
      </c>
      <c r="L865" s="7"/>
    </row>
    <row r="866" spans="1:12" x14ac:dyDescent="0.25">
      <c r="A866" t="s">
        <v>535</v>
      </c>
      <c r="B866" s="5">
        <v>614186</v>
      </c>
      <c r="C866" t="s">
        <v>45</v>
      </c>
      <c r="D866" s="1" t="str">
        <f>"61265"</f>
        <v>61265</v>
      </c>
      <c r="E866" t="s">
        <v>10</v>
      </c>
      <c r="F866" t="s">
        <v>536</v>
      </c>
      <c r="G866" s="1" t="str">
        <f>"003"</f>
        <v>003</v>
      </c>
      <c r="H866" s="1">
        <v>2009</v>
      </c>
      <c r="I866" s="6">
        <v>2547400</v>
      </c>
      <c r="J866" s="6">
        <v>2470500</v>
      </c>
      <c r="K866" s="6">
        <v>76900</v>
      </c>
      <c r="L866" s="7"/>
    </row>
    <row r="867" spans="1:12" x14ac:dyDescent="0.25">
      <c r="A867" t="s">
        <v>537</v>
      </c>
      <c r="B867" s="5">
        <v>104207</v>
      </c>
      <c r="C867" t="s">
        <v>9</v>
      </c>
      <c r="D867" s="1" t="str">
        <f>"10265"</f>
        <v>10265</v>
      </c>
      <c r="E867" t="s">
        <v>10</v>
      </c>
      <c r="F867" t="s">
        <v>538</v>
      </c>
      <c r="G867" s="1" t="str">
        <f>"003"</f>
        <v>003</v>
      </c>
      <c r="H867" s="1">
        <v>1996</v>
      </c>
      <c r="I867" s="6">
        <v>900300</v>
      </c>
      <c r="J867" s="6">
        <v>6100</v>
      </c>
      <c r="K867" s="6">
        <v>894200</v>
      </c>
      <c r="L867" s="7"/>
    </row>
    <row r="868" spans="1:12" x14ac:dyDescent="0.25">
      <c r="A868" t="s">
        <v>537</v>
      </c>
      <c r="B868" s="5">
        <v>104207</v>
      </c>
      <c r="C868" t="s">
        <v>9</v>
      </c>
      <c r="D868" s="1" t="str">
        <f>"10265"</f>
        <v>10265</v>
      </c>
      <c r="E868" t="s">
        <v>10</v>
      </c>
      <c r="F868" t="s">
        <v>538</v>
      </c>
      <c r="G868" s="1" t="str">
        <f>"004"</f>
        <v>004</v>
      </c>
      <c r="H868" s="1">
        <v>2004</v>
      </c>
      <c r="I868" s="6">
        <v>16827300</v>
      </c>
      <c r="J868" s="6">
        <v>2268400</v>
      </c>
      <c r="K868" s="6">
        <v>14558900</v>
      </c>
      <c r="L868" s="7"/>
    </row>
    <row r="869" spans="1:12" x14ac:dyDescent="0.25">
      <c r="A869" t="s">
        <v>537</v>
      </c>
      <c r="B869" s="5">
        <v>104207</v>
      </c>
      <c r="C869" t="s">
        <v>9</v>
      </c>
      <c r="D869" s="1" t="str">
        <f>"10191"</f>
        <v>10191</v>
      </c>
      <c r="E869" t="s">
        <v>15</v>
      </c>
      <c r="F869" t="s">
        <v>539</v>
      </c>
      <c r="G869" s="1" t="str">
        <f>"001"</f>
        <v>001</v>
      </c>
      <c r="H869" s="1">
        <v>1996</v>
      </c>
      <c r="I869" s="6">
        <v>2712300</v>
      </c>
      <c r="J869" s="6">
        <v>499800</v>
      </c>
      <c r="K869" s="6">
        <v>2212500</v>
      </c>
      <c r="L869" s="7"/>
    </row>
    <row r="870" spans="1:12" x14ac:dyDescent="0.25">
      <c r="A870" t="s">
        <v>537</v>
      </c>
      <c r="B870" s="5">
        <v>104207</v>
      </c>
      <c r="C870" t="s">
        <v>9</v>
      </c>
      <c r="D870" s="1" t="str">
        <f>"10191"</f>
        <v>10191</v>
      </c>
      <c r="E870" t="s">
        <v>15</v>
      </c>
      <c r="F870" t="s">
        <v>539</v>
      </c>
      <c r="G870" s="1" t="str">
        <f>"002"</f>
        <v>002</v>
      </c>
      <c r="H870" s="1">
        <v>2010</v>
      </c>
      <c r="I870" s="6">
        <v>1106400</v>
      </c>
      <c r="J870" s="6">
        <v>428700</v>
      </c>
      <c r="K870" s="6">
        <v>677700</v>
      </c>
      <c r="L870" s="7"/>
    </row>
    <row r="871" spans="1:12" x14ac:dyDescent="0.25">
      <c r="A871" t="s">
        <v>537</v>
      </c>
      <c r="B871" s="5">
        <v>104207</v>
      </c>
      <c r="C871" t="s">
        <v>9</v>
      </c>
      <c r="D871" s="1" t="str">
        <f>"10191"</f>
        <v>10191</v>
      </c>
      <c r="E871" t="s">
        <v>15</v>
      </c>
      <c r="F871" t="s">
        <v>539</v>
      </c>
      <c r="G871" s="1" t="str">
        <f>"003"</f>
        <v>003</v>
      </c>
      <c r="H871" s="1">
        <v>2012</v>
      </c>
      <c r="I871" s="6">
        <v>762900</v>
      </c>
      <c r="J871" s="6">
        <v>262800</v>
      </c>
      <c r="K871" s="6">
        <v>500100</v>
      </c>
      <c r="L871" s="7"/>
    </row>
    <row r="872" spans="1:12" x14ac:dyDescent="0.25">
      <c r="A872" t="s">
        <v>540</v>
      </c>
      <c r="B872" s="5">
        <v>284221</v>
      </c>
      <c r="C872" t="s">
        <v>287</v>
      </c>
      <c r="D872" s="1" t="str">
        <f>"28171"</f>
        <v>28171</v>
      </c>
      <c r="E872" t="s">
        <v>15</v>
      </c>
      <c r="F872" t="s">
        <v>541</v>
      </c>
      <c r="G872" s="1" t="str">
        <f>"003"</f>
        <v>003</v>
      </c>
      <c r="H872" s="1">
        <v>2006</v>
      </c>
      <c r="I872" s="6">
        <v>9976000</v>
      </c>
      <c r="J872" s="6">
        <v>442200</v>
      </c>
      <c r="K872" s="6">
        <v>9533800</v>
      </c>
      <c r="L872" s="7"/>
    </row>
    <row r="873" spans="1:12" x14ac:dyDescent="0.25">
      <c r="A873" t="s">
        <v>542</v>
      </c>
      <c r="B873" s="5">
        <v>304235</v>
      </c>
      <c r="C873" t="s">
        <v>129</v>
      </c>
      <c r="D873" s="1" t="str">
        <f>"30241"</f>
        <v>30241</v>
      </c>
      <c r="E873" t="s">
        <v>10</v>
      </c>
      <c r="F873" t="s">
        <v>129</v>
      </c>
      <c r="G873" s="1" t="str">
        <f>"021"</f>
        <v>021</v>
      </c>
      <c r="H873" s="1">
        <v>2017</v>
      </c>
      <c r="I873" s="6">
        <v>12111900</v>
      </c>
      <c r="J873" s="6">
        <v>19400</v>
      </c>
      <c r="K873" s="6">
        <v>12092500</v>
      </c>
      <c r="L873" s="7"/>
    </row>
    <row r="874" spans="1:12" x14ac:dyDescent="0.25">
      <c r="A874" t="s">
        <v>543</v>
      </c>
      <c r="B874" s="5">
        <v>534151</v>
      </c>
      <c r="C874" t="s">
        <v>95</v>
      </c>
      <c r="D874" s="1" t="str">
        <f>"53126"</f>
        <v>53126</v>
      </c>
      <c r="E874" t="s">
        <v>15</v>
      </c>
      <c r="F874" t="s">
        <v>544</v>
      </c>
      <c r="G874" s="1" t="str">
        <f>"001"</f>
        <v>001</v>
      </c>
      <c r="H874" s="1">
        <v>2000</v>
      </c>
      <c r="I874" s="6">
        <v>12005300</v>
      </c>
      <c r="J874" s="6">
        <v>1235300</v>
      </c>
      <c r="K874" s="6">
        <v>10770000</v>
      </c>
      <c r="L874" s="7"/>
    </row>
    <row r="875" spans="1:12" x14ac:dyDescent="0.25">
      <c r="A875" t="s">
        <v>543</v>
      </c>
      <c r="B875" s="5">
        <v>534151</v>
      </c>
      <c r="C875" t="s">
        <v>95</v>
      </c>
      <c r="D875" s="1" t="str">
        <f>"53165"</f>
        <v>53165</v>
      </c>
      <c r="E875" t="s">
        <v>15</v>
      </c>
      <c r="F875" t="s">
        <v>545</v>
      </c>
      <c r="G875" s="1" t="str">
        <f>"003"</f>
        <v>003</v>
      </c>
      <c r="H875" s="1">
        <v>2000</v>
      </c>
      <c r="I875" s="6">
        <v>8150500</v>
      </c>
      <c r="J875" s="6">
        <v>512700</v>
      </c>
      <c r="K875" s="6">
        <v>7637800</v>
      </c>
      <c r="L875" s="7"/>
    </row>
    <row r="876" spans="1:12" x14ac:dyDescent="0.25">
      <c r="A876" t="s">
        <v>546</v>
      </c>
      <c r="B876" s="5">
        <v>464270</v>
      </c>
      <c r="C876" t="s">
        <v>246</v>
      </c>
      <c r="D876" s="1" t="str">
        <f>"46171"</f>
        <v>46171</v>
      </c>
      <c r="E876" t="s">
        <v>15</v>
      </c>
      <c r="F876" t="s">
        <v>246</v>
      </c>
      <c r="G876" s="1" t="str">
        <f>"003"</f>
        <v>003</v>
      </c>
      <c r="H876" s="1">
        <v>2011</v>
      </c>
      <c r="I876" s="6">
        <v>10640600</v>
      </c>
      <c r="J876" s="6">
        <v>4820700</v>
      </c>
      <c r="K876" s="6">
        <v>5819900</v>
      </c>
      <c r="L876" s="7"/>
    </row>
    <row r="877" spans="1:12" x14ac:dyDescent="0.25">
      <c r="A877" t="s">
        <v>547</v>
      </c>
      <c r="B877" s="5">
        <v>674312</v>
      </c>
      <c r="C877" t="s">
        <v>268</v>
      </c>
      <c r="D877" s="1" t="str">
        <f>"67171"</f>
        <v>67171</v>
      </c>
      <c r="E877" t="s">
        <v>15</v>
      </c>
      <c r="F877" t="s">
        <v>548</v>
      </c>
      <c r="G877" s="1" t="str">
        <f>"002"</f>
        <v>002</v>
      </c>
      <c r="H877" s="1">
        <v>2014</v>
      </c>
      <c r="I877" s="6">
        <v>11947400</v>
      </c>
      <c r="J877" s="6">
        <v>8659300</v>
      </c>
      <c r="K877" s="6">
        <v>3288100</v>
      </c>
      <c r="L877" s="7"/>
    </row>
    <row r="878" spans="1:12" x14ac:dyDescent="0.25">
      <c r="A878" t="s">
        <v>549</v>
      </c>
      <c r="B878" s="5">
        <v>504347</v>
      </c>
      <c r="C878" t="s">
        <v>164</v>
      </c>
      <c r="D878" s="1" t="str">
        <f>"50272"</f>
        <v>50272</v>
      </c>
      <c r="E878" t="s">
        <v>10</v>
      </c>
      <c r="F878" t="s">
        <v>550</v>
      </c>
      <c r="G878" s="1" t="str">
        <f>"002"</f>
        <v>002</v>
      </c>
      <c r="H878" s="1">
        <v>1995</v>
      </c>
      <c r="I878" s="6">
        <v>144700</v>
      </c>
      <c r="J878" s="6">
        <v>100000</v>
      </c>
      <c r="K878" s="6">
        <v>44700</v>
      </c>
      <c r="L878" s="7"/>
    </row>
    <row r="879" spans="1:12" x14ac:dyDescent="0.25">
      <c r="A879" t="s">
        <v>549</v>
      </c>
      <c r="B879" s="5">
        <v>504347</v>
      </c>
      <c r="C879" t="s">
        <v>164</v>
      </c>
      <c r="D879" s="1" t="str">
        <f>"50272"</f>
        <v>50272</v>
      </c>
      <c r="E879" t="s">
        <v>10</v>
      </c>
      <c r="F879" t="s">
        <v>550</v>
      </c>
      <c r="G879" s="1" t="str">
        <f>"003"</f>
        <v>003</v>
      </c>
      <c r="H879" s="1">
        <v>1995</v>
      </c>
      <c r="I879" s="6">
        <v>3765900</v>
      </c>
      <c r="J879" s="6">
        <v>2177100</v>
      </c>
      <c r="K879" s="6">
        <v>1588800</v>
      </c>
      <c r="L879" s="7"/>
    </row>
    <row r="880" spans="1:12" x14ac:dyDescent="0.25">
      <c r="A880" t="s">
        <v>549</v>
      </c>
      <c r="B880" s="5">
        <v>504347</v>
      </c>
      <c r="C880" t="s">
        <v>164</v>
      </c>
      <c r="D880" s="1" t="str">
        <f>"50272"</f>
        <v>50272</v>
      </c>
      <c r="E880" t="s">
        <v>10</v>
      </c>
      <c r="F880" t="s">
        <v>550</v>
      </c>
      <c r="G880" s="1" t="str">
        <f>"004"</f>
        <v>004</v>
      </c>
      <c r="H880" s="1">
        <v>1995</v>
      </c>
      <c r="I880" s="6">
        <v>15032500</v>
      </c>
      <c r="J880" s="6">
        <v>753500</v>
      </c>
      <c r="K880" s="6">
        <v>14279000</v>
      </c>
      <c r="L880" s="7"/>
    </row>
    <row r="881" spans="1:12" x14ac:dyDescent="0.25">
      <c r="A881" t="s">
        <v>551</v>
      </c>
      <c r="B881" s="5">
        <v>714368</v>
      </c>
      <c r="C881" t="s">
        <v>58</v>
      </c>
      <c r="D881" s="1" t="str">
        <f>"71271"</f>
        <v>71271</v>
      </c>
      <c r="E881" t="s">
        <v>10</v>
      </c>
      <c r="F881" t="s">
        <v>552</v>
      </c>
      <c r="G881" s="1" t="str">
        <f>"003"</f>
        <v>003</v>
      </c>
      <c r="H881" s="1">
        <v>1995</v>
      </c>
      <c r="I881" s="6">
        <v>38679700</v>
      </c>
      <c r="J881" s="6">
        <v>2542000</v>
      </c>
      <c r="K881" s="6">
        <v>36137700</v>
      </c>
      <c r="L881" s="7"/>
    </row>
    <row r="882" spans="1:12" x14ac:dyDescent="0.25">
      <c r="A882" t="s">
        <v>553</v>
      </c>
      <c r="B882" s="5">
        <v>224389</v>
      </c>
      <c r="C882" t="s">
        <v>120</v>
      </c>
      <c r="D882" s="1" t="str">
        <f>"22271"</f>
        <v>22271</v>
      </c>
      <c r="E882" t="s">
        <v>10</v>
      </c>
      <c r="F882" t="s">
        <v>554</v>
      </c>
      <c r="G882" s="1" t="str">
        <f>"004"</f>
        <v>004</v>
      </c>
      <c r="H882" s="1">
        <v>1997</v>
      </c>
      <c r="I882" s="6">
        <v>13717800</v>
      </c>
      <c r="J882" s="6">
        <v>3204600</v>
      </c>
      <c r="K882" s="6">
        <v>10513200</v>
      </c>
      <c r="L882" s="7"/>
    </row>
    <row r="883" spans="1:12" x14ac:dyDescent="0.25">
      <c r="A883" t="s">
        <v>553</v>
      </c>
      <c r="B883" s="5">
        <v>224389</v>
      </c>
      <c r="C883" t="s">
        <v>120</v>
      </c>
      <c r="D883" s="1" t="str">
        <f>"22271"</f>
        <v>22271</v>
      </c>
      <c r="E883" t="s">
        <v>10</v>
      </c>
      <c r="F883" t="s">
        <v>554</v>
      </c>
      <c r="G883" s="1" t="str">
        <f>"005"</f>
        <v>005</v>
      </c>
      <c r="H883" s="1">
        <v>2005</v>
      </c>
      <c r="I883" s="6">
        <v>40436600</v>
      </c>
      <c r="J883" s="6">
        <v>29500</v>
      </c>
      <c r="K883" s="6">
        <v>40407100</v>
      </c>
      <c r="L883" s="7"/>
    </row>
    <row r="884" spans="1:12" x14ac:dyDescent="0.25">
      <c r="A884" t="s">
        <v>553</v>
      </c>
      <c r="B884" s="5">
        <v>224389</v>
      </c>
      <c r="C884" t="s">
        <v>120</v>
      </c>
      <c r="D884" s="1" t="str">
        <f>"22271"</f>
        <v>22271</v>
      </c>
      <c r="E884" t="s">
        <v>10</v>
      </c>
      <c r="F884" t="s">
        <v>554</v>
      </c>
      <c r="G884" s="1" t="str">
        <f>"006"</f>
        <v>006</v>
      </c>
      <c r="H884" s="1">
        <v>2006</v>
      </c>
      <c r="I884" s="6">
        <v>33345200</v>
      </c>
      <c r="J884" s="6">
        <v>7740400</v>
      </c>
      <c r="K884" s="6">
        <v>25604800</v>
      </c>
      <c r="L884" s="7"/>
    </row>
    <row r="885" spans="1:12" x14ac:dyDescent="0.25">
      <c r="A885" t="s">
        <v>553</v>
      </c>
      <c r="B885" s="5">
        <v>224389</v>
      </c>
      <c r="C885" t="s">
        <v>120</v>
      </c>
      <c r="D885" s="1" t="str">
        <f>"22271"</f>
        <v>22271</v>
      </c>
      <c r="E885" t="s">
        <v>10</v>
      </c>
      <c r="F885" t="s">
        <v>554</v>
      </c>
      <c r="G885" s="1" t="str">
        <f>"007"</f>
        <v>007</v>
      </c>
      <c r="H885" s="1">
        <v>2006</v>
      </c>
      <c r="I885" s="6">
        <v>45903900</v>
      </c>
      <c r="J885" s="6">
        <v>29515000</v>
      </c>
      <c r="K885" s="6">
        <v>16388900</v>
      </c>
      <c r="L885" s="7"/>
    </row>
    <row r="886" spans="1:12" x14ac:dyDescent="0.25">
      <c r="A886" t="s">
        <v>555</v>
      </c>
      <c r="B886" s="5">
        <v>594473</v>
      </c>
      <c r="C886" t="s">
        <v>159</v>
      </c>
      <c r="D886" s="1" t="str">
        <f>"59111"</f>
        <v>59111</v>
      </c>
      <c r="E886" t="s">
        <v>15</v>
      </c>
      <c r="F886" t="s">
        <v>556</v>
      </c>
      <c r="G886" s="1" t="str">
        <f>"001"</f>
        <v>001</v>
      </c>
      <c r="H886" s="1">
        <v>2011</v>
      </c>
      <c r="I886" s="6">
        <v>1225700</v>
      </c>
      <c r="J886" s="6">
        <v>577000</v>
      </c>
      <c r="K886" s="6">
        <v>648700</v>
      </c>
      <c r="L886" s="7"/>
    </row>
    <row r="887" spans="1:12" x14ac:dyDescent="0.25">
      <c r="A887" t="s">
        <v>555</v>
      </c>
      <c r="B887" s="5">
        <v>594473</v>
      </c>
      <c r="C887" t="s">
        <v>159</v>
      </c>
      <c r="D887" s="1" t="str">
        <f>"59271"</f>
        <v>59271</v>
      </c>
      <c r="E887" t="s">
        <v>10</v>
      </c>
      <c r="F887" t="s">
        <v>557</v>
      </c>
      <c r="G887" s="1" t="str">
        <f>"004"</f>
        <v>004</v>
      </c>
      <c r="H887" s="1">
        <v>2001</v>
      </c>
      <c r="I887" s="6">
        <v>138319400</v>
      </c>
      <c r="J887" s="6">
        <v>17503300</v>
      </c>
      <c r="K887" s="6">
        <v>120816100</v>
      </c>
      <c r="L887" s="7"/>
    </row>
    <row r="888" spans="1:12" x14ac:dyDescent="0.25">
      <c r="A888" t="s">
        <v>555</v>
      </c>
      <c r="B888" s="5">
        <v>594473</v>
      </c>
      <c r="C888" t="s">
        <v>159</v>
      </c>
      <c r="D888" s="1" t="str">
        <f>"59271"</f>
        <v>59271</v>
      </c>
      <c r="E888" t="s">
        <v>10</v>
      </c>
      <c r="F888" t="s">
        <v>557</v>
      </c>
      <c r="G888" s="1" t="str">
        <f>"005"</f>
        <v>005</v>
      </c>
      <c r="H888" s="1">
        <v>2008</v>
      </c>
      <c r="I888" s="6">
        <v>31370700</v>
      </c>
      <c r="J888" s="6">
        <v>16600500</v>
      </c>
      <c r="K888" s="6">
        <v>14770200</v>
      </c>
      <c r="L888" s="7"/>
    </row>
    <row r="889" spans="1:12" x14ac:dyDescent="0.25">
      <c r="A889" t="s">
        <v>555</v>
      </c>
      <c r="B889" s="5">
        <v>594473</v>
      </c>
      <c r="C889" t="s">
        <v>159</v>
      </c>
      <c r="D889" s="1" t="str">
        <f>"59271"</f>
        <v>59271</v>
      </c>
      <c r="E889" t="s">
        <v>10</v>
      </c>
      <c r="F889" t="s">
        <v>557</v>
      </c>
      <c r="G889" s="1" t="str">
        <f>"006"</f>
        <v>006</v>
      </c>
      <c r="H889" s="1">
        <v>2011</v>
      </c>
      <c r="I889" s="6">
        <v>7772500</v>
      </c>
      <c r="J889" s="6">
        <v>42600</v>
      </c>
      <c r="K889" s="6">
        <v>7729900</v>
      </c>
      <c r="L889" s="7"/>
    </row>
    <row r="890" spans="1:12" x14ac:dyDescent="0.25">
      <c r="A890" t="s">
        <v>558</v>
      </c>
      <c r="B890" s="5">
        <v>714508</v>
      </c>
      <c r="C890" t="s">
        <v>58</v>
      </c>
      <c r="D890" s="1" t="str">
        <f>"71171"</f>
        <v>71171</v>
      </c>
      <c r="E890" t="s">
        <v>15</v>
      </c>
      <c r="F890" t="s">
        <v>559</v>
      </c>
      <c r="G890" s="1" t="str">
        <f>"002"</f>
        <v>002</v>
      </c>
      <c r="H890" s="1">
        <v>2009</v>
      </c>
      <c r="I890" s="6">
        <v>18225900</v>
      </c>
      <c r="J890" s="6">
        <v>9384200</v>
      </c>
      <c r="K890" s="6">
        <v>8841700</v>
      </c>
      <c r="L890" s="7"/>
    </row>
    <row r="891" spans="1:12" x14ac:dyDescent="0.25">
      <c r="A891" t="s">
        <v>560</v>
      </c>
      <c r="B891" s="5">
        <v>454515</v>
      </c>
      <c r="C891" t="s">
        <v>157</v>
      </c>
      <c r="D891" s="1" t="str">
        <f>"45271"</f>
        <v>45271</v>
      </c>
      <c r="E891" t="s">
        <v>10</v>
      </c>
      <c r="F891" t="s">
        <v>561</v>
      </c>
      <c r="G891" s="1" t="str">
        <f>"002"</f>
        <v>002</v>
      </c>
      <c r="H891" s="1">
        <v>2010</v>
      </c>
      <c r="I891" s="6">
        <v>29965200</v>
      </c>
      <c r="J891" s="6">
        <v>14787800</v>
      </c>
      <c r="K891" s="6">
        <v>15177400</v>
      </c>
      <c r="L891" s="7"/>
    </row>
    <row r="892" spans="1:12" x14ac:dyDescent="0.25">
      <c r="A892" t="s">
        <v>560</v>
      </c>
      <c r="B892" s="5">
        <v>454515</v>
      </c>
      <c r="C892" t="s">
        <v>157</v>
      </c>
      <c r="D892" s="1" t="str">
        <f>"45271"</f>
        <v>45271</v>
      </c>
      <c r="E892" t="s">
        <v>10</v>
      </c>
      <c r="F892" t="s">
        <v>561</v>
      </c>
      <c r="G892" s="1" t="str">
        <f>"003"</f>
        <v>003</v>
      </c>
      <c r="H892" s="1">
        <v>2015</v>
      </c>
      <c r="I892" s="6">
        <v>10699000</v>
      </c>
      <c r="J892" s="6">
        <v>8872700</v>
      </c>
      <c r="K892" s="6">
        <v>1826300</v>
      </c>
      <c r="L892" s="7"/>
    </row>
    <row r="893" spans="1:12" x14ac:dyDescent="0.25">
      <c r="A893" t="s">
        <v>560</v>
      </c>
      <c r="B893" s="5">
        <v>454515</v>
      </c>
      <c r="C893" t="s">
        <v>157</v>
      </c>
      <c r="D893" s="1" t="str">
        <f>"45181"</f>
        <v>45181</v>
      </c>
      <c r="E893" t="s">
        <v>15</v>
      </c>
      <c r="F893" t="s">
        <v>562</v>
      </c>
      <c r="G893" s="1" t="str">
        <f>"002"</f>
        <v>002</v>
      </c>
      <c r="H893" s="1">
        <v>2001</v>
      </c>
      <c r="I893" s="6">
        <v>14459100</v>
      </c>
      <c r="J893" s="6">
        <v>350000</v>
      </c>
      <c r="K893" s="6">
        <v>14109100</v>
      </c>
      <c r="L893" s="7"/>
    </row>
    <row r="894" spans="1:12" x14ac:dyDescent="0.25">
      <c r="A894" t="s">
        <v>560</v>
      </c>
      <c r="B894" s="5">
        <v>454515</v>
      </c>
      <c r="C894" t="s">
        <v>157</v>
      </c>
      <c r="D894" s="1" t="str">
        <f>"45181"</f>
        <v>45181</v>
      </c>
      <c r="E894" t="s">
        <v>15</v>
      </c>
      <c r="F894" t="s">
        <v>562</v>
      </c>
      <c r="G894" s="1" t="str">
        <f>"004"</f>
        <v>004</v>
      </c>
      <c r="H894" s="1">
        <v>2006</v>
      </c>
      <c r="I894" s="6">
        <v>8399300</v>
      </c>
      <c r="J894" s="6">
        <v>1600100</v>
      </c>
      <c r="K894" s="6">
        <v>6799200</v>
      </c>
      <c r="L894" s="7"/>
    </row>
    <row r="895" spans="1:12" x14ac:dyDescent="0.25">
      <c r="A895" t="s">
        <v>563</v>
      </c>
      <c r="B895" s="5">
        <v>114501</v>
      </c>
      <c r="C895" t="s">
        <v>145</v>
      </c>
      <c r="D895" s="1" t="str">
        <f t="shared" ref="D895:D900" si="29">"11271"</f>
        <v>11271</v>
      </c>
      <c r="E895" t="s">
        <v>10</v>
      </c>
      <c r="F895" t="s">
        <v>564</v>
      </c>
      <c r="G895" s="1" t="str">
        <f>"004"</f>
        <v>004</v>
      </c>
      <c r="H895" s="1">
        <v>2003</v>
      </c>
      <c r="I895" s="6">
        <v>798100</v>
      </c>
      <c r="J895" s="6">
        <v>211900</v>
      </c>
      <c r="K895" s="6">
        <v>586200</v>
      </c>
      <c r="L895" s="7"/>
    </row>
    <row r="896" spans="1:12" x14ac:dyDescent="0.25">
      <c r="A896" t="s">
        <v>563</v>
      </c>
      <c r="B896" s="5">
        <v>114501</v>
      </c>
      <c r="C896" t="s">
        <v>145</v>
      </c>
      <c r="D896" s="1" t="str">
        <f t="shared" si="29"/>
        <v>11271</v>
      </c>
      <c r="E896" t="s">
        <v>10</v>
      </c>
      <c r="F896" t="s">
        <v>564</v>
      </c>
      <c r="G896" s="1" t="str">
        <f>"005"</f>
        <v>005</v>
      </c>
      <c r="H896" s="1">
        <v>2004</v>
      </c>
      <c r="I896" s="6">
        <v>5983700</v>
      </c>
      <c r="J896" s="6">
        <v>1261500</v>
      </c>
      <c r="K896" s="6">
        <v>4722200</v>
      </c>
      <c r="L896" s="7"/>
    </row>
    <row r="897" spans="1:12" x14ac:dyDescent="0.25">
      <c r="A897" t="s">
        <v>563</v>
      </c>
      <c r="B897" s="5">
        <v>114501</v>
      </c>
      <c r="C897" t="s">
        <v>145</v>
      </c>
      <c r="D897" s="1" t="str">
        <f t="shared" si="29"/>
        <v>11271</v>
      </c>
      <c r="E897" t="s">
        <v>10</v>
      </c>
      <c r="F897" t="s">
        <v>564</v>
      </c>
      <c r="G897" s="1" t="str">
        <f>"006"</f>
        <v>006</v>
      </c>
      <c r="H897" s="1">
        <v>2008</v>
      </c>
      <c r="I897" s="6">
        <v>12557900</v>
      </c>
      <c r="J897" s="6">
        <v>13785500</v>
      </c>
      <c r="K897" s="6">
        <v>-1227600</v>
      </c>
      <c r="L897" s="7"/>
    </row>
    <row r="898" spans="1:12" x14ac:dyDescent="0.25">
      <c r="A898" t="s">
        <v>563</v>
      </c>
      <c r="B898" s="5">
        <v>114501</v>
      </c>
      <c r="C898" t="s">
        <v>145</v>
      </c>
      <c r="D898" s="1" t="str">
        <f t="shared" si="29"/>
        <v>11271</v>
      </c>
      <c r="E898" t="s">
        <v>10</v>
      </c>
      <c r="F898" t="s">
        <v>564</v>
      </c>
      <c r="G898" s="1" t="str">
        <f>"007"</f>
        <v>007</v>
      </c>
      <c r="H898" s="1">
        <v>2010</v>
      </c>
      <c r="I898" s="6">
        <v>23571200</v>
      </c>
      <c r="J898" s="6">
        <v>20589600</v>
      </c>
      <c r="K898" s="6">
        <v>2981600</v>
      </c>
      <c r="L898" s="7"/>
    </row>
    <row r="899" spans="1:12" x14ac:dyDescent="0.25">
      <c r="A899" t="s">
        <v>563</v>
      </c>
      <c r="B899" s="5">
        <v>114501</v>
      </c>
      <c r="C899" t="s">
        <v>145</v>
      </c>
      <c r="D899" s="1" t="str">
        <f t="shared" si="29"/>
        <v>11271</v>
      </c>
      <c r="E899" t="s">
        <v>10</v>
      </c>
      <c r="F899" t="s">
        <v>564</v>
      </c>
      <c r="G899" s="1" t="str">
        <f>"008"</f>
        <v>008</v>
      </c>
      <c r="H899" s="1">
        <v>2014</v>
      </c>
      <c r="I899" s="6">
        <v>3075300</v>
      </c>
      <c r="J899" s="6">
        <v>654400</v>
      </c>
      <c r="K899" s="6">
        <v>2420900</v>
      </c>
      <c r="L899" s="7"/>
    </row>
    <row r="900" spans="1:12" x14ac:dyDescent="0.25">
      <c r="A900" t="s">
        <v>563</v>
      </c>
      <c r="B900" s="5">
        <v>114501</v>
      </c>
      <c r="C900" t="s">
        <v>145</v>
      </c>
      <c r="D900" s="1" t="str">
        <f t="shared" si="29"/>
        <v>11271</v>
      </c>
      <c r="E900" t="s">
        <v>10</v>
      </c>
      <c r="F900" t="s">
        <v>564</v>
      </c>
      <c r="G900" s="1" t="str">
        <f>"009"</f>
        <v>009</v>
      </c>
      <c r="H900" s="1">
        <v>2017</v>
      </c>
      <c r="I900" s="6">
        <v>27600</v>
      </c>
      <c r="J900" s="6">
        <v>28700</v>
      </c>
      <c r="K900" s="6">
        <v>-1100</v>
      </c>
      <c r="L900" s="7"/>
    </row>
    <row r="901" spans="1:12" x14ac:dyDescent="0.25">
      <c r="A901" t="s">
        <v>563</v>
      </c>
      <c r="B901" s="5">
        <v>114501</v>
      </c>
      <c r="C901" t="s">
        <v>565</v>
      </c>
      <c r="D901" s="1" t="str">
        <f>"39121"</f>
        <v>39121</v>
      </c>
      <c r="E901" t="s">
        <v>15</v>
      </c>
      <c r="F901" t="s">
        <v>566</v>
      </c>
      <c r="G901" s="1" t="str">
        <f>"001"</f>
        <v>001</v>
      </c>
      <c r="H901" s="1">
        <v>1993</v>
      </c>
      <c r="I901" s="6">
        <v>6084600</v>
      </c>
      <c r="J901" s="6">
        <v>1159900</v>
      </c>
      <c r="K901" s="6">
        <v>4924700</v>
      </c>
      <c r="L901" s="7"/>
    </row>
    <row r="902" spans="1:12" x14ac:dyDescent="0.25">
      <c r="A902" t="s">
        <v>567</v>
      </c>
      <c r="B902" s="5">
        <v>114536</v>
      </c>
      <c r="C902" t="s">
        <v>145</v>
      </c>
      <c r="D902" s="1" t="str">
        <f>"11101"</f>
        <v>11101</v>
      </c>
      <c r="E902" t="s">
        <v>15</v>
      </c>
      <c r="F902" t="s">
        <v>568</v>
      </c>
      <c r="G902" s="1" t="str">
        <f>"001"</f>
        <v>001</v>
      </c>
      <c r="H902" s="1">
        <v>1999</v>
      </c>
      <c r="I902" s="6">
        <v>11003900</v>
      </c>
      <c r="J902" s="6">
        <v>2502900</v>
      </c>
      <c r="K902" s="6">
        <v>8501000</v>
      </c>
      <c r="L902" s="7"/>
    </row>
    <row r="903" spans="1:12" x14ac:dyDescent="0.25">
      <c r="A903" t="s">
        <v>569</v>
      </c>
      <c r="B903" s="5">
        <v>124543</v>
      </c>
      <c r="C903" t="s">
        <v>221</v>
      </c>
      <c r="D903" s="1" t="str">
        <f>"12271"</f>
        <v>12271</v>
      </c>
      <c r="E903" t="s">
        <v>10</v>
      </c>
      <c r="F903" t="s">
        <v>570</v>
      </c>
      <c r="G903" s="1" t="str">
        <f>"001E"</f>
        <v>001E</v>
      </c>
      <c r="H903" s="1">
        <v>2007</v>
      </c>
      <c r="I903" s="6">
        <v>518400</v>
      </c>
      <c r="J903" s="6">
        <v>0</v>
      </c>
      <c r="K903" s="6">
        <v>518400</v>
      </c>
      <c r="L903" s="7"/>
    </row>
    <row r="904" spans="1:12" x14ac:dyDescent="0.25">
      <c r="A904" t="s">
        <v>569</v>
      </c>
      <c r="B904" s="5">
        <v>124543</v>
      </c>
      <c r="C904" t="s">
        <v>221</v>
      </c>
      <c r="D904" s="1" t="str">
        <f>"12271"</f>
        <v>12271</v>
      </c>
      <c r="E904" t="s">
        <v>10</v>
      </c>
      <c r="F904" t="s">
        <v>570</v>
      </c>
      <c r="G904" s="1" t="str">
        <f>"005"</f>
        <v>005</v>
      </c>
      <c r="H904" s="1">
        <v>1994</v>
      </c>
      <c r="I904" s="6">
        <v>7530100</v>
      </c>
      <c r="J904" s="6">
        <v>248800</v>
      </c>
      <c r="K904" s="6">
        <v>7281300</v>
      </c>
      <c r="L904" s="7"/>
    </row>
    <row r="905" spans="1:12" x14ac:dyDescent="0.25">
      <c r="A905" t="s">
        <v>569</v>
      </c>
      <c r="B905" s="5">
        <v>124543</v>
      </c>
      <c r="C905" t="s">
        <v>221</v>
      </c>
      <c r="D905" s="1" t="str">
        <f>"12271"</f>
        <v>12271</v>
      </c>
      <c r="E905" t="s">
        <v>10</v>
      </c>
      <c r="F905" t="s">
        <v>570</v>
      </c>
      <c r="G905" s="1" t="str">
        <f>"006"</f>
        <v>006</v>
      </c>
      <c r="H905" s="1">
        <v>1996</v>
      </c>
      <c r="I905" s="6">
        <v>46904100</v>
      </c>
      <c r="J905" s="6">
        <v>929600</v>
      </c>
      <c r="K905" s="6">
        <v>45974500</v>
      </c>
      <c r="L905" s="7"/>
    </row>
    <row r="906" spans="1:12" x14ac:dyDescent="0.25">
      <c r="A906" t="s">
        <v>571</v>
      </c>
      <c r="B906" s="5">
        <v>34557</v>
      </c>
      <c r="C906" t="s">
        <v>80</v>
      </c>
      <c r="D906" s="1" t="str">
        <f>"03171"</f>
        <v>03171</v>
      </c>
      <c r="E906" t="s">
        <v>15</v>
      </c>
      <c r="F906" t="s">
        <v>572</v>
      </c>
      <c r="G906" s="1" t="str">
        <f>"001"</f>
        <v>001</v>
      </c>
      <c r="H906" s="1">
        <v>2002</v>
      </c>
      <c r="I906" s="6">
        <v>4461200</v>
      </c>
      <c r="J906" s="6">
        <v>3258400</v>
      </c>
      <c r="K906" s="6">
        <v>1202800</v>
      </c>
      <c r="L906" s="7"/>
    </row>
    <row r="907" spans="1:12" x14ac:dyDescent="0.25">
      <c r="A907" t="s">
        <v>573</v>
      </c>
      <c r="B907" s="5">
        <v>504571</v>
      </c>
      <c r="C907" t="s">
        <v>164</v>
      </c>
      <c r="D907" s="1" t="str">
        <f>"50171"</f>
        <v>50171</v>
      </c>
      <c r="E907" t="s">
        <v>15</v>
      </c>
      <c r="F907" t="s">
        <v>574</v>
      </c>
      <c r="G907" s="1" t="str">
        <f>"003"</f>
        <v>003</v>
      </c>
      <c r="H907" s="1">
        <v>2011</v>
      </c>
      <c r="I907" s="6">
        <v>85200</v>
      </c>
      <c r="J907" s="6">
        <v>62000</v>
      </c>
      <c r="K907" s="6">
        <v>23200</v>
      </c>
      <c r="L907" s="7"/>
    </row>
    <row r="908" spans="1:12" x14ac:dyDescent="0.25">
      <c r="A908" t="s">
        <v>575</v>
      </c>
      <c r="B908" s="5">
        <v>474578</v>
      </c>
      <c r="C908" t="s">
        <v>265</v>
      </c>
      <c r="D908" s="1" t="str">
        <f>"47271"</f>
        <v>47271</v>
      </c>
      <c r="E908" t="s">
        <v>10</v>
      </c>
      <c r="F908" t="s">
        <v>576</v>
      </c>
      <c r="G908" s="1" t="str">
        <f>"003"</f>
        <v>003</v>
      </c>
      <c r="H908" s="1">
        <v>2000</v>
      </c>
      <c r="I908" s="6">
        <v>15396000</v>
      </c>
      <c r="J908" s="6">
        <v>3044400</v>
      </c>
      <c r="K908" s="6">
        <v>12351600</v>
      </c>
      <c r="L908" s="7"/>
    </row>
    <row r="909" spans="1:12" x14ac:dyDescent="0.25">
      <c r="A909" t="s">
        <v>575</v>
      </c>
      <c r="B909" s="5">
        <v>474578</v>
      </c>
      <c r="C909" t="s">
        <v>265</v>
      </c>
      <c r="D909" s="1" t="str">
        <f>"47271"</f>
        <v>47271</v>
      </c>
      <c r="E909" t="s">
        <v>10</v>
      </c>
      <c r="F909" t="s">
        <v>576</v>
      </c>
      <c r="G909" s="1" t="str">
        <f>"004"</f>
        <v>004</v>
      </c>
      <c r="H909" s="1">
        <v>2003</v>
      </c>
      <c r="I909" s="6">
        <v>24378800</v>
      </c>
      <c r="J909" s="6">
        <v>9581300</v>
      </c>
      <c r="K909" s="6">
        <v>14797500</v>
      </c>
      <c r="L909" s="7"/>
    </row>
    <row r="910" spans="1:12" x14ac:dyDescent="0.25">
      <c r="A910" t="s">
        <v>575</v>
      </c>
      <c r="B910" s="5">
        <v>474578</v>
      </c>
      <c r="C910" t="s">
        <v>265</v>
      </c>
      <c r="D910" s="1" t="str">
        <f>"47271"</f>
        <v>47271</v>
      </c>
      <c r="E910" t="s">
        <v>10</v>
      </c>
      <c r="F910" t="s">
        <v>576</v>
      </c>
      <c r="G910" s="1" t="str">
        <f>"005"</f>
        <v>005</v>
      </c>
      <c r="H910" s="1">
        <v>2006</v>
      </c>
      <c r="I910" s="6">
        <v>43164100</v>
      </c>
      <c r="J910" s="6">
        <v>2725800</v>
      </c>
      <c r="K910" s="6">
        <v>40438300</v>
      </c>
      <c r="L910" s="7"/>
    </row>
    <row r="911" spans="1:12" x14ac:dyDescent="0.25">
      <c r="A911" t="s">
        <v>577</v>
      </c>
      <c r="B911" s="5">
        <v>244606</v>
      </c>
      <c r="C911" t="s">
        <v>99</v>
      </c>
      <c r="D911" s="1" t="str">
        <f>"24271"</f>
        <v>24271</v>
      </c>
      <c r="E911" t="s">
        <v>10</v>
      </c>
      <c r="F911" t="s">
        <v>578</v>
      </c>
      <c r="G911" s="1" t="str">
        <f>"002"</f>
        <v>002</v>
      </c>
      <c r="H911" s="1">
        <v>2001</v>
      </c>
      <c r="I911" s="6">
        <v>4893900</v>
      </c>
      <c r="J911" s="6">
        <v>5110600</v>
      </c>
      <c r="K911" s="6">
        <v>-216700</v>
      </c>
      <c r="L911" s="7"/>
    </row>
    <row r="912" spans="1:12" x14ac:dyDescent="0.25">
      <c r="A912" t="s">
        <v>579</v>
      </c>
      <c r="B912" s="5">
        <v>54613</v>
      </c>
      <c r="C912" t="s">
        <v>53</v>
      </c>
      <c r="D912" s="1" t="str">
        <f>"05126"</f>
        <v>05126</v>
      </c>
      <c r="E912" t="s">
        <v>15</v>
      </c>
      <c r="F912" t="s">
        <v>580</v>
      </c>
      <c r="G912" s="1" t="str">
        <f>"001"</f>
        <v>001</v>
      </c>
      <c r="H912" s="1">
        <v>2009</v>
      </c>
      <c r="I912" s="6">
        <v>188278300</v>
      </c>
      <c r="J912" s="6">
        <v>20991900</v>
      </c>
      <c r="K912" s="6">
        <v>167286400</v>
      </c>
      <c r="L912" s="7"/>
    </row>
    <row r="913" spans="1:12" x14ac:dyDescent="0.25">
      <c r="A913" t="s">
        <v>579</v>
      </c>
      <c r="B913" s="5">
        <v>54613</v>
      </c>
      <c r="C913" t="s">
        <v>53</v>
      </c>
      <c r="D913" s="1" t="str">
        <f>"05171"</f>
        <v>05171</v>
      </c>
      <c r="E913" t="s">
        <v>15</v>
      </c>
      <c r="F913" t="s">
        <v>581</v>
      </c>
      <c r="G913" s="1" t="str">
        <f>"002"</f>
        <v>002</v>
      </c>
      <c r="H913" s="1">
        <v>2005</v>
      </c>
      <c r="I913" s="6">
        <v>20813400</v>
      </c>
      <c r="J913" s="6">
        <v>10361100</v>
      </c>
      <c r="K913" s="6">
        <v>10452300</v>
      </c>
      <c r="L913" s="7"/>
    </row>
    <row r="914" spans="1:12" x14ac:dyDescent="0.25">
      <c r="A914" t="s">
        <v>579</v>
      </c>
      <c r="B914" s="5">
        <v>54613</v>
      </c>
      <c r="C914" t="s">
        <v>53</v>
      </c>
      <c r="D914" s="1" t="str">
        <f>"05171"</f>
        <v>05171</v>
      </c>
      <c r="E914" t="s">
        <v>15</v>
      </c>
      <c r="F914" t="s">
        <v>581</v>
      </c>
      <c r="G914" s="1" t="str">
        <f>"003"</f>
        <v>003</v>
      </c>
      <c r="H914" s="1">
        <v>2014</v>
      </c>
      <c r="I914" s="6">
        <v>5692300</v>
      </c>
      <c r="J914" s="6">
        <v>6000000</v>
      </c>
      <c r="K914" s="6">
        <v>-307700</v>
      </c>
      <c r="L914" s="7"/>
    </row>
    <row r="915" spans="1:12" x14ac:dyDescent="0.25">
      <c r="A915" t="s">
        <v>579</v>
      </c>
      <c r="B915" s="5">
        <v>54613</v>
      </c>
      <c r="C915" t="s">
        <v>53</v>
      </c>
      <c r="D915" s="1" t="str">
        <f>"05171"</f>
        <v>05171</v>
      </c>
      <c r="E915" t="s">
        <v>15</v>
      </c>
      <c r="F915" t="s">
        <v>581</v>
      </c>
      <c r="G915" s="1" t="str">
        <f>"004"</f>
        <v>004</v>
      </c>
      <c r="H915" s="1">
        <v>2015</v>
      </c>
      <c r="I915" s="6">
        <v>14608100</v>
      </c>
      <c r="J915" s="6">
        <v>1902300</v>
      </c>
      <c r="K915" s="6">
        <v>12705800</v>
      </c>
      <c r="L915" s="7"/>
    </row>
    <row r="916" spans="1:12" x14ac:dyDescent="0.25">
      <c r="A916" t="s">
        <v>582</v>
      </c>
      <c r="B916" s="5">
        <v>514620</v>
      </c>
      <c r="C916" t="s">
        <v>583</v>
      </c>
      <c r="D916" s="1" t="str">
        <f>"51104"</f>
        <v>51104</v>
      </c>
      <c r="E916" t="s">
        <v>15</v>
      </c>
      <c r="F916" t="s">
        <v>584</v>
      </c>
      <c r="G916" s="1" t="str">
        <f>"001"</f>
        <v>001</v>
      </c>
      <c r="H916" s="1">
        <v>2007</v>
      </c>
      <c r="I916" s="6">
        <v>7128400</v>
      </c>
      <c r="J916" s="6">
        <v>1831800</v>
      </c>
      <c r="K916" s="6">
        <v>5296600</v>
      </c>
      <c r="L916" s="7"/>
    </row>
    <row r="917" spans="1:12" x14ac:dyDescent="0.25">
      <c r="A917" t="s">
        <v>582</v>
      </c>
      <c r="B917" s="5">
        <v>514620</v>
      </c>
      <c r="C917" t="s">
        <v>583</v>
      </c>
      <c r="D917" s="1" t="str">
        <f>"51104"</f>
        <v>51104</v>
      </c>
      <c r="E917" t="s">
        <v>15</v>
      </c>
      <c r="F917" t="s">
        <v>584</v>
      </c>
      <c r="G917" s="1" t="str">
        <f>"003"</f>
        <v>003</v>
      </c>
      <c r="H917" s="1">
        <v>2011</v>
      </c>
      <c r="I917" s="6">
        <v>37340400</v>
      </c>
      <c r="J917" s="6">
        <v>28632700</v>
      </c>
      <c r="K917" s="6">
        <v>8707700</v>
      </c>
      <c r="L917" s="7"/>
    </row>
    <row r="918" spans="1:12" x14ac:dyDescent="0.25">
      <c r="A918" t="s">
        <v>582</v>
      </c>
      <c r="B918" s="5">
        <v>514620</v>
      </c>
      <c r="C918" t="s">
        <v>583</v>
      </c>
      <c r="D918" s="1" t="str">
        <f>"51104"</f>
        <v>51104</v>
      </c>
      <c r="E918" t="s">
        <v>15</v>
      </c>
      <c r="F918" t="s">
        <v>584</v>
      </c>
      <c r="G918" s="1" t="str">
        <f>"004"</f>
        <v>004</v>
      </c>
      <c r="H918" s="1">
        <v>2014</v>
      </c>
      <c r="I918" s="6">
        <v>34079600</v>
      </c>
      <c r="J918" s="6">
        <v>15444200</v>
      </c>
      <c r="K918" s="6">
        <v>18635400</v>
      </c>
      <c r="L918" s="7"/>
    </row>
    <row r="919" spans="1:12" x14ac:dyDescent="0.25">
      <c r="A919" t="s">
        <v>582</v>
      </c>
      <c r="B919" s="5">
        <v>514620</v>
      </c>
      <c r="C919" t="s">
        <v>583</v>
      </c>
      <c r="D919" s="1" t="str">
        <f>"51151"</f>
        <v>51151</v>
      </c>
      <c r="E919" t="s">
        <v>15</v>
      </c>
      <c r="F919" t="s">
        <v>585</v>
      </c>
      <c r="G919" s="1" t="str">
        <f>"001"</f>
        <v>001</v>
      </c>
      <c r="H919" s="1">
        <v>2006</v>
      </c>
      <c r="I919" s="6">
        <v>94046100</v>
      </c>
      <c r="J919" s="6">
        <v>4292700</v>
      </c>
      <c r="K919" s="6">
        <v>89753400</v>
      </c>
      <c r="L919" s="7"/>
    </row>
    <row r="920" spans="1:12" x14ac:dyDescent="0.25">
      <c r="A920" t="s">
        <v>582</v>
      </c>
      <c r="B920" s="5">
        <v>514620</v>
      </c>
      <c r="C920" t="s">
        <v>583</v>
      </c>
      <c r="D920" s="1" t="str">
        <f>"51151"</f>
        <v>51151</v>
      </c>
      <c r="E920" t="s">
        <v>15</v>
      </c>
      <c r="F920" t="s">
        <v>585</v>
      </c>
      <c r="G920" s="1" t="str">
        <f>"002"</f>
        <v>002</v>
      </c>
      <c r="H920" s="1">
        <v>2007</v>
      </c>
      <c r="I920" s="6">
        <v>151871300</v>
      </c>
      <c r="J920" s="6">
        <v>103584200</v>
      </c>
      <c r="K920" s="6">
        <v>48287100</v>
      </c>
      <c r="L920" s="7"/>
    </row>
    <row r="921" spans="1:12" x14ac:dyDescent="0.25">
      <c r="A921" t="s">
        <v>582</v>
      </c>
      <c r="B921" s="5">
        <v>514620</v>
      </c>
      <c r="C921" t="s">
        <v>583</v>
      </c>
      <c r="D921" s="1" t="str">
        <f>"51151"</f>
        <v>51151</v>
      </c>
      <c r="E921" t="s">
        <v>15</v>
      </c>
      <c r="F921" t="s">
        <v>585</v>
      </c>
      <c r="G921" s="1" t="str">
        <f>"003"</f>
        <v>003</v>
      </c>
      <c r="H921" s="1">
        <v>2014</v>
      </c>
      <c r="I921" s="6">
        <v>31372700</v>
      </c>
      <c r="J921" s="6">
        <v>4136200</v>
      </c>
      <c r="K921" s="6">
        <v>27236500</v>
      </c>
      <c r="L921" s="7"/>
    </row>
    <row r="922" spans="1:12" x14ac:dyDescent="0.25">
      <c r="A922" t="s">
        <v>582</v>
      </c>
      <c r="B922" s="5">
        <v>514620</v>
      </c>
      <c r="C922" t="s">
        <v>583</v>
      </c>
      <c r="D922" s="1" t="str">
        <f>"51151"</f>
        <v>51151</v>
      </c>
      <c r="E922" t="s">
        <v>15</v>
      </c>
      <c r="F922" t="s">
        <v>585</v>
      </c>
      <c r="G922" s="1" t="str">
        <f>"004"</f>
        <v>004</v>
      </c>
      <c r="H922" s="1">
        <v>2015</v>
      </c>
      <c r="I922" s="6">
        <v>39394300</v>
      </c>
      <c r="J922" s="6">
        <v>3587700</v>
      </c>
      <c r="K922" s="6">
        <v>35806600</v>
      </c>
      <c r="L922" s="7"/>
    </row>
    <row r="923" spans="1:12" x14ac:dyDescent="0.25">
      <c r="A923" t="s">
        <v>582</v>
      </c>
      <c r="B923" s="5">
        <v>514620</v>
      </c>
      <c r="C923" t="s">
        <v>583</v>
      </c>
      <c r="D923" s="1" t="str">
        <f>"51151"</f>
        <v>51151</v>
      </c>
      <c r="E923" t="s">
        <v>15</v>
      </c>
      <c r="F923" t="s">
        <v>585</v>
      </c>
      <c r="G923" s="1" t="str">
        <f>"005"</f>
        <v>005</v>
      </c>
      <c r="H923" s="1">
        <v>2018</v>
      </c>
      <c r="I923" s="6">
        <v>64754500</v>
      </c>
      <c r="J923" s="6">
        <v>30231500</v>
      </c>
      <c r="K923" s="6">
        <v>34523000</v>
      </c>
      <c r="L923" s="7"/>
    </row>
    <row r="924" spans="1:12" x14ac:dyDescent="0.25">
      <c r="A924" t="s">
        <v>582</v>
      </c>
      <c r="B924" s="5">
        <v>514620</v>
      </c>
      <c r="C924" t="s">
        <v>583</v>
      </c>
      <c r="D924" s="1" t="str">
        <f t="shared" ref="D924:D935" si="30">"51276"</f>
        <v>51276</v>
      </c>
      <c r="E924" t="s">
        <v>10</v>
      </c>
      <c r="F924" t="s">
        <v>583</v>
      </c>
      <c r="G924" s="1" t="str">
        <f>"002"</f>
        <v>002</v>
      </c>
      <c r="H924" s="1">
        <v>1983</v>
      </c>
      <c r="I924" s="6">
        <v>27699300</v>
      </c>
      <c r="J924" s="6">
        <v>2394700</v>
      </c>
      <c r="K924" s="6">
        <v>25304600</v>
      </c>
      <c r="L924" s="7"/>
    </row>
    <row r="925" spans="1:12" x14ac:dyDescent="0.25">
      <c r="A925" t="s">
        <v>582</v>
      </c>
      <c r="B925" s="5">
        <v>514620</v>
      </c>
      <c r="C925" t="s">
        <v>583</v>
      </c>
      <c r="D925" s="1" t="str">
        <f t="shared" si="30"/>
        <v>51276</v>
      </c>
      <c r="E925" t="s">
        <v>10</v>
      </c>
      <c r="F925" t="s">
        <v>583</v>
      </c>
      <c r="G925" s="1" t="str">
        <f>"009"</f>
        <v>009</v>
      </c>
      <c r="H925" s="1">
        <v>2000</v>
      </c>
      <c r="I925" s="6">
        <v>31087200</v>
      </c>
      <c r="J925" s="6">
        <v>877600</v>
      </c>
      <c r="K925" s="6">
        <v>30209600</v>
      </c>
      <c r="L925" s="7"/>
    </row>
    <row r="926" spans="1:12" x14ac:dyDescent="0.25">
      <c r="A926" t="s">
        <v>582</v>
      </c>
      <c r="B926" s="5">
        <v>514620</v>
      </c>
      <c r="C926" t="s">
        <v>583</v>
      </c>
      <c r="D926" s="1" t="str">
        <f t="shared" si="30"/>
        <v>51276</v>
      </c>
      <c r="E926" t="s">
        <v>10</v>
      </c>
      <c r="F926" t="s">
        <v>583</v>
      </c>
      <c r="G926" s="1" t="str">
        <f>"010"</f>
        <v>010</v>
      </c>
      <c r="H926" s="1">
        <v>2003</v>
      </c>
      <c r="I926" s="6">
        <v>959900</v>
      </c>
      <c r="J926" s="6">
        <v>1180400</v>
      </c>
      <c r="K926" s="6">
        <v>-220500</v>
      </c>
      <c r="L926" s="7"/>
    </row>
    <row r="927" spans="1:12" x14ac:dyDescent="0.25">
      <c r="A927" t="s">
        <v>582</v>
      </c>
      <c r="B927" s="5">
        <v>514620</v>
      </c>
      <c r="C927" t="s">
        <v>583</v>
      </c>
      <c r="D927" s="1" t="str">
        <f t="shared" si="30"/>
        <v>51276</v>
      </c>
      <c r="E927" t="s">
        <v>10</v>
      </c>
      <c r="F927" t="s">
        <v>583</v>
      </c>
      <c r="G927" s="1" t="str">
        <f>"011"</f>
        <v>011</v>
      </c>
      <c r="H927" s="1">
        <v>2005</v>
      </c>
      <c r="I927" s="6">
        <v>5759900</v>
      </c>
      <c r="J927" s="6">
        <v>3179700</v>
      </c>
      <c r="K927" s="6">
        <v>2580200</v>
      </c>
      <c r="L927" s="7"/>
    </row>
    <row r="928" spans="1:12" x14ac:dyDescent="0.25">
      <c r="A928" t="s">
        <v>582</v>
      </c>
      <c r="B928" s="5">
        <v>514620</v>
      </c>
      <c r="C928" t="s">
        <v>583</v>
      </c>
      <c r="D928" s="1" t="str">
        <f t="shared" si="30"/>
        <v>51276</v>
      </c>
      <c r="E928" t="s">
        <v>10</v>
      </c>
      <c r="F928" t="s">
        <v>583</v>
      </c>
      <c r="G928" s="1" t="str">
        <f>"012"</f>
        <v>012</v>
      </c>
      <c r="H928" s="1">
        <v>2006</v>
      </c>
      <c r="I928" s="6">
        <v>6344800</v>
      </c>
      <c r="J928" s="6">
        <v>378000</v>
      </c>
      <c r="K928" s="6">
        <v>5966800</v>
      </c>
      <c r="L928" s="7"/>
    </row>
    <row r="929" spans="1:12" x14ac:dyDescent="0.25">
      <c r="A929" t="s">
        <v>582</v>
      </c>
      <c r="B929" s="5">
        <v>514620</v>
      </c>
      <c r="C929" t="s">
        <v>583</v>
      </c>
      <c r="D929" s="1" t="str">
        <f t="shared" si="30"/>
        <v>51276</v>
      </c>
      <c r="E929" t="s">
        <v>10</v>
      </c>
      <c r="F929" t="s">
        <v>583</v>
      </c>
      <c r="G929" s="1" t="str">
        <f>"013"</f>
        <v>013</v>
      </c>
      <c r="H929" s="1">
        <v>2006</v>
      </c>
      <c r="I929" s="6">
        <v>9482400</v>
      </c>
      <c r="J929" s="6">
        <v>312300</v>
      </c>
      <c r="K929" s="6">
        <v>9170100</v>
      </c>
      <c r="L929" s="7"/>
    </row>
    <row r="930" spans="1:12" x14ac:dyDescent="0.25">
      <c r="A930" t="s">
        <v>582</v>
      </c>
      <c r="B930" s="5">
        <v>514620</v>
      </c>
      <c r="C930" t="s">
        <v>583</v>
      </c>
      <c r="D930" s="1" t="str">
        <f t="shared" si="30"/>
        <v>51276</v>
      </c>
      <c r="E930" t="s">
        <v>10</v>
      </c>
      <c r="F930" t="s">
        <v>583</v>
      </c>
      <c r="G930" s="1" t="str">
        <f>"014"</f>
        <v>014</v>
      </c>
      <c r="H930" s="1">
        <v>2006</v>
      </c>
      <c r="I930" s="6">
        <v>4194900</v>
      </c>
      <c r="J930" s="6">
        <v>4103200</v>
      </c>
      <c r="K930" s="6">
        <v>91700</v>
      </c>
      <c r="L930" s="7"/>
    </row>
    <row r="931" spans="1:12" x14ac:dyDescent="0.25">
      <c r="A931" t="s">
        <v>582</v>
      </c>
      <c r="B931" s="5">
        <v>514620</v>
      </c>
      <c r="C931" t="s">
        <v>583</v>
      </c>
      <c r="D931" s="1" t="str">
        <f t="shared" si="30"/>
        <v>51276</v>
      </c>
      <c r="E931" t="s">
        <v>10</v>
      </c>
      <c r="F931" t="s">
        <v>583</v>
      </c>
      <c r="G931" s="1" t="str">
        <f>"016"</f>
        <v>016</v>
      </c>
      <c r="H931" s="1">
        <v>2009</v>
      </c>
      <c r="I931" s="6">
        <v>35992400</v>
      </c>
      <c r="J931" s="6">
        <v>38217400</v>
      </c>
      <c r="K931" s="6">
        <v>-2225000</v>
      </c>
      <c r="L931" s="7"/>
    </row>
    <row r="932" spans="1:12" x14ac:dyDescent="0.25">
      <c r="A932" t="s">
        <v>582</v>
      </c>
      <c r="B932" s="5">
        <v>514620</v>
      </c>
      <c r="C932" t="s">
        <v>583</v>
      </c>
      <c r="D932" s="1" t="str">
        <f t="shared" si="30"/>
        <v>51276</v>
      </c>
      <c r="E932" t="s">
        <v>10</v>
      </c>
      <c r="F932" t="s">
        <v>583</v>
      </c>
      <c r="G932" s="1" t="str">
        <f>"017"</f>
        <v>017</v>
      </c>
      <c r="H932" s="1">
        <v>2012</v>
      </c>
      <c r="I932" s="6">
        <v>404300</v>
      </c>
      <c r="J932" s="6">
        <v>1324600</v>
      </c>
      <c r="K932" s="6">
        <v>-920300</v>
      </c>
      <c r="L932" s="7"/>
    </row>
    <row r="933" spans="1:12" x14ac:dyDescent="0.25">
      <c r="A933" t="s">
        <v>582</v>
      </c>
      <c r="B933" s="5">
        <v>514620</v>
      </c>
      <c r="C933" t="s">
        <v>583</v>
      </c>
      <c r="D933" s="1" t="str">
        <f t="shared" si="30"/>
        <v>51276</v>
      </c>
      <c r="E933" t="s">
        <v>10</v>
      </c>
      <c r="F933" t="s">
        <v>583</v>
      </c>
      <c r="G933" s="1" t="str">
        <f>"018"</f>
        <v>018</v>
      </c>
      <c r="H933" s="1">
        <v>2014</v>
      </c>
      <c r="I933" s="6">
        <v>3521600</v>
      </c>
      <c r="J933" s="6">
        <v>10250100</v>
      </c>
      <c r="K933" s="6">
        <v>-6728500</v>
      </c>
      <c r="L933" s="7"/>
    </row>
    <row r="934" spans="1:12" x14ac:dyDescent="0.25">
      <c r="A934" t="s">
        <v>582</v>
      </c>
      <c r="B934" s="5">
        <v>514620</v>
      </c>
      <c r="C934" t="s">
        <v>583</v>
      </c>
      <c r="D934" s="1" t="str">
        <f t="shared" si="30"/>
        <v>51276</v>
      </c>
      <c r="E934" t="s">
        <v>10</v>
      </c>
      <c r="F934" t="s">
        <v>583</v>
      </c>
      <c r="G934" s="1" t="str">
        <f>"019"</f>
        <v>019</v>
      </c>
      <c r="H934" s="1">
        <v>2016</v>
      </c>
      <c r="I934" s="6">
        <v>39820800</v>
      </c>
      <c r="J934" s="6">
        <v>38194400</v>
      </c>
      <c r="K934" s="6">
        <v>1626400</v>
      </c>
      <c r="L934" s="7"/>
    </row>
    <row r="935" spans="1:12" x14ac:dyDescent="0.25">
      <c r="A935" t="s">
        <v>582</v>
      </c>
      <c r="B935" s="5">
        <v>514620</v>
      </c>
      <c r="C935" t="s">
        <v>583</v>
      </c>
      <c r="D935" s="1" t="str">
        <f t="shared" si="30"/>
        <v>51276</v>
      </c>
      <c r="E935" t="s">
        <v>10</v>
      </c>
      <c r="F935" t="s">
        <v>583</v>
      </c>
      <c r="G935" s="1" t="str">
        <f>"020"</f>
        <v>020</v>
      </c>
      <c r="H935" s="1">
        <v>2017</v>
      </c>
      <c r="I935" s="6">
        <v>54624700</v>
      </c>
      <c r="J935" s="6">
        <v>59970000</v>
      </c>
      <c r="K935" s="6">
        <v>-5345300</v>
      </c>
      <c r="L935" s="7"/>
    </row>
    <row r="936" spans="1:12" x14ac:dyDescent="0.25">
      <c r="A936" t="s">
        <v>582</v>
      </c>
      <c r="B936" s="5">
        <v>514620</v>
      </c>
      <c r="C936" t="s">
        <v>583</v>
      </c>
      <c r="D936" s="1" t="str">
        <f>"51181"</f>
        <v>51181</v>
      </c>
      <c r="E936" t="s">
        <v>15</v>
      </c>
      <c r="F936" t="s">
        <v>586</v>
      </c>
      <c r="G936" s="1" t="str">
        <f>"004"</f>
        <v>004</v>
      </c>
      <c r="H936" s="1">
        <v>2016</v>
      </c>
      <c r="I936" s="6">
        <v>72375100</v>
      </c>
      <c r="J936" s="6">
        <v>55323600</v>
      </c>
      <c r="K936" s="6">
        <v>17051500</v>
      </c>
      <c r="L936" s="7"/>
    </row>
    <row r="937" spans="1:12" x14ac:dyDescent="0.25">
      <c r="A937" t="s">
        <v>587</v>
      </c>
      <c r="B937" s="5">
        <v>304627</v>
      </c>
      <c r="C937" t="s">
        <v>129</v>
      </c>
      <c r="D937" s="1" t="str">
        <f>"30186"</f>
        <v>30186</v>
      </c>
      <c r="E937" t="s">
        <v>15</v>
      </c>
      <c r="F937" t="s">
        <v>588</v>
      </c>
      <c r="G937" s="1" t="str">
        <f>"001"</f>
        <v>001</v>
      </c>
      <c r="H937" s="1">
        <v>2007</v>
      </c>
      <c r="I937" s="6">
        <v>9983800</v>
      </c>
      <c r="J937" s="6">
        <v>8799700</v>
      </c>
      <c r="K937" s="6">
        <v>1184100</v>
      </c>
      <c r="L937" s="7"/>
    </row>
    <row r="938" spans="1:12" x14ac:dyDescent="0.25">
      <c r="A938" t="s">
        <v>589</v>
      </c>
      <c r="B938" s="5">
        <v>114634</v>
      </c>
      <c r="C938" t="s">
        <v>145</v>
      </c>
      <c r="D938" s="1" t="str">
        <f>"11176"</f>
        <v>11176</v>
      </c>
      <c r="E938" t="s">
        <v>15</v>
      </c>
      <c r="F938" t="s">
        <v>590</v>
      </c>
      <c r="G938" s="1" t="str">
        <f>"002"</f>
        <v>002</v>
      </c>
      <c r="H938" s="1">
        <v>1995</v>
      </c>
      <c r="I938" s="6">
        <v>4679400</v>
      </c>
      <c r="J938" s="6">
        <v>2488500</v>
      </c>
      <c r="K938" s="6">
        <v>2190900</v>
      </c>
      <c r="L938" s="7"/>
    </row>
    <row r="939" spans="1:12" x14ac:dyDescent="0.25">
      <c r="A939" t="s">
        <v>589</v>
      </c>
      <c r="B939" s="5">
        <v>114634</v>
      </c>
      <c r="C939" t="s">
        <v>86</v>
      </c>
      <c r="D939" s="1" t="str">
        <f>"14176"</f>
        <v>14176</v>
      </c>
      <c r="E939" t="s">
        <v>15</v>
      </c>
      <c r="F939" t="s">
        <v>590</v>
      </c>
      <c r="G939" s="1" t="str">
        <f>"001"</f>
        <v>001</v>
      </c>
      <c r="H939" s="1">
        <v>1993</v>
      </c>
      <c r="I939" s="6">
        <v>14274000</v>
      </c>
      <c r="J939" s="6">
        <v>2421200</v>
      </c>
      <c r="K939" s="6">
        <v>11852800</v>
      </c>
      <c r="L939" s="7"/>
    </row>
    <row r="940" spans="1:12" x14ac:dyDescent="0.25">
      <c r="A940" t="s">
        <v>589</v>
      </c>
      <c r="B940" s="5">
        <v>114634</v>
      </c>
      <c r="C940" t="s">
        <v>86</v>
      </c>
      <c r="D940" s="1" t="str">
        <f>"14176"</f>
        <v>14176</v>
      </c>
      <c r="E940" t="s">
        <v>15</v>
      </c>
      <c r="F940" t="s">
        <v>590</v>
      </c>
      <c r="G940" s="1" t="str">
        <f>"002"</f>
        <v>002</v>
      </c>
      <c r="H940" s="1">
        <v>1995</v>
      </c>
      <c r="I940" s="6">
        <v>11437500</v>
      </c>
      <c r="J940" s="6">
        <v>4199300</v>
      </c>
      <c r="K940" s="6">
        <v>7238200</v>
      </c>
      <c r="L940" s="7"/>
    </row>
    <row r="941" spans="1:12" x14ac:dyDescent="0.25">
      <c r="A941" t="s">
        <v>591</v>
      </c>
      <c r="B941" s="5">
        <v>594641</v>
      </c>
      <c r="C941" t="s">
        <v>159</v>
      </c>
      <c r="D941" s="1" t="str">
        <f>"59176"</f>
        <v>59176</v>
      </c>
      <c r="E941" t="s">
        <v>15</v>
      </c>
      <c r="F941" t="s">
        <v>592</v>
      </c>
      <c r="G941" s="1" t="str">
        <f>"003"</f>
        <v>003</v>
      </c>
      <c r="H941" s="1">
        <v>2014</v>
      </c>
      <c r="I941" s="6">
        <v>2810100</v>
      </c>
      <c r="J941" s="6">
        <v>1397100</v>
      </c>
      <c r="K941" s="6">
        <v>1413000</v>
      </c>
      <c r="L941" s="7"/>
    </row>
    <row r="942" spans="1:12" x14ac:dyDescent="0.25">
      <c r="A942" t="s">
        <v>593</v>
      </c>
      <c r="B942" s="5">
        <v>564753</v>
      </c>
      <c r="C942" t="s">
        <v>72</v>
      </c>
      <c r="D942" s="1" t="str">
        <f>"56149"</f>
        <v>56149</v>
      </c>
      <c r="E942" t="s">
        <v>15</v>
      </c>
      <c r="F942" t="s">
        <v>594</v>
      </c>
      <c r="G942" s="1" t="str">
        <f>"002"</f>
        <v>002</v>
      </c>
      <c r="H942" s="1">
        <v>2018</v>
      </c>
      <c r="I942" s="6">
        <v>1814000</v>
      </c>
      <c r="J942" s="6">
        <v>1739100</v>
      </c>
      <c r="K942" s="6">
        <v>74900</v>
      </c>
      <c r="L942" s="7"/>
    </row>
    <row r="943" spans="1:12" x14ac:dyDescent="0.25">
      <c r="A943" t="s">
        <v>593</v>
      </c>
      <c r="B943" s="5">
        <v>564753</v>
      </c>
      <c r="C943" t="s">
        <v>72</v>
      </c>
      <c r="D943" s="1" t="str">
        <f t="shared" ref="D943:D949" si="31">"56276"</f>
        <v>56276</v>
      </c>
      <c r="E943" t="s">
        <v>10</v>
      </c>
      <c r="F943" t="s">
        <v>595</v>
      </c>
      <c r="G943" s="1" t="str">
        <f>"003"</f>
        <v>003</v>
      </c>
      <c r="H943" s="1">
        <v>1998</v>
      </c>
      <c r="I943" s="6">
        <v>4462500</v>
      </c>
      <c r="J943" s="6">
        <v>1249400</v>
      </c>
      <c r="K943" s="6">
        <v>3213100</v>
      </c>
      <c r="L943" s="7"/>
    </row>
    <row r="944" spans="1:12" x14ac:dyDescent="0.25">
      <c r="A944" t="s">
        <v>593</v>
      </c>
      <c r="B944" s="5">
        <v>564753</v>
      </c>
      <c r="C944" t="s">
        <v>72</v>
      </c>
      <c r="D944" s="1" t="str">
        <f t="shared" si="31"/>
        <v>56276</v>
      </c>
      <c r="E944" t="s">
        <v>10</v>
      </c>
      <c r="F944" t="s">
        <v>595</v>
      </c>
      <c r="G944" s="1" t="str">
        <f>"004"</f>
        <v>004</v>
      </c>
      <c r="H944" s="1">
        <v>1998</v>
      </c>
      <c r="I944" s="6">
        <v>18703100</v>
      </c>
      <c r="J944" s="6">
        <v>4085900</v>
      </c>
      <c r="K944" s="6">
        <v>14617200</v>
      </c>
      <c r="L944" s="7"/>
    </row>
    <row r="945" spans="1:12" x14ac:dyDescent="0.25">
      <c r="A945" t="s">
        <v>593</v>
      </c>
      <c r="B945" s="5">
        <v>564753</v>
      </c>
      <c r="C945" t="s">
        <v>72</v>
      </c>
      <c r="D945" s="1" t="str">
        <f t="shared" si="31"/>
        <v>56276</v>
      </c>
      <c r="E945" t="s">
        <v>10</v>
      </c>
      <c r="F945" t="s">
        <v>595</v>
      </c>
      <c r="G945" s="1" t="str">
        <f>"005"</f>
        <v>005</v>
      </c>
      <c r="H945" s="1">
        <v>2000</v>
      </c>
      <c r="I945" s="6">
        <v>4605900</v>
      </c>
      <c r="J945" s="6">
        <v>1309000</v>
      </c>
      <c r="K945" s="6">
        <v>3296900</v>
      </c>
      <c r="L945" s="7"/>
    </row>
    <row r="946" spans="1:12" x14ac:dyDescent="0.25">
      <c r="A946" t="s">
        <v>593</v>
      </c>
      <c r="B946" s="5">
        <v>564753</v>
      </c>
      <c r="C946" t="s">
        <v>72</v>
      </c>
      <c r="D946" s="1" t="str">
        <f t="shared" si="31"/>
        <v>56276</v>
      </c>
      <c r="E946" t="s">
        <v>10</v>
      </c>
      <c r="F946" t="s">
        <v>595</v>
      </c>
      <c r="G946" s="1" t="str">
        <f>"006"</f>
        <v>006</v>
      </c>
      <c r="H946" s="1">
        <v>2000</v>
      </c>
      <c r="I946" s="6">
        <v>12380300</v>
      </c>
      <c r="J946" s="6">
        <v>10195300</v>
      </c>
      <c r="K946" s="6">
        <v>2185000</v>
      </c>
      <c r="L946" s="7"/>
    </row>
    <row r="947" spans="1:12" x14ac:dyDescent="0.25">
      <c r="A947" t="s">
        <v>593</v>
      </c>
      <c r="B947" s="5">
        <v>564753</v>
      </c>
      <c r="C947" t="s">
        <v>72</v>
      </c>
      <c r="D947" s="1" t="str">
        <f t="shared" si="31"/>
        <v>56276</v>
      </c>
      <c r="E947" t="s">
        <v>10</v>
      </c>
      <c r="F947" t="s">
        <v>595</v>
      </c>
      <c r="G947" s="1" t="str">
        <f>"007"</f>
        <v>007</v>
      </c>
      <c r="H947" s="1">
        <v>2001</v>
      </c>
      <c r="I947" s="6">
        <v>934800</v>
      </c>
      <c r="J947" s="6">
        <v>147600</v>
      </c>
      <c r="K947" s="6">
        <v>787200</v>
      </c>
      <c r="L947" s="7"/>
    </row>
    <row r="948" spans="1:12" x14ac:dyDescent="0.25">
      <c r="A948" t="s">
        <v>593</v>
      </c>
      <c r="B948" s="5">
        <v>564753</v>
      </c>
      <c r="C948" t="s">
        <v>72</v>
      </c>
      <c r="D948" s="1" t="str">
        <f t="shared" si="31"/>
        <v>56276</v>
      </c>
      <c r="E948" t="s">
        <v>10</v>
      </c>
      <c r="F948" t="s">
        <v>595</v>
      </c>
      <c r="G948" s="1" t="str">
        <f>"008"</f>
        <v>008</v>
      </c>
      <c r="H948" s="1">
        <v>2008</v>
      </c>
      <c r="I948" s="6">
        <v>4715900</v>
      </c>
      <c r="J948" s="6">
        <v>1619700</v>
      </c>
      <c r="K948" s="6">
        <v>3096200</v>
      </c>
      <c r="L948" s="7"/>
    </row>
    <row r="949" spans="1:12" x14ac:dyDescent="0.25">
      <c r="A949" t="s">
        <v>593</v>
      </c>
      <c r="B949" s="5">
        <v>564753</v>
      </c>
      <c r="C949" t="s">
        <v>72</v>
      </c>
      <c r="D949" s="1" t="str">
        <f t="shared" si="31"/>
        <v>56276</v>
      </c>
      <c r="E949" t="s">
        <v>10</v>
      </c>
      <c r="F949" t="s">
        <v>595</v>
      </c>
      <c r="G949" s="1" t="str">
        <f>"009"</f>
        <v>009</v>
      </c>
      <c r="H949" s="1">
        <v>2016</v>
      </c>
      <c r="I949" s="6">
        <v>49168700</v>
      </c>
      <c r="J949" s="6">
        <v>32281100</v>
      </c>
      <c r="K949" s="6">
        <v>16887600</v>
      </c>
      <c r="L949" s="7"/>
    </row>
    <row r="950" spans="1:12" x14ac:dyDescent="0.25">
      <c r="A950" t="s">
        <v>596</v>
      </c>
      <c r="B950" s="5">
        <v>364760</v>
      </c>
      <c r="C950" t="s">
        <v>234</v>
      </c>
      <c r="D950" s="1" t="str">
        <f>"36132"</f>
        <v>36132</v>
      </c>
      <c r="E950" t="s">
        <v>15</v>
      </c>
      <c r="F950" t="s">
        <v>597</v>
      </c>
      <c r="G950" s="1" t="str">
        <f>"001"</f>
        <v>001</v>
      </c>
      <c r="H950" s="1">
        <v>2003</v>
      </c>
      <c r="I950" s="6">
        <v>1278200</v>
      </c>
      <c r="J950" s="6">
        <v>783600</v>
      </c>
      <c r="K950" s="6">
        <v>494600</v>
      </c>
      <c r="L950" s="7"/>
    </row>
    <row r="951" spans="1:12" x14ac:dyDescent="0.25">
      <c r="A951" t="s">
        <v>598</v>
      </c>
      <c r="B951" s="5">
        <v>434781</v>
      </c>
      <c r="C951" t="s">
        <v>599</v>
      </c>
      <c r="D951" s="1" t="str">
        <f t="shared" ref="D951:D956" si="32">"43276"</f>
        <v>43276</v>
      </c>
      <c r="E951" t="s">
        <v>10</v>
      </c>
      <c r="F951" t="s">
        <v>600</v>
      </c>
      <c r="G951" s="1" t="str">
        <f>"001E"</f>
        <v>001E</v>
      </c>
      <c r="H951" s="1">
        <v>2005</v>
      </c>
      <c r="I951" s="6">
        <v>5890600</v>
      </c>
      <c r="J951" s="6">
        <v>1147700</v>
      </c>
      <c r="K951" s="6">
        <v>4742900</v>
      </c>
      <c r="L951" s="7"/>
    </row>
    <row r="952" spans="1:12" x14ac:dyDescent="0.25">
      <c r="A952" t="s">
        <v>598</v>
      </c>
      <c r="B952" s="5">
        <v>434781</v>
      </c>
      <c r="C952" t="s">
        <v>599</v>
      </c>
      <c r="D952" s="1" t="str">
        <f t="shared" si="32"/>
        <v>43276</v>
      </c>
      <c r="E952" t="s">
        <v>10</v>
      </c>
      <c r="F952" t="s">
        <v>600</v>
      </c>
      <c r="G952" s="1" t="str">
        <f>"005"</f>
        <v>005</v>
      </c>
      <c r="H952" s="1">
        <v>2000</v>
      </c>
      <c r="I952" s="6">
        <v>1583900</v>
      </c>
      <c r="J952" s="6">
        <v>966800</v>
      </c>
      <c r="K952" s="6">
        <v>617100</v>
      </c>
      <c r="L952" s="7"/>
    </row>
    <row r="953" spans="1:12" x14ac:dyDescent="0.25">
      <c r="A953" t="s">
        <v>598</v>
      </c>
      <c r="B953" s="5">
        <v>434781</v>
      </c>
      <c r="C953" t="s">
        <v>599</v>
      </c>
      <c r="D953" s="1" t="str">
        <f t="shared" si="32"/>
        <v>43276</v>
      </c>
      <c r="E953" t="s">
        <v>10</v>
      </c>
      <c r="F953" t="s">
        <v>600</v>
      </c>
      <c r="G953" s="1" t="str">
        <f>"006"</f>
        <v>006</v>
      </c>
      <c r="H953" s="1">
        <v>2002</v>
      </c>
      <c r="I953" s="6">
        <v>20078900</v>
      </c>
      <c r="J953" s="6">
        <v>10983800</v>
      </c>
      <c r="K953" s="6">
        <v>9095100</v>
      </c>
      <c r="L953" s="7"/>
    </row>
    <row r="954" spans="1:12" x14ac:dyDescent="0.25">
      <c r="A954" t="s">
        <v>598</v>
      </c>
      <c r="B954" s="5">
        <v>434781</v>
      </c>
      <c r="C954" t="s">
        <v>599</v>
      </c>
      <c r="D954" s="1" t="str">
        <f t="shared" si="32"/>
        <v>43276</v>
      </c>
      <c r="E954" t="s">
        <v>10</v>
      </c>
      <c r="F954" t="s">
        <v>600</v>
      </c>
      <c r="G954" s="1" t="str">
        <f>"008"</f>
        <v>008</v>
      </c>
      <c r="H954" s="1">
        <v>2010</v>
      </c>
      <c r="I954" s="6">
        <v>45877200</v>
      </c>
      <c r="J954" s="6">
        <v>49192200</v>
      </c>
      <c r="K954" s="6">
        <v>-3315000</v>
      </c>
      <c r="L954" s="7"/>
    </row>
    <row r="955" spans="1:12" x14ac:dyDescent="0.25">
      <c r="A955" t="s">
        <v>598</v>
      </c>
      <c r="B955" s="5">
        <v>434781</v>
      </c>
      <c r="C955" t="s">
        <v>599</v>
      </c>
      <c r="D955" s="1" t="str">
        <f t="shared" si="32"/>
        <v>43276</v>
      </c>
      <c r="E955" t="s">
        <v>10</v>
      </c>
      <c r="F955" t="s">
        <v>600</v>
      </c>
      <c r="G955" s="1" t="str">
        <f>"009"</f>
        <v>009</v>
      </c>
      <c r="H955" s="1">
        <v>2012</v>
      </c>
      <c r="I955" s="6">
        <v>24461200</v>
      </c>
      <c r="J955" s="6">
        <v>4900</v>
      </c>
      <c r="K955" s="6">
        <v>24456300</v>
      </c>
      <c r="L955" s="7"/>
    </row>
    <row r="956" spans="1:12" x14ac:dyDescent="0.25">
      <c r="A956" t="s">
        <v>598</v>
      </c>
      <c r="B956" s="5">
        <v>434781</v>
      </c>
      <c r="C956" t="s">
        <v>599</v>
      </c>
      <c r="D956" s="1" t="str">
        <f t="shared" si="32"/>
        <v>43276</v>
      </c>
      <c r="E956" t="s">
        <v>10</v>
      </c>
      <c r="F956" t="s">
        <v>600</v>
      </c>
      <c r="G956" s="1" t="str">
        <f>"010"</f>
        <v>010</v>
      </c>
      <c r="H956" s="1">
        <v>2013</v>
      </c>
      <c r="I956" s="6">
        <v>10493800</v>
      </c>
      <c r="J956" s="6">
        <v>5791100</v>
      </c>
      <c r="K956" s="6">
        <v>4702700</v>
      </c>
      <c r="L956" s="7"/>
    </row>
    <row r="957" spans="1:12" x14ac:dyDescent="0.25">
      <c r="A957" t="s">
        <v>601</v>
      </c>
      <c r="B957" s="5">
        <v>604795</v>
      </c>
      <c r="C957" t="s">
        <v>111</v>
      </c>
      <c r="D957" s="1" t="str">
        <f>"60176"</f>
        <v>60176</v>
      </c>
      <c r="E957" t="s">
        <v>15</v>
      </c>
      <c r="F957" t="s">
        <v>602</v>
      </c>
      <c r="G957" s="1" t="str">
        <f>"001"</f>
        <v>001</v>
      </c>
      <c r="H957" s="1">
        <v>1995</v>
      </c>
      <c r="I957" s="6">
        <v>1907200</v>
      </c>
      <c r="J957" s="6">
        <v>796200</v>
      </c>
      <c r="K957" s="6">
        <v>1111000</v>
      </c>
      <c r="L957" s="7"/>
    </row>
    <row r="958" spans="1:12" x14ac:dyDescent="0.25">
      <c r="A958" t="s">
        <v>603</v>
      </c>
      <c r="B958" s="5">
        <v>34802</v>
      </c>
      <c r="C958" t="s">
        <v>80</v>
      </c>
      <c r="D958" s="1" t="str">
        <f>"03276"</f>
        <v>03276</v>
      </c>
      <c r="E958" t="s">
        <v>10</v>
      </c>
      <c r="F958" t="s">
        <v>604</v>
      </c>
      <c r="G958" s="1" t="str">
        <f>"003"</f>
        <v>003</v>
      </c>
      <c r="H958" s="1">
        <v>2001</v>
      </c>
      <c r="I958" s="6">
        <v>38917000</v>
      </c>
      <c r="J958" s="6">
        <v>21358700</v>
      </c>
      <c r="K958" s="6">
        <v>17558300</v>
      </c>
      <c r="L958" s="7"/>
    </row>
    <row r="959" spans="1:12" x14ac:dyDescent="0.25">
      <c r="A959" t="s">
        <v>603</v>
      </c>
      <c r="B959" s="5">
        <v>34802</v>
      </c>
      <c r="C959" t="s">
        <v>80</v>
      </c>
      <c r="D959" s="1" t="str">
        <f>"03276"</f>
        <v>03276</v>
      </c>
      <c r="E959" t="s">
        <v>10</v>
      </c>
      <c r="F959" t="s">
        <v>604</v>
      </c>
      <c r="G959" s="1" t="str">
        <f>"004"</f>
        <v>004</v>
      </c>
      <c r="H959" s="1">
        <v>2007</v>
      </c>
      <c r="I959" s="6">
        <v>28315100</v>
      </c>
      <c r="J959" s="6">
        <v>3937100</v>
      </c>
      <c r="K959" s="6">
        <v>24378000</v>
      </c>
      <c r="L959" s="7"/>
    </row>
    <row r="960" spans="1:12" x14ac:dyDescent="0.25">
      <c r="A960" t="s">
        <v>605</v>
      </c>
      <c r="B960" s="5">
        <v>524851</v>
      </c>
      <c r="C960" t="s">
        <v>386</v>
      </c>
      <c r="D960" s="1" t="str">
        <f>"52276"</f>
        <v>52276</v>
      </c>
      <c r="E960" t="s">
        <v>10</v>
      </c>
      <c r="F960" t="s">
        <v>606</v>
      </c>
      <c r="G960" s="1" t="str">
        <f>"004"</f>
        <v>004</v>
      </c>
      <c r="H960" s="1">
        <v>1995</v>
      </c>
      <c r="I960" s="6">
        <v>19056200</v>
      </c>
      <c r="J960" s="6">
        <v>15091600</v>
      </c>
      <c r="K960" s="6">
        <v>3964600</v>
      </c>
      <c r="L960" s="7"/>
    </row>
    <row r="961" spans="1:12" x14ac:dyDescent="0.25">
      <c r="A961" t="s">
        <v>605</v>
      </c>
      <c r="B961" s="5">
        <v>524851</v>
      </c>
      <c r="C961" t="s">
        <v>386</v>
      </c>
      <c r="D961" s="1" t="str">
        <f>"52276"</f>
        <v>52276</v>
      </c>
      <c r="E961" t="s">
        <v>10</v>
      </c>
      <c r="F961" t="s">
        <v>606</v>
      </c>
      <c r="G961" s="1" t="str">
        <f>"006"</f>
        <v>006</v>
      </c>
      <c r="H961" s="1">
        <v>2017</v>
      </c>
      <c r="I961" s="6">
        <v>2123200</v>
      </c>
      <c r="J961" s="6">
        <v>28300</v>
      </c>
      <c r="K961" s="6">
        <v>2094900</v>
      </c>
      <c r="L961" s="7"/>
    </row>
    <row r="962" spans="1:12" x14ac:dyDescent="0.25">
      <c r="A962" t="s">
        <v>607</v>
      </c>
      <c r="B962" s="5">
        <v>673122</v>
      </c>
      <c r="C962" t="s">
        <v>268</v>
      </c>
      <c r="D962" s="1" t="str">
        <f>"67181"</f>
        <v>67181</v>
      </c>
      <c r="E962" t="s">
        <v>15</v>
      </c>
      <c r="F962" t="s">
        <v>330</v>
      </c>
      <c r="G962" s="1" t="str">
        <f>"007"</f>
        <v>007</v>
      </c>
      <c r="H962" s="1">
        <v>2018</v>
      </c>
      <c r="I962" s="6">
        <v>232800</v>
      </c>
      <c r="J962" s="6">
        <v>240600</v>
      </c>
      <c r="K962" s="6">
        <v>-7800</v>
      </c>
      <c r="L962" s="7"/>
    </row>
    <row r="963" spans="1:12" x14ac:dyDescent="0.25">
      <c r="A963" t="s">
        <v>608</v>
      </c>
      <c r="B963" s="5">
        <v>114865</v>
      </c>
      <c r="C963" t="s">
        <v>145</v>
      </c>
      <c r="D963" s="1" t="str">
        <f>"11177"</f>
        <v>11177</v>
      </c>
      <c r="E963" t="s">
        <v>15</v>
      </c>
      <c r="F963" t="s">
        <v>609</v>
      </c>
      <c r="G963" s="1" t="str">
        <f>"001"</f>
        <v>001</v>
      </c>
      <c r="H963" s="1">
        <v>1988</v>
      </c>
      <c r="I963" s="6">
        <v>3023100</v>
      </c>
      <c r="J963" s="6">
        <v>551400</v>
      </c>
      <c r="K963" s="6">
        <v>2471700</v>
      </c>
      <c r="L963" s="7"/>
    </row>
    <row r="964" spans="1:12" x14ac:dyDescent="0.25">
      <c r="A964" t="s">
        <v>608</v>
      </c>
      <c r="B964" s="5">
        <v>114865</v>
      </c>
      <c r="C964" t="s">
        <v>145</v>
      </c>
      <c r="D964" s="1" t="str">
        <f>"11177"</f>
        <v>11177</v>
      </c>
      <c r="E964" t="s">
        <v>15</v>
      </c>
      <c r="F964" t="s">
        <v>609</v>
      </c>
      <c r="G964" s="1" t="str">
        <f>"003"</f>
        <v>003</v>
      </c>
      <c r="H964" s="1">
        <v>1996</v>
      </c>
      <c r="I964" s="6">
        <v>6857500</v>
      </c>
      <c r="J964" s="6">
        <v>1268100</v>
      </c>
      <c r="K964" s="6">
        <v>5589400</v>
      </c>
      <c r="L964" s="7"/>
    </row>
    <row r="965" spans="1:12" x14ac:dyDescent="0.25">
      <c r="A965" t="s">
        <v>610</v>
      </c>
      <c r="B965" s="5">
        <v>204872</v>
      </c>
      <c r="C965" t="s">
        <v>152</v>
      </c>
      <c r="D965" s="1" t="str">
        <f>"20126"</f>
        <v>20126</v>
      </c>
      <c r="E965" t="s">
        <v>15</v>
      </c>
      <c r="F965" t="s">
        <v>428</v>
      </c>
      <c r="G965" s="1" t="str">
        <f>"001"</f>
        <v>001</v>
      </c>
      <c r="H965" s="1">
        <v>1997</v>
      </c>
      <c r="I965" s="6">
        <v>123200</v>
      </c>
      <c r="J965" s="6">
        <v>88400</v>
      </c>
      <c r="K965" s="6">
        <v>34800</v>
      </c>
      <c r="L965" s="7"/>
    </row>
    <row r="966" spans="1:12" x14ac:dyDescent="0.25">
      <c r="A966" t="s">
        <v>610</v>
      </c>
      <c r="B966" s="5">
        <v>204872</v>
      </c>
      <c r="C966" t="s">
        <v>152</v>
      </c>
      <c r="D966" s="1" t="str">
        <f t="shared" ref="D966:D975" si="33">"20276"</f>
        <v>20276</v>
      </c>
      <c r="E966" t="s">
        <v>10</v>
      </c>
      <c r="F966" t="s">
        <v>611</v>
      </c>
      <c r="G966" s="1" t="str">
        <f>"004"</f>
        <v>004</v>
      </c>
      <c r="H966" s="1">
        <v>1994</v>
      </c>
      <c r="I966" s="6">
        <v>18625800</v>
      </c>
      <c r="J966" s="6">
        <v>6810200</v>
      </c>
      <c r="K966" s="6">
        <v>11815600</v>
      </c>
      <c r="L966" s="7"/>
    </row>
    <row r="967" spans="1:12" x14ac:dyDescent="0.25">
      <c r="A967" t="s">
        <v>610</v>
      </c>
      <c r="B967" s="5">
        <v>204872</v>
      </c>
      <c r="C967" t="s">
        <v>152</v>
      </c>
      <c r="D967" s="1" t="str">
        <f t="shared" si="33"/>
        <v>20276</v>
      </c>
      <c r="E967" t="s">
        <v>10</v>
      </c>
      <c r="F967" t="s">
        <v>611</v>
      </c>
      <c r="G967" s="1" t="str">
        <f>"005"</f>
        <v>005</v>
      </c>
      <c r="H967" s="1">
        <v>2000</v>
      </c>
      <c r="I967" s="6">
        <v>7969600</v>
      </c>
      <c r="J967" s="6">
        <v>239300</v>
      </c>
      <c r="K967" s="6">
        <v>7730300</v>
      </c>
      <c r="L967" s="7"/>
    </row>
    <row r="968" spans="1:12" x14ac:dyDescent="0.25">
      <c r="A968" t="s">
        <v>610</v>
      </c>
      <c r="B968" s="5">
        <v>204872</v>
      </c>
      <c r="C968" t="s">
        <v>152</v>
      </c>
      <c r="D968" s="1" t="str">
        <f t="shared" si="33"/>
        <v>20276</v>
      </c>
      <c r="E968" t="s">
        <v>10</v>
      </c>
      <c r="F968" t="s">
        <v>611</v>
      </c>
      <c r="G968" s="1" t="str">
        <f>"006"</f>
        <v>006</v>
      </c>
      <c r="H968" s="1">
        <v>2005</v>
      </c>
      <c r="I968" s="6">
        <v>38936900</v>
      </c>
      <c r="J968" s="6">
        <v>25263300</v>
      </c>
      <c r="K968" s="6">
        <v>13673600</v>
      </c>
      <c r="L968" s="7"/>
    </row>
    <row r="969" spans="1:12" x14ac:dyDescent="0.25">
      <c r="A969" t="s">
        <v>610</v>
      </c>
      <c r="B969" s="5">
        <v>204872</v>
      </c>
      <c r="C969" t="s">
        <v>152</v>
      </c>
      <c r="D969" s="1" t="str">
        <f t="shared" si="33"/>
        <v>20276</v>
      </c>
      <c r="E969" t="s">
        <v>10</v>
      </c>
      <c r="F969" t="s">
        <v>611</v>
      </c>
      <c r="G969" s="1" t="str">
        <f>"007"</f>
        <v>007</v>
      </c>
      <c r="H969" s="1">
        <v>2007</v>
      </c>
      <c r="I969" s="6">
        <v>7303800</v>
      </c>
      <c r="J969" s="6">
        <v>845600</v>
      </c>
      <c r="K969" s="6">
        <v>6458200</v>
      </c>
      <c r="L969" s="7"/>
    </row>
    <row r="970" spans="1:12" x14ac:dyDescent="0.25">
      <c r="A970" t="s">
        <v>610</v>
      </c>
      <c r="B970" s="5">
        <v>204872</v>
      </c>
      <c r="C970" t="s">
        <v>152</v>
      </c>
      <c r="D970" s="1" t="str">
        <f t="shared" si="33"/>
        <v>20276</v>
      </c>
      <c r="E970" t="s">
        <v>10</v>
      </c>
      <c r="F970" t="s">
        <v>611</v>
      </c>
      <c r="G970" s="1" t="str">
        <f>"009"</f>
        <v>009</v>
      </c>
      <c r="H970" s="1">
        <v>2009</v>
      </c>
      <c r="I970" s="6">
        <v>5011400</v>
      </c>
      <c r="J970" s="6">
        <v>7100</v>
      </c>
      <c r="K970" s="6">
        <v>5004300</v>
      </c>
      <c r="L970" s="7"/>
    </row>
    <row r="971" spans="1:12" x14ac:dyDescent="0.25">
      <c r="A971" t="s">
        <v>610</v>
      </c>
      <c r="B971" s="5">
        <v>204872</v>
      </c>
      <c r="C971" t="s">
        <v>152</v>
      </c>
      <c r="D971" s="1" t="str">
        <f t="shared" si="33"/>
        <v>20276</v>
      </c>
      <c r="E971" t="s">
        <v>10</v>
      </c>
      <c r="F971" t="s">
        <v>611</v>
      </c>
      <c r="G971" s="1" t="str">
        <f>"010"</f>
        <v>010</v>
      </c>
      <c r="H971" s="1">
        <v>2009</v>
      </c>
      <c r="I971" s="6">
        <v>8775400</v>
      </c>
      <c r="J971" s="6">
        <v>34400</v>
      </c>
      <c r="K971" s="6">
        <v>8741000</v>
      </c>
      <c r="L971" s="7"/>
    </row>
    <row r="972" spans="1:12" x14ac:dyDescent="0.25">
      <c r="A972" t="s">
        <v>610</v>
      </c>
      <c r="B972" s="5">
        <v>204872</v>
      </c>
      <c r="C972" t="s">
        <v>152</v>
      </c>
      <c r="D972" s="1" t="str">
        <f t="shared" si="33"/>
        <v>20276</v>
      </c>
      <c r="E972" t="s">
        <v>10</v>
      </c>
      <c r="F972" t="s">
        <v>611</v>
      </c>
      <c r="G972" s="1" t="str">
        <f>"011"</f>
        <v>011</v>
      </c>
      <c r="H972" s="1">
        <v>2009</v>
      </c>
      <c r="I972" s="6">
        <v>8199700</v>
      </c>
      <c r="J972" s="6">
        <v>6384300</v>
      </c>
      <c r="K972" s="6">
        <v>1815400</v>
      </c>
      <c r="L972" s="7"/>
    </row>
    <row r="973" spans="1:12" x14ac:dyDescent="0.25">
      <c r="A973" t="s">
        <v>610</v>
      </c>
      <c r="B973" s="5">
        <v>204872</v>
      </c>
      <c r="C973" t="s">
        <v>152</v>
      </c>
      <c r="D973" s="1" t="str">
        <f t="shared" si="33"/>
        <v>20276</v>
      </c>
      <c r="E973" t="s">
        <v>10</v>
      </c>
      <c r="F973" t="s">
        <v>611</v>
      </c>
      <c r="G973" s="1" t="str">
        <f>"012"</f>
        <v>012</v>
      </c>
      <c r="H973" s="1">
        <v>2014</v>
      </c>
      <c r="I973" s="6">
        <v>4946300</v>
      </c>
      <c r="J973" s="6">
        <v>727100</v>
      </c>
      <c r="K973" s="6">
        <v>4219200</v>
      </c>
      <c r="L973" s="7"/>
    </row>
    <row r="974" spans="1:12" x14ac:dyDescent="0.25">
      <c r="A974" t="s">
        <v>610</v>
      </c>
      <c r="B974" s="5">
        <v>204872</v>
      </c>
      <c r="C974" t="s">
        <v>152</v>
      </c>
      <c r="D974" s="1" t="str">
        <f t="shared" si="33"/>
        <v>20276</v>
      </c>
      <c r="E974" t="s">
        <v>10</v>
      </c>
      <c r="F974" t="s">
        <v>611</v>
      </c>
      <c r="G974" s="1" t="str">
        <f>"014"</f>
        <v>014</v>
      </c>
      <c r="H974" s="1">
        <v>2016</v>
      </c>
      <c r="I974" s="6">
        <v>18618600</v>
      </c>
      <c r="J974" s="6">
        <v>0</v>
      </c>
      <c r="K974" s="6">
        <v>18618600</v>
      </c>
      <c r="L974" s="7"/>
    </row>
    <row r="975" spans="1:12" x14ac:dyDescent="0.25">
      <c r="A975" t="s">
        <v>610</v>
      </c>
      <c r="B975" s="5">
        <v>204872</v>
      </c>
      <c r="C975" t="s">
        <v>152</v>
      </c>
      <c r="D975" s="1" t="str">
        <f t="shared" si="33"/>
        <v>20276</v>
      </c>
      <c r="E975" t="s">
        <v>10</v>
      </c>
      <c r="F975" t="s">
        <v>611</v>
      </c>
      <c r="G975" s="1" t="str">
        <f>"015"</f>
        <v>015</v>
      </c>
      <c r="H975" s="1">
        <v>2017</v>
      </c>
      <c r="I975" s="6">
        <v>910900</v>
      </c>
      <c r="J975" s="6">
        <v>259000</v>
      </c>
      <c r="K975" s="6">
        <v>651900</v>
      </c>
      <c r="L975" s="7"/>
    </row>
    <row r="976" spans="1:12" x14ac:dyDescent="0.25">
      <c r="A976" t="s">
        <v>612</v>
      </c>
      <c r="B976" s="5">
        <v>474893</v>
      </c>
      <c r="C976" t="s">
        <v>265</v>
      </c>
      <c r="D976" s="1" t="str">
        <f>"47276"</f>
        <v>47276</v>
      </c>
      <c r="E976" t="s">
        <v>10</v>
      </c>
      <c r="F976" t="s">
        <v>613</v>
      </c>
      <c r="G976" s="1" t="str">
        <f>"006"</f>
        <v>006</v>
      </c>
      <c r="H976" s="1">
        <v>2005</v>
      </c>
      <c r="I976" s="6">
        <v>9390500</v>
      </c>
      <c r="J976" s="6">
        <v>974600</v>
      </c>
      <c r="K976" s="6">
        <v>8415900</v>
      </c>
      <c r="L976" s="7"/>
    </row>
    <row r="977" spans="1:12" x14ac:dyDescent="0.25">
      <c r="A977" t="s">
        <v>612</v>
      </c>
      <c r="B977" s="5">
        <v>474893</v>
      </c>
      <c r="C977" t="s">
        <v>265</v>
      </c>
      <c r="D977" s="1" t="str">
        <f>"47276"</f>
        <v>47276</v>
      </c>
      <c r="E977" t="s">
        <v>10</v>
      </c>
      <c r="F977" t="s">
        <v>613</v>
      </c>
      <c r="G977" s="1" t="str">
        <f>"008"</f>
        <v>008</v>
      </c>
      <c r="H977" s="1">
        <v>2010</v>
      </c>
      <c r="I977" s="6">
        <v>4547000</v>
      </c>
      <c r="J977" s="6">
        <v>1326500</v>
      </c>
      <c r="K977" s="6">
        <v>3220500</v>
      </c>
      <c r="L977" s="7"/>
    </row>
    <row r="978" spans="1:12" x14ac:dyDescent="0.25">
      <c r="A978" t="s">
        <v>612</v>
      </c>
      <c r="B978" s="5">
        <v>474893</v>
      </c>
      <c r="C978" t="s">
        <v>265</v>
      </c>
      <c r="D978" s="1" t="str">
        <f>"47276"</f>
        <v>47276</v>
      </c>
      <c r="E978" t="s">
        <v>10</v>
      </c>
      <c r="F978" t="s">
        <v>613</v>
      </c>
      <c r="G978" s="1" t="str">
        <f>"009"</f>
        <v>009</v>
      </c>
      <c r="H978" s="1">
        <v>2012</v>
      </c>
      <c r="I978" s="6">
        <v>7640000</v>
      </c>
      <c r="J978" s="6">
        <v>4712300</v>
      </c>
      <c r="K978" s="6">
        <v>2927700</v>
      </c>
      <c r="L978" s="7"/>
    </row>
    <row r="979" spans="1:12" x14ac:dyDescent="0.25">
      <c r="A979" t="s">
        <v>612</v>
      </c>
      <c r="B979" s="5">
        <v>474893</v>
      </c>
      <c r="C979" t="s">
        <v>265</v>
      </c>
      <c r="D979" s="1" t="str">
        <f>"47276"</f>
        <v>47276</v>
      </c>
      <c r="E979" t="s">
        <v>10</v>
      </c>
      <c r="F979" t="s">
        <v>613</v>
      </c>
      <c r="G979" s="1" t="str">
        <f>"014"</f>
        <v>014</v>
      </c>
      <c r="H979" s="1">
        <v>2018</v>
      </c>
      <c r="I979" s="6">
        <v>1471800</v>
      </c>
      <c r="J979" s="6">
        <v>73100</v>
      </c>
      <c r="K979" s="6">
        <v>1398700</v>
      </c>
      <c r="L979" s="7"/>
    </row>
    <row r="980" spans="1:12" x14ac:dyDescent="0.25">
      <c r="A980" t="s">
        <v>612</v>
      </c>
      <c r="B980" s="5">
        <v>474893</v>
      </c>
      <c r="C980" t="s">
        <v>63</v>
      </c>
      <c r="D980" s="1" t="str">
        <f>"55276"</f>
        <v>55276</v>
      </c>
      <c r="E980" t="s">
        <v>10</v>
      </c>
      <c r="F980" t="s">
        <v>613</v>
      </c>
      <c r="G980" s="1" t="str">
        <f>"005"</f>
        <v>005</v>
      </c>
      <c r="H980" s="1">
        <v>1994</v>
      </c>
      <c r="I980" s="6">
        <v>26065400</v>
      </c>
      <c r="J980" s="6">
        <v>467400</v>
      </c>
      <c r="K980" s="6">
        <v>25598000</v>
      </c>
      <c r="L980" s="7"/>
    </row>
    <row r="981" spans="1:12" x14ac:dyDescent="0.25">
      <c r="A981" t="s">
        <v>612</v>
      </c>
      <c r="B981" s="5">
        <v>474893</v>
      </c>
      <c r="C981" t="s">
        <v>63</v>
      </c>
      <c r="D981" s="1" t="str">
        <f>"55276"</f>
        <v>55276</v>
      </c>
      <c r="E981" t="s">
        <v>10</v>
      </c>
      <c r="F981" t="s">
        <v>613</v>
      </c>
      <c r="G981" s="1" t="str">
        <f>"010"</f>
        <v>010</v>
      </c>
      <c r="H981" s="1">
        <v>2014</v>
      </c>
      <c r="I981" s="6">
        <v>21438800</v>
      </c>
      <c r="J981" s="6">
        <v>133300</v>
      </c>
      <c r="K981" s="6">
        <v>21305500</v>
      </c>
      <c r="L981" s="7"/>
    </row>
    <row r="982" spans="1:12" x14ac:dyDescent="0.25">
      <c r="A982" t="s">
        <v>612</v>
      </c>
      <c r="B982" s="5">
        <v>474893</v>
      </c>
      <c r="C982" t="s">
        <v>63</v>
      </c>
      <c r="D982" s="1" t="str">
        <f>"55276"</f>
        <v>55276</v>
      </c>
      <c r="E982" t="s">
        <v>10</v>
      </c>
      <c r="F982" t="s">
        <v>613</v>
      </c>
      <c r="G982" s="1" t="str">
        <f>"011"</f>
        <v>011</v>
      </c>
      <c r="H982" s="1">
        <v>2016</v>
      </c>
      <c r="I982" s="6">
        <v>7912600</v>
      </c>
      <c r="J982" s="6">
        <v>7860500</v>
      </c>
      <c r="K982" s="6">
        <v>52100</v>
      </c>
      <c r="L982" s="7"/>
    </row>
    <row r="983" spans="1:12" x14ac:dyDescent="0.25">
      <c r="A983" t="s">
        <v>612</v>
      </c>
      <c r="B983" s="5">
        <v>474893</v>
      </c>
      <c r="C983" t="s">
        <v>63</v>
      </c>
      <c r="D983" s="1" t="str">
        <f>"55276"</f>
        <v>55276</v>
      </c>
      <c r="E983" t="s">
        <v>10</v>
      </c>
      <c r="F983" t="s">
        <v>613</v>
      </c>
      <c r="G983" s="1" t="str">
        <f>"012"</f>
        <v>012</v>
      </c>
      <c r="H983" s="1">
        <v>2016</v>
      </c>
      <c r="I983" s="6">
        <v>2074000</v>
      </c>
      <c r="J983" s="6">
        <v>0</v>
      </c>
      <c r="K983" s="6">
        <v>2074000</v>
      </c>
      <c r="L983" s="7"/>
    </row>
    <row r="984" spans="1:12" x14ac:dyDescent="0.25">
      <c r="A984" t="s">
        <v>612</v>
      </c>
      <c r="B984" s="5">
        <v>474893</v>
      </c>
      <c r="C984" t="s">
        <v>63</v>
      </c>
      <c r="D984" s="1" t="str">
        <f>"55276"</f>
        <v>55276</v>
      </c>
      <c r="E984" t="s">
        <v>10</v>
      </c>
      <c r="F984" t="s">
        <v>613</v>
      </c>
      <c r="G984" s="1" t="str">
        <f>"013"</f>
        <v>013</v>
      </c>
      <c r="H984" s="1">
        <v>2018</v>
      </c>
      <c r="I984" s="6">
        <v>9556500</v>
      </c>
      <c r="J984" s="6">
        <v>6703500</v>
      </c>
      <c r="K984" s="6">
        <v>2853000</v>
      </c>
      <c r="L984" s="7"/>
    </row>
    <row r="985" spans="1:12" x14ac:dyDescent="0.25">
      <c r="A985" t="s">
        <v>614</v>
      </c>
      <c r="B985" s="5">
        <v>565523</v>
      </c>
      <c r="C985" t="s">
        <v>77</v>
      </c>
      <c r="D985" s="1" t="str">
        <f>"25101"</f>
        <v>25101</v>
      </c>
      <c r="E985" t="s">
        <v>15</v>
      </c>
      <c r="F985" t="s">
        <v>615</v>
      </c>
      <c r="G985" s="1" t="str">
        <f>"001"</f>
        <v>001</v>
      </c>
      <c r="H985" s="1">
        <v>2006</v>
      </c>
      <c r="I985" s="6">
        <v>11421800</v>
      </c>
      <c r="J985" s="6">
        <v>5220300</v>
      </c>
      <c r="K985" s="6">
        <v>6201500</v>
      </c>
      <c r="L985" s="7"/>
    </row>
    <row r="986" spans="1:12" x14ac:dyDescent="0.25">
      <c r="A986" t="s">
        <v>614</v>
      </c>
      <c r="B986" s="5">
        <v>565523</v>
      </c>
      <c r="C986" t="s">
        <v>72</v>
      </c>
      <c r="D986" s="1" t="str">
        <f>"56171"</f>
        <v>56171</v>
      </c>
      <c r="E986" t="s">
        <v>15</v>
      </c>
      <c r="F986" t="s">
        <v>616</v>
      </c>
      <c r="G986" s="1" t="str">
        <f>"002"</f>
        <v>002</v>
      </c>
      <c r="H986" s="1">
        <v>2006</v>
      </c>
      <c r="I986" s="6">
        <v>3628500</v>
      </c>
      <c r="J986" s="6">
        <v>169500</v>
      </c>
      <c r="K986" s="6">
        <v>3459000</v>
      </c>
      <c r="L986" s="7"/>
    </row>
    <row r="987" spans="1:12" x14ac:dyDescent="0.25">
      <c r="A987" t="s">
        <v>614</v>
      </c>
      <c r="B987" s="5">
        <v>565523</v>
      </c>
      <c r="C987" t="s">
        <v>72</v>
      </c>
      <c r="D987" s="1" t="str">
        <f>"56182"</f>
        <v>56182</v>
      </c>
      <c r="E987" t="s">
        <v>15</v>
      </c>
      <c r="F987" t="s">
        <v>617</v>
      </c>
      <c r="G987" s="1" t="str">
        <f>"006"</f>
        <v>006</v>
      </c>
      <c r="H987" s="1">
        <v>2017</v>
      </c>
      <c r="I987" s="6">
        <v>21961200</v>
      </c>
      <c r="J987" s="6">
        <v>18338500</v>
      </c>
      <c r="K987" s="6">
        <v>3622700</v>
      </c>
      <c r="L987" s="7"/>
    </row>
    <row r="988" spans="1:12" x14ac:dyDescent="0.25">
      <c r="A988" t="s">
        <v>618</v>
      </c>
      <c r="B988" s="5">
        <v>223850</v>
      </c>
      <c r="C988" t="s">
        <v>120</v>
      </c>
      <c r="D988" s="1" t="str">
        <f>"22153"</f>
        <v>22153</v>
      </c>
      <c r="E988" t="s">
        <v>15</v>
      </c>
      <c r="F988" t="s">
        <v>619</v>
      </c>
      <c r="G988" s="1" t="str">
        <f>"002"</f>
        <v>002</v>
      </c>
      <c r="H988" s="1">
        <v>1997</v>
      </c>
      <c r="I988" s="6">
        <v>9759400</v>
      </c>
      <c r="J988" s="6">
        <v>1137900</v>
      </c>
      <c r="K988" s="6">
        <v>8621500</v>
      </c>
      <c r="L988" s="7"/>
    </row>
    <row r="989" spans="1:12" x14ac:dyDescent="0.25">
      <c r="A989" t="s">
        <v>618</v>
      </c>
      <c r="B989" s="5">
        <v>223850</v>
      </c>
      <c r="C989" t="s">
        <v>120</v>
      </c>
      <c r="D989" s="1" t="str">
        <f>"22153"</f>
        <v>22153</v>
      </c>
      <c r="E989" t="s">
        <v>15</v>
      </c>
      <c r="F989" t="s">
        <v>619</v>
      </c>
      <c r="G989" s="1" t="str">
        <f>"003"</f>
        <v>003</v>
      </c>
      <c r="H989" s="1">
        <v>1997</v>
      </c>
      <c r="I989" s="6">
        <v>3680400</v>
      </c>
      <c r="J989" s="6">
        <v>2039400</v>
      </c>
      <c r="K989" s="6">
        <v>1641000</v>
      </c>
      <c r="L989" s="7"/>
    </row>
    <row r="990" spans="1:12" x14ac:dyDescent="0.25">
      <c r="A990" t="s">
        <v>618</v>
      </c>
      <c r="B990" s="5">
        <v>223850</v>
      </c>
      <c r="C990" t="s">
        <v>77</v>
      </c>
      <c r="D990" s="1" t="str">
        <f>"25102"</f>
        <v>25102</v>
      </c>
      <c r="E990" t="s">
        <v>15</v>
      </c>
      <c r="F990" t="s">
        <v>620</v>
      </c>
      <c r="G990" s="1" t="str">
        <f>"001"</f>
        <v>001</v>
      </c>
      <c r="H990" s="1">
        <v>1995</v>
      </c>
      <c r="I990" s="6">
        <v>5861800</v>
      </c>
      <c r="J990" s="6">
        <v>2168500</v>
      </c>
      <c r="K990" s="6">
        <v>3693300</v>
      </c>
      <c r="L990" s="7"/>
    </row>
    <row r="991" spans="1:12" x14ac:dyDescent="0.25">
      <c r="A991" t="s">
        <v>618</v>
      </c>
      <c r="B991" s="5">
        <v>223850</v>
      </c>
      <c r="C991" t="s">
        <v>77</v>
      </c>
      <c r="D991" s="1" t="str">
        <f>"25153"</f>
        <v>25153</v>
      </c>
      <c r="E991" t="s">
        <v>15</v>
      </c>
      <c r="F991" t="s">
        <v>619</v>
      </c>
      <c r="G991" s="1" t="str">
        <f>"002"</f>
        <v>002</v>
      </c>
      <c r="H991" s="1">
        <v>1997</v>
      </c>
      <c r="I991" s="6">
        <v>6330200</v>
      </c>
      <c r="J991" s="6">
        <v>669800</v>
      </c>
      <c r="K991" s="6">
        <v>5660400</v>
      </c>
      <c r="L991" s="7"/>
    </row>
    <row r="992" spans="1:12" x14ac:dyDescent="0.25">
      <c r="A992" t="s">
        <v>621</v>
      </c>
      <c r="B992" s="5">
        <v>204956</v>
      </c>
      <c r="C992" t="s">
        <v>152</v>
      </c>
      <c r="D992" s="1" t="str">
        <f>"20176"</f>
        <v>20176</v>
      </c>
      <c r="E992" t="s">
        <v>15</v>
      </c>
      <c r="F992" t="s">
        <v>622</v>
      </c>
      <c r="G992" s="1" t="str">
        <f>"001"</f>
        <v>001</v>
      </c>
      <c r="H992" s="1">
        <v>2011</v>
      </c>
      <c r="I992" s="6">
        <v>4080200</v>
      </c>
      <c r="J992" s="6">
        <v>3464400</v>
      </c>
      <c r="K992" s="6">
        <v>615800</v>
      </c>
      <c r="L992" s="7"/>
    </row>
    <row r="993" spans="1:12" x14ac:dyDescent="0.25">
      <c r="A993" t="s">
        <v>623</v>
      </c>
      <c r="B993" s="5">
        <v>291673</v>
      </c>
      <c r="C993" t="s">
        <v>237</v>
      </c>
      <c r="D993" s="1" t="str">
        <f>"29221"</f>
        <v>29221</v>
      </c>
      <c r="E993" t="s">
        <v>10</v>
      </c>
      <c r="F993" t="s">
        <v>624</v>
      </c>
      <c r="G993" s="1" t="str">
        <f>"002"</f>
        <v>002</v>
      </c>
      <c r="H993" s="1">
        <v>1999</v>
      </c>
      <c r="I993" s="6">
        <v>605100</v>
      </c>
      <c r="J993" s="6">
        <v>273200</v>
      </c>
      <c r="K993" s="6">
        <v>331900</v>
      </c>
      <c r="L993" s="7"/>
    </row>
    <row r="994" spans="1:12" x14ac:dyDescent="0.25">
      <c r="A994" t="s">
        <v>623</v>
      </c>
      <c r="B994" s="5">
        <v>291673</v>
      </c>
      <c r="C994" t="s">
        <v>237</v>
      </c>
      <c r="D994" s="1" t="str">
        <f>"29221"</f>
        <v>29221</v>
      </c>
      <c r="E994" t="s">
        <v>10</v>
      </c>
      <c r="F994" t="s">
        <v>624</v>
      </c>
      <c r="G994" s="1" t="str">
        <f>"003"</f>
        <v>003</v>
      </c>
      <c r="H994" s="1">
        <v>1999</v>
      </c>
      <c r="I994" s="6">
        <v>3601900</v>
      </c>
      <c r="J994" s="6">
        <v>2436500</v>
      </c>
      <c r="K994" s="6">
        <v>1165400</v>
      </c>
      <c r="L994" s="7"/>
    </row>
    <row r="995" spans="1:12" x14ac:dyDescent="0.25">
      <c r="A995" t="s">
        <v>623</v>
      </c>
      <c r="B995" s="5">
        <v>291673</v>
      </c>
      <c r="C995" t="s">
        <v>237</v>
      </c>
      <c r="D995" s="1" t="str">
        <f>"29221"</f>
        <v>29221</v>
      </c>
      <c r="E995" t="s">
        <v>10</v>
      </c>
      <c r="F995" t="s">
        <v>624</v>
      </c>
      <c r="G995" s="1" t="str">
        <f>"004"</f>
        <v>004</v>
      </c>
      <c r="H995" s="1">
        <v>1999</v>
      </c>
      <c r="I995" s="6">
        <v>4203700</v>
      </c>
      <c r="J995" s="6">
        <v>1311300</v>
      </c>
      <c r="K995" s="6">
        <v>2892400</v>
      </c>
      <c r="L995" s="7"/>
    </row>
    <row r="996" spans="1:12" x14ac:dyDescent="0.25">
      <c r="A996" t="s">
        <v>623</v>
      </c>
      <c r="B996" s="5">
        <v>291673</v>
      </c>
      <c r="C996" t="s">
        <v>237</v>
      </c>
      <c r="D996" s="1" t="str">
        <f>"29221"</f>
        <v>29221</v>
      </c>
      <c r="E996" t="s">
        <v>10</v>
      </c>
      <c r="F996" t="s">
        <v>624</v>
      </c>
      <c r="G996" s="1" t="str">
        <f>"005"</f>
        <v>005</v>
      </c>
      <c r="H996" s="1">
        <v>1999</v>
      </c>
      <c r="I996" s="6">
        <v>2705200</v>
      </c>
      <c r="J996" s="6">
        <v>36500</v>
      </c>
      <c r="K996" s="6">
        <v>2668700</v>
      </c>
      <c r="L996" s="7"/>
    </row>
    <row r="997" spans="1:12" x14ac:dyDescent="0.25">
      <c r="A997" t="s">
        <v>623</v>
      </c>
      <c r="B997" s="5">
        <v>291673</v>
      </c>
      <c r="C997" t="s">
        <v>237</v>
      </c>
      <c r="D997" s="1" t="str">
        <f>"29221"</f>
        <v>29221</v>
      </c>
      <c r="E997" t="s">
        <v>10</v>
      </c>
      <c r="F997" t="s">
        <v>624</v>
      </c>
      <c r="G997" s="1" t="str">
        <f>"006"</f>
        <v>006</v>
      </c>
      <c r="H997" s="1">
        <v>2014</v>
      </c>
      <c r="I997" s="6">
        <v>1689500</v>
      </c>
      <c r="J997" s="6">
        <v>818500</v>
      </c>
      <c r="K997" s="6">
        <v>871000</v>
      </c>
      <c r="L997" s="7"/>
    </row>
    <row r="998" spans="1:12" x14ac:dyDescent="0.25">
      <c r="A998" t="s">
        <v>625</v>
      </c>
      <c r="B998" s="5">
        <v>552422</v>
      </c>
      <c r="C998" t="s">
        <v>63</v>
      </c>
      <c r="D998" s="1" t="str">
        <f>"55136"</f>
        <v>55136</v>
      </c>
      <c r="E998" t="s">
        <v>15</v>
      </c>
      <c r="F998" t="s">
        <v>626</v>
      </c>
      <c r="G998" s="1" t="str">
        <f>"003"</f>
        <v>003</v>
      </c>
      <c r="H998" s="1">
        <v>1993</v>
      </c>
      <c r="I998" s="6">
        <v>535500</v>
      </c>
      <c r="J998" s="6">
        <v>139200</v>
      </c>
      <c r="K998" s="6">
        <v>396300</v>
      </c>
      <c r="L998" s="7"/>
    </row>
    <row r="999" spans="1:12" x14ac:dyDescent="0.25">
      <c r="A999" t="s">
        <v>625</v>
      </c>
      <c r="B999" s="5">
        <v>552422</v>
      </c>
      <c r="C999" t="s">
        <v>63</v>
      </c>
      <c r="D999" s="1" t="str">
        <f>"55136"</f>
        <v>55136</v>
      </c>
      <c r="E999" t="s">
        <v>15</v>
      </c>
      <c r="F999" t="s">
        <v>626</v>
      </c>
      <c r="G999" s="1" t="str">
        <f>"004"</f>
        <v>004</v>
      </c>
      <c r="H999" s="1">
        <v>1993</v>
      </c>
      <c r="I999" s="6">
        <v>522600</v>
      </c>
      <c r="J999" s="6">
        <v>201100</v>
      </c>
      <c r="K999" s="6">
        <v>321500</v>
      </c>
      <c r="L999" s="7"/>
    </row>
    <row r="1000" spans="1:12" x14ac:dyDescent="0.25">
      <c r="A1000" t="s">
        <v>625</v>
      </c>
      <c r="B1000" s="5">
        <v>552422</v>
      </c>
      <c r="C1000" t="s">
        <v>63</v>
      </c>
      <c r="D1000" s="1" t="str">
        <f>"55136"</f>
        <v>55136</v>
      </c>
      <c r="E1000" t="s">
        <v>15</v>
      </c>
      <c r="F1000" t="s">
        <v>626</v>
      </c>
      <c r="G1000" s="1" t="str">
        <f>"005"</f>
        <v>005</v>
      </c>
      <c r="H1000" s="1">
        <v>1995</v>
      </c>
      <c r="I1000" s="6">
        <v>14334700</v>
      </c>
      <c r="J1000" s="6">
        <v>142600</v>
      </c>
      <c r="K1000" s="6">
        <v>14192100</v>
      </c>
      <c r="L1000" s="7"/>
    </row>
    <row r="1001" spans="1:12" x14ac:dyDescent="0.25">
      <c r="A1001" t="s">
        <v>625</v>
      </c>
      <c r="B1001" s="5">
        <v>552422</v>
      </c>
      <c r="C1001" t="s">
        <v>63</v>
      </c>
      <c r="D1001" s="1" t="str">
        <f>"55176"</f>
        <v>55176</v>
      </c>
      <c r="E1001" t="s">
        <v>15</v>
      </c>
      <c r="F1001" t="s">
        <v>627</v>
      </c>
      <c r="G1001" s="1" t="str">
        <f>"001"</f>
        <v>001</v>
      </c>
      <c r="H1001" s="1">
        <v>1997</v>
      </c>
      <c r="I1001" s="6">
        <v>24461500</v>
      </c>
      <c r="J1001" s="6">
        <v>4435100</v>
      </c>
      <c r="K1001" s="6">
        <v>20026400</v>
      </c>
      <c r="L1001" s="7"/>
    </row>
    <row r="1002" spans="1:12" x14ac:dyDescent="0.25">
      <c r="A1002" t="s">
        <v>628</v>
      </c>
      <c r="B1002" s="5">
        <v>485019</v>
      </c>
      <c r="C1002" t="s">
        <v>32</v>
      </c>
      <c r="D1002" s="1" t="str">
        <f>"48281"</f>
        <v>48281</v>
      </c>
      <c r="E1002" t="s">
        <v>10</v>
      </c>
      <c r="F1002" t="s">
        <v>629</v>
      </c>
      <c r="G1002" s="1" t="str">
        <f>"001"</f>
        <v>001</v>
      </c>
      <c r="H1002" s="1">
        <v>1993</v>
      </c>
      <c r="I1002" s="6">
        <v>86846800</v>
      </c>
      <c r="J1002" s="6">
        <v>17638700</v>
      </c>
      <c r="K1002" s="6">
        <v>69208100</v>
      </c>
      <c r="L1002" s="7"/>
    </row>
    <row r="1003" spans="1:12" x14ac:dyDescent="0.25">
      <c r="A1003" t="s">
        <v>630</v>
      </c>
      <c r="B1003" s="5">
        <v>405026</v>
      </c>
      <c r="C1003" t="s">
        <v>134</v>
      </c>
      <c r="D1003" s="1" t="str">
        <f>"40281"</f>
        <v>40281</v>
      </c>
      <c r="E1003" t="s">
        <v>10</v>
      </c>
      <c r="F1003" t="s">
        <v>631</v>
      </c>
      <c r="G1003" s="1" t="str">
        <f>"003"</f>
        <v>003</v>
      </c>
      <c r="H1003" s="1">
        <v>2006</v>
      </c>
      <c r="I1003" s="6">
        <v>67677100</v>
      </c>
      <c r="J1003" s="6">
        <v>56131300</v>
      </c>
      <c r="K1003" s="6">
        <v>11545800</v>
      </c>
      <c r="L1003" s="7"/>
    </row>
    <row r="1004" spans="1:12" x14ac:dyDescent="0.25">
      <c r="A1004" t="s">
        <v>630</v>
      </c>
      <c r="B1004" s="5">
        <v>405026</v>
      </c>
      <c r="C1004" t="s">
        <v>134</v>
      </c>
      <c r="D1004" s="1" t="str">
        <f>"40281"</f>
        <v>40281</v>
      </c>
      <c r="E1004" t="s">
        <v>10</v>
      </c>
      <c r="F1004" t="s">
        <v>631</v>
      </c>
      <c r="G1004" s="1" t="str">
        <f>"004"</f>
        <v>004</v>
      </c>
      <c r="H1004" s="1">
        <v>2012</v>
      </c>
      <c r="I1004" s="6">
        <v>48794900</v>
      </c>
      <c r="J1004" s="6">
        <v>48457100</v>
      </c>
      <c r="K1004" s="6">
        <v>337800</v>
      </c>
      <c r="L1004" s="7"/>
    </row>
    <row r="1005" spans="1:12" x14ac:dyDescent="0.25">
      <c r="A1005" t="s">
        <v>630</v>
      </c>
      <c r="B1005" s="5">
        <v>405026</v>
      </c>
      <c r="C1005" t="s">
        <v>134</v>
      </c>
      <c r="D1005" s="1" t="str">
        <f>"40281"</f>
        <v>40281</v>
      </c>
      <c r="E1005" t="s">
        <v>10</v>
      </c>
      <c r="F1005" t="s">
        <v>631</v>
      </c>
      <c r="G1005" s="1" t="str">
        <f>"005"</f>
        <v>005</v>
      </c>
      <c r="H1005" s="1">
        <v>2015</v>
      </c>
      <c r="I1005" s="6">
        <v>93612900</v>
      </c>
      <c r="J1005" s="6">
        <v>81376200</v>
      </c>
      <c r="K1005" s="6">
        <v>12236700</v>
      </c>
      <c r="L1005" s="7"/>
    </row>
    <row r="1006" spans="1:12" x14ac:dyDescent="0.25">
      <c r="A1006" t="s">
        <v>632</v>
      </c>
      <c r="B1006" s="5">
        <v>305068</v>
      </c>
      <c r="C1006" t="s">
        <v>129</v>
      </c>
      <c r="D1006" s="1" t="str">
        <f>"30171"</f>
        <v>30171</v>
      </c>
      <c r="E1006" t="s">
        <v>15</v>
      </c>
      <c r="F1006" t="s">
        <v>633</v>
      </c>
      <c r="G1006" s="1" t="str">
        <f>"001"</f>
        <v>001</v>
      </c>
      <c r="H1006" s="1">
        <v>2012</v>
      </c>
      <c r="I1006" s="6">
        <v>16566300</v>
      </c>
      <c r="J1006" s="6">
        <v>14133700</v>
      </c>
      <c r="K1006" s="6">
        <v>2432600</v>
      </c>
      <c r="L1006" s="7"/>
    </row>
    <row r="1007" spans="1:12" x14ac:dyDescent="0.25">
      <c r="A1007" t="s">
        <v>632</v>
      </c>
      <c r="B1007" s="5">
        <v>305068</v>
      </c>
      <c r="C1007" t="s">
        <v>129</v>
      </c>
      <c r="D1007" s="1" t="str">
        <f>"30171"</f>
        <v>30171</v>
      </c>
      <c r="E1007" t="s">
        <v>15</v>
      </c>
      <c r="F1007" t="s">
        <v>633</v>
      </c>
      <c r="G1007" s="1" t="str">
        <f>"002"</f>
        <v>002</v>
      </c>
      <c r="H1007" s="1">
        <v>2017</v>
      </c>
      <c r="I1007" s="6">
        <v>15091100</v>
      </c>
      <c r="J1007" s="6">
        <v>14925300</v>
      </c>
      <c r="K1007" s="6">
        <v>165800</v>
      </c>
      <c r="L1007" s="7"/>
    </row>
    <row r="1008" spans="1:12" x14ac:dyDescent="0.25">
      <c r="A1008" t="s">
        <v>634</v>
      </c>
      <c r="B1008" s="5">
        <v>565100</v>
      </c>
      <c r="C1008" t="s">
        <v>72</v>
      </c>
      <c r="D1008" s="1" t="str">
        <f>"56172"</f>
        <v>56172</v>
      </c>
      <c r="E1008" t="s">
        <v>15</v>
      </c>
      <c r="F1008" t="s">
        <v>635</v>
      </c>
      <c r="G1008" s="1" t="str">
        <f>"004"</f>
        <v>004</v>
      </c>
      <c r="H1008" s="1">
        <v>2008</v>
      </c>
      <c r="I1008" s="6">
        <v>15907000</v>
      </c>
      <c r="J1008" s="6">
        <v>483300</v>
      </c>
      <c r="K1008" s="6">
        <v>15423700</v>
      </c>
      <c r="L1008" s="7"/>
    </row>
    <row r="1009" spans="1:12" x14ac:dyDescent="0.25">
      <c r="A1009" t="s">
        <v>634</v>
      </c>
      <c r="B1009" s="5">
        <v>565100</v>
      </c>
      <c r="C1009" t="s">
        <v>72</v>
      </c>
      <c r="D1009" s="1" t="str">
        <f>"56172"</f>
        <v>56172</v>
      </c>
      <c r="E1009" t="s">
        <v>15</v>
      </c>
      <c r="F1009" t="s">
        <v>635</v>
      </c>
      <c r="G1009" s="1" t="str">
        <f>"005"</f>
        <v>005</v>
      </c>
      <c r="H1009" s="1">
        <v>2018</v>
      </c>
      <c r="I1009" s="6">
        <v>794100</v>
      </c>
      <c r="J1009" s="6">
        <v>142200</v>
      </c>
      <c r="K1009" s="6">
        <v>651900</v>
      </c>
      <c r="L1009" s="7"/>
    </row>
    <row r="1010" spans="1:12" x14ac:dyDescent="0.25">
      <c r="A1010" t="s">
        <v>634</v>
      </c>
      <c r="B1010" s="5">
        <v>565100</v>
      </c>
      <c r="C1010" t="s">
        <v>72</v>
      </c>
      <c r="D1010" s="1" t="str">
        <f>"56172"</f>
        <v>56172</v>
      </c>
      <c r="E1010" t="s">
        <v>15</v>
      </c>
      <c r="F1010" t="s">
        <v>635</v>
      </c>
      <c r="G1010" s="1" t="str">
        <f>"006"</f>
        <v>006</v>
      </c>
      <c r="H1010" s="1">
        <v>2018</v>
      </c>
      <c r="I1010" s="6">
        <v>10297100</v>
      </c>
      <c r="J1010" s="6">
        <v>10871000</v>
      </c>
      <c r="K1010" s="6">
        <v>-573900</v>
      </c>
      <c r="L1010" s="7"/>
    </row>
    <row r="1011" spans="1:12" x14ac:dyDescent="0.25">
      <c r="A1011" t="s">
        <v>634</v>
      </c>
      <c r="B1011" s="5">
        <v>565100</v>
      </c>
      <c r="C1011" t="s">
        <v>72</v>
      </c>
      <c r="D1011" s="1" t="str">
        <f>"56181"</f>
        <v>56181</v>
      </c>
      <c r="E1011" t="s">
        <v>15</v>
      </c>
      <c r="F1011" t="s">
        <v>636</v>
      </c>
      <c r="G1011" s="1" t="str">
        <f>"006"</f>
        <v>006</v>
      </c>
      <c r="H1011" s="1">
        <v>2002</v>
      </c>
      <c r="I1011" s="6">
        <v>7390700</v>
      </c>
      <c r="J1011" s="6">
        <v>1206300</v>
      </c>
      <c r="K1011" s="6">
        <v>6184400</v>
      </c>
      <c r="L1011" s="7"/>
    </row>
    <row r="1012" spans="1:12" x14ac:dyDescent="0.25">
      <c r="A1012" t="s">
        <v>634</v>
      </c>
      <c r="B1012" s="5">
        <v>565100</v>
      </c>
      <c r="C1012" t="s">
        <v>72</v>
      </c>
      <c r="D1012" s="1" t="str">
        <f>"56181"</f>
        <v>56181</v>
      </c>
      <c r="E1012" t="s">
        <v>15</v>
      </c>
      <c r="F1012" t="s">
        <v>636</v>
      </c>
      <c r="G1012" s="1" t="str">
        <f>"007"</f>
        <v>007</v>
      </c>
      <c r="H1012" s="1">
        <v>2005</v>
      </c>
      <c r="I1012" s="6">
        <v>3592300</v>
      </c>
      <c r="J1012" s="6">
        <v>706200</v>
      </c>
      <c r="K1012" s="6">
        <v>2886100</v>
      </c>
      <c r="L1012" s="7"/>
    </row>
    <row r="1013" spans="1:12" x14ac:dyDescent="0.25">
      <c r="A1013" t="s">
        <v>634</v>
      </c>
      <c r="B1013" s="5">
        <v>565100</v>
      </c>
      <c r="C1013" t="s">
        <v>72</v>
      </c>
      <c r="D1013" s="1" t="str">
        <f>"56181"</f>
        <v>56181</v>
      </c>
      <c r="E1013" t="s">
        <v>15</v>
      </c>
      <c r="F1013" t="s">
        <v>636</v>
      </c>
      <c r="G1013" s="1" t="str">
        <f>"008"</f>
        <v>008</v>
      </c>
      <c r="H1013" s="1">
        <v>2005</v>
      </c>
      <c r="I1013" s="6">
        <v>25629600</v>
      </c>
      <c r="J1013" s="6">
        <v>14893500</v>
      </c>
      <c r="K1013" s="6">
        <v>10736100</v>
      </c>
      <c r="L1013" s="7"/>
    </row>
    <row r="1014" spans="1:12" x14ac:dyDescent="0.25">
      <c r="A1014" t="s">
        <v>634</v>
      </c>
      <c r="B1014" s="5">
        <v>565100</v>
      </c>
      <c r="C1014" t="s">
        <v>72</v>
      </c>
      <c r="D1014" s="1" t="str">
        <f>"56181"</f>
        <v>56181</v>
      </c>
      <c r="E1014" t="s">
        <v>15</v>
      </c>
      <c r="F1014" t="s">
        <v>636</v>
      </c>
      <c r="G1014" s="1" t="str">
        <f>"009"</f>
        <v>009</v>
      </c>
      <c r="H1014" s="1">
        <v>2015</v>
      </c>
      <c r="I1014" s="6">
        <v>2768500</v>
      </c>
      <c r="J1014" s="6">
        <v>3331900</v>
      </c>
      <c r="K1014" s="6">
        <v>-563400</v>
      </c>
      <c r="L1014" s="7"/>
    </row>
    <row r="1015" spans="1:12" x14ac:dyDescent="0.25">
      <c r="A1015" t="s">
        <v>637</v>
      </c>
      <c r="B1015" s="5">
        <v>445138</v>
      </c>
      <c r="C1015" t="s">
        <v>40</v>
      </c>
      <c r="D1015" s="1" t="str">
        <f>"44107"</f>
        <v>44107</v>
      </c>
      <c r="E1015" t="s">
        <v>15</v>
      </c>
      <c r="F1015" t="s">
        <v>638</v>
      </c>
      <c r="G1015" s="1" t="str">
        <f>"002"</f>
        <v>002</v>
      </c>
      <c r="H1015" s="1">
        <v>1993</v>
      </c>
      <c r="I1015" s="6">
        <v>18231500</v>
      </c>
      <c r="J1015" s="6">
        <v>2112700</v>
      </c>
      <c r="K1015" s="6">
        <v>16118800</v>
      </c>
      <c r="L1015" s="7"/>
    </row>
    <row r="1016" spans="1:12" x14ac:dyDescent="0.25">
      <c r="A1016" t="s">
        <v>637</v>
      </c>
      <c r="B1016" s="5">
        <v>445138</v>
      </c>
      <c r="C1016" t="s">
        <v>40</v>
      </c>
      <c r="D1016" s="1" t="str">
        <f>"44281"</f>
        <v>44281</v>
      </c>
      <c r="E1016" t="s">
        <v>10</v>
      </c>
      <c r="F1016" t="s">
        <v>639</v>
      </c>
      <c r="G1016" s="1" t="str">
        <f>"003"</f>
        <v>003</v>
      </c>
      <c r="H1016" s="1">
        <v>2001</v>
      </c>
      <c r="I1016" s="6">
        <v>23505300</v>
      </c>
      <c r="J1016" s="6">
        <v>4829900</v>
      </c>
      <c r="K1016" s="6">
        <v>18675400</v>
      </c>
      <c r="L1016" s="7"/>
    </row>
    <row r="1017" spans="1:12" x14ac:dyDescent="0.25">
      <c r="A1017" t="s">
        <v>637</v>
      </c>
      <c r="B1017" s="5">
        <v>445138</v>
      </c>
      <c r="C1017" t="s">
        <v>40</v>
      </c>
      <c r="D1017" s="1" t="str">
        <f>"44281"</f>
        <v>44281</v>
      </c>
      <c r="E1017" t="s">
        <v>10</v>
      </c>
      <c r="F1017" t="s">
        <v>639</v>
      </c>
      <c r="G1017" s="1" t="str">
        <f>"004"</f>
        <v>004</v>
      </c>
      <c r="H1017" s="1">
        <v>2011</v>
      </c>
      <c r="I1017" s="6">
        <v>10862600</v>
      </c>
      <c r="J1017" s="6">
        <v>5657100</v>
      </c>
      <c r="K1017" s="6">
        <v>5205500</v>
      </c>
      <c r="L1017" s="7"/>
    </row>
    <row r="1018" spans="1:12" x14ac:dyDescent="0.25">
      <c r="A1018" t="s">
        <v>640</v>
      </c>
      <c r="B1018" s="5">
        <v>645258</v>
      </c>
      <c r="C1018" t="s">
        <v>140</v>
      </c>
      <c r="D1018" s="1" t="str">
        <f>"64181"</f>
        <v>64181</v>
      </c>
      <c r="E1018" t="s">
        <v>15</v>
      </c>
      <c r="F1018" t="s">
        <v>641</v>
      </c>
      <c r="G1018" s="1" t="str">
        <f>"004"</f>
        <v>004</v>
      </c>
      <c r="H1018" s="1">
        <v>2007</v>
      </c>
      <c r="I1018" s="6">
        <v>1002800</v>
      </c>
      <c r="J1018" s="6">
        <v>1067100</v>
      </c>
      <c r="K1018" s="6">
        <v>-64300</v>
      </c>
      <c r="L1018" s="7"/>
    </row>
    <row r="1019" spans="1:12" x14ac:dyDescent="0.25">
      <c r="A1019" t="s">
        <v>642</v>
      </c>
      <c r="B1019" s="5">
        <v>585264</v>
      </c>
      <c r="C1019" t="s">
        <v>117</v>
      </c>
      <c r="D1019" s="1" t="str">
        <f>"58281"</f>
        <v>58281</v>
      </c>
      <c r="E1019" t="s">
        <v>10</v>
      </c>
      <c r="F1019" t="s">
        <v>117</v>
      </c>
      <c r="G1019" s="1" t="str">
        <f>"004"</f>
        <v>004</v>
      </c>
      <c r="H1019" s="1">
        <v>2000</v>
      </c>
      <c r="I1019" s="6">
        <v>23475800</v>
      </c>
      <c r="J1019" s="6">
        <v>13105100</v>
      </c>
      <c r="K1019" s="6">
        <v>10370700</v>
      </c>
      <c r="L1019" s="7"/>
    </row>
    <row r="1020" spans="1:12" x14ac:dyDescent="0.25">
      <c r="A1020" t="s">
        <v>642</v>
      </c>
      <c r="B1020" s="5">
        <v>585264</v>
      </c>
      <c r="C1020" t="s">
        <v>117</v>
      </c>
      <c r="D1020" s="1" t="str">
        <f>"58281"</f>
        <v>58281</v>
      </c>
      <c r="E1020" t="s">
        <v>10</v>
      </c>
      <c r="F1020" t="s">
        <v>117</v>
      </c>
      <c r="G1020" s="1" t="str">
        <f>"005"</f>
        <v>005</v>
      </c>
      <c r="H1020" s="1">
        <v>2001</v>
      </c>
      <c r="I1020" s="6">
        <v>5308800</v>
      </c>
      <c r="J1020" s="6">
        <v>314300</v>
      </c>
      <c r="K1020" s="6">
        <v>4994500</v>
      </c>
      <c r="L1020" s="7"/>
    </row>
    <row r="1021" spans="1:12" x14ac:dyDescent="0.25">
      <c r="A1021" t="s">
        <v>642</v>
      </c>
      <c r="B1021" s="5">
        <v>585264</v>
      </c>
      <c r="C1021" t="s">
        <v>117</v>
      </c>
      <c r="D1021" s="1" t="str">
        <f>"58281"</f>
        <v>58281</v>
      </c>
      <c r="E1021" t="s">
        <v>10</v>
      </c>
      <c r="F1021" t="s">
        <v>117</v>
      </c>
      <c r="G1021" s="1" t="str">
        <f>"006"</f>
        <v>006</v>
      </c>
      <c r="H1021" s="1">
        <v>2014</v>
      </c>
      <c r="I1021" s="6">
        <v>37746100</v>
      </c>
      <c r="J1021" s="6">
        <v>34897300</v>
      </c>
      <c r="K1021" s="6">
        <v>2848800</v>
      </c>
      <c r="L1021" s="7"/>
    </row>
    <row r="1022" spans="1:12" x14ac:dyDescent="0.25">
      <c r="A1022" t="s">
        <v>642</v>
      </c>
      <c r="B1022" s="5">
        <v>585264</v>
      </c>
      <c r="C1022" t="s">
        <v>117</v>
      </c>
      <c r="D1022" s="1" t="str">
        <f>"58281"</f>
        <v>58281</v>
      </c>
      <c r="E1022" t="s">
        <v>10</v>
      </c>
      <c r="F1022" t="s">
        <v>117</v>
      </c>
      <c r="G1022" s="1" t="str">
        <f>"007"</f>
        <v>007</v>
      </c>
      <c r="H1022" s="1">
        <v>2016</v>
      </c>
      <c r="I1022" s="6">
        <v>15316800</v>
      </c>
      <c r="J1022" s="6">
        <v>6988200</v>
      </c>
      <c r="K1022" s="6">
        <v>8328600</v>
      </c>
      <c r="L1022" s="7"/>
    </row>
    <row r="1023" spans="1:12" x14ac:dyDescent="0.25">
      <c r="A1023" t="s">
        <v>642</v>
      </c>
      <c r="B1023" s="5">
        <v>585264</v>
      </c>
      <c r="C1023" t="s">
        <v>117</v>
      </c>
      <c r="D1023" s="1" t="str">
        <f>"58281"</f>
        <v>58281</v>
      </c>
      <c r="E1023" t="s">
        <v>10</v>
      </c>
      <c r="F1023" t="s">
        <v>117</v>
      </c>
      <c r="G1023" s="1" t="str">
        <f>"008"</f>
        <v>008</v>
      </c>
      <c r="H1023" s="1">
        <v>2018</v>
      </c>
      <c r="I1023" s="6">
        <v>234700</v>
      </c>
      <c r="J1023" s="6">
        <v>215900</v>
      </c>
      <c r="K1023" s="6">
        <v>18800</v>
      </c>
      <c r="L1023" s="7"/>
    </row>
    <row r="1024" spans="1:12" x14ac:dyDescent="0.25">
      <c r="A1024" t="s">
        <v>643</v>
      </c>
      <c r="B1024" s="5">
        <v>595271</v>
      </c>
      <c r="C1024" t="s">
        <v>159</v>
      </c>
      <c r="D1024" s="1" t="str">
        <f t="shared" ref="D1024:D1035" si="34">"59281"</f>
        <v>59281</v>
      </c>
      <c r="E1024" t="s">
        <v>10</v>
      </c>
      <c r="F1024" t="s">
        <v>159</v>
      </c>
      <c r="G1024" s="1" t="str">
        <f>"001E"</f>
        <v>001E</v>
      </c>
      <c r="H1024" s="1">
        <v>2003</v>
      </c>
      <c r="I1024" s="6">
        <v>6897300</v>
      </c>
      <c r="J1024" s="6">
        <v>1864600</v>
      </c>
      <c r="K1024" s="6">
        <v>5032700</v>
      </c>
      <c r="L1024" s="7"/>
    </row>
    <row r="1025" spans="1:12" x14ac:dyDescent="0.25">
      <c r="A1025" t="s">
        <v>643</v>
      </c>
      <c r="B1025" s="5">
        <v>595271</v>
      </c>
      <c r="C1025" t="s">
        <v>159</v>
      </c>
      <c r="D1025" s="1" t="str">
        <f t="shared" si="34"/>
        <v>59281</v>
      </c>
      <c r="E1025" t="s">
        <v>10</v>
      </c>
      <c r="F1025" t="s">
        <v>159</v>
      </c>
      <c r="G1025" s="1" t="str">
        <f>"006"</f>
        <v>006</v>
      </c>
      <c r="H1025" s="1">
        <v>1992</v>
      </c>
      <c r="I1025" s="6">
        <v>75418900</v>
      </c>
      <c r="J1025" s="6">
        <v>19579000</v>
      </c>
      <c r="K1025" s="6">
        <v>55839900</v>
      </c>
      <c r="L1025" s="7"/>
    </row>
    <row r="1026" spans="1:12" x14ac:dyDescent="0.25">
      <c r="A1026" t="s">
        <v>643</v>
      </c>
      <c r="B1026" s="5">
        <v>595271</v>
      </c>
      <c r="C1026" t="s">
        <v>159</v>
      </c>
      <c r="D1026" s="1" t="str">
        <f t="shared" si="34"/>
        <v>59281</v>
      </c>
      <c r="E1026" t="s">
        <v>10</v>
      </c>
      <c r="F1026" t="s">
        <v>159</v>
      </c>
      <c r="G1026" s="1" t="str">
        <f>"010"</f>
        <v>010</v>
      </c>
      <c r="H1026" s="1">
        <v>1997</v>
      </c>
      <c r="I1026" s="6">
        <v>14827900</v>
      </c>
      <c r="J1026" s="6">
        <v>3250600</v>
      </c>
      <c r="K1026" s="6">
        <v>11577300</v>
      </c>
      <c r="L1026" s="7"/>
    </row>
    <row r="1027" spans="1:12" x14ac:dyDescent="0.25">
      <c r="A1027" t="s">
        <v>643</v>
      </c>
      <c r="B1027" s="5">
        <v>595271</v>
      </c>
      <c r="C1027" t="s">
        <v>159</v>
      </c>
      <c r="D1027" s="1" t="str">
        <f t="shared" si="34"/>
        <v>59281</v>
      </c>
      <c r="E1027" t="s">
        <v>10</v>
      </c>
      <c r="F1027" t="s">
        <v>159</v>
      </c>
      <c r="G1027" s="1" t="str">
        <f>"011"</f>
        <v>011</v>
      </c>
      <c r="H1027" s="1">
        <v>1998</v>
      </c>
      <c r="I1027" s="6">
        <v>31667300</v>
      </c>
      <c r="J1027" s="6">
        <v>3386200</v>
      </c>
      <c r="K1027" s="6">
        <v>28281100</v>
      </c>
      <c r="L1027" s="7"/>
    </row>
    <row r="1028" spans="1:12" x14ac:dyDescent="0.25">
      <c r="A1028" t="s">
        <v>643</v>
      </c>
      <c r="B1028" s="5">
        <v>595271</v>
      </c>
      <c r="C1028" t="s">
        <v>159</v>
      </c>
      <c r="D1028" s="1" t="str">
        <f t="shared" si="34"/>
        <v>59281</v>
      </c>
      <c r="E1028" t="s">
        <v>10</v>
      </c>
      <c r="F1028" t="s">
        <v>159</v>
      </c>
      <c r="G1028" s="1" t="str">
        <f>"012"</f>
        <v>012</v>
      </c>
      <c r="H1028" s="1">
        <v>2000</v>
      </c>
      <c r="I1028" s="6">
        <v>11650400</v>
      </c>
      <c r="J1028" s="6">
        <v>3825700</v>
      </c>
      <c r="K1028" s="6">
        <v>7824700</v>
      </c>
      <c r="L1028" s="7"/>
    </row>
    <row r="1029" spans="1:12" x14ac:dyDescent="0.25">
      <c r="A1029" t="s">
        <v>643</v>
      </c>
      <c r="B1029" s="5">
        <v>595271</v>
      </c>
      <c r="C1029" t="s">
        <v>159</v>
      </c>
      <c r="D1029" s="1" t="str">
        <f t="shared" si="34"/>
        <v>59281</v>
      </c>
      <c r="E1029" t="s">
        <v>10</v>
      </c>
      <c r="F1029" t="s">
        <v>159</v>
      </c>
      <c r="G1029" s="1" t="str">
        <f>"013"</f>
        <v>013</v>
      </c>
      <c r="H1029" s="1">
        <v>2006</v>
      </c>
      <c r="I1029" s="6">
        <v>17038100</v>
      </c>
      <c r="J1029" s="6">
        <v>294400</v>
      </c>
      <c r="K1029" s="6">
        <v>16743700</v>
      </c>
      <c r="L1029" s="7"/>
    </row>
    <row r="1030" spans="1:12" x14ac:dyDescent="0.25">
      <c r="A1030" t="s">
        <v>643</v>
      </c>
      <c r="B1030" s="5">
        <v>595271</v>
      </c>
      <c r="C1030" t="s">
        <v>159</v>
      </c>
      <c r="D1030" s="1" t="str">
        <f t="shared" si="34"/>
        <v>59281</v>
      </c>
      <c r="E1030" t="s">
        <v>10</v>
      </c>
      <c r="F1030" t="s">
        <v>159</v>
      </c>
      <c r="G1030" s="1" t="str">
        <f>"014"</f>
        <v>014</v>
      </c>
      <c r="H1030" s="1">
        <v>2011</v>
      </c>
      <c r="I1030" s="6">
        <v>55619500</v>
      </c>
      <c r="J1030" s="6">
        <v>21193800</v>
      </c>
      <c r="K1030" s="6">
        <v>34425700</v>
      </c>
      <c r="L1030" s="7"/>
    </row>
    <row r="1031" spans="1:12" x14ac:dyDescent="0.25">
      <c r="A1031" t="s">
        <v>643</v>
      </c>
      <c r="B1031" s="5">
        <v>595271</v>
      </c>
      <c r="C1031" t="s">
        <v>159</v>
      </c>
      <c r="D1031" s="1" t="str">
        <f t="shared" si="34"/>
        <v>59281</v>
      </c>
      <c r="E1031" t="s">
        <v>10</v>
      </c>
      <c r="F1031" t="s">
        <v>159</v>
      </c>
      <c r="G1031" s="1" t="str">
        <f>"015"</f>
        <v>015</v>
      </c>
      <c r="H1031" s="1">
        <v>2011</v>
      </c>
      <c r="I1031" s="6">
        <v>20064100</v>
      </c>
      <c r="J1031" s="6">
        <v>12434900</v>
      </c>
      <c r="K1031" s="6">
        <v>7629200</v>
      </c>
      <c r="L1031" s="7"/>
    </row>
    <row r="1032" spans="1:12" x14ac:dyDescent="0.25">
      <c r="A1032" t="s">
        <v>643</v>
      </c>
      <c r="B1032" s="5">
        <v>595271</v>
      </c>
      <c r="C1032" t="s">
        <v>159</v>
      </c>
      <c r="D1032" s="1" t="str">
        <f t="shared" si="34"/>
        <v>59281</v>
      </c>
      <c r="E1032" t="s">
        <v>10</v>
      </c>
      <c r="F1032" t="s">
        <v>159</v>
      </c>
      <c r="G1032" s="1" t="str">
        <f>"016"</f>
        <v>016</v>
      </c>
      <c r="H1032" s="1">
        <v>2015</v>
      </c>
      <c r="I1032" s="6">
        <v>44128600</v>
      </c>
      <c r="J1032" s="6">
        <v>22459200</v>
      </c>
      <c r="K1032" s="6">
        <v>21669400</v>
      </c>
      <c r="L1032" s="7"/>
    </row>
    <row r="1033" spans="1:12" x14ac:dyDescent="0.25">
      <c r="A1033" t="s">
        <v>643</v>
      </c>
      <c r="B1033" s="5">
        <v>595271</v>
      </c>
      <c r="C1033" t="s">
        <v>159</v>
      </c>
      <c r="D1033" s="1" t="str">
        <f t="shared" si="34"/>
        <v>59281</v>
      </c>
      <c r="E1033" t="s">
        <v>10</v>
      </c>
      <c r="F1033" t="s">
        <v>159</v>
      </c>
      <c r="G1033" s="1" t="str">
        <f>"017"</f>
        <v>017</v>
      </c>
      <c r="H1033" s="1">
        <v>2018</v>
      </c>
      <c r="I1033" s="6">
        <v>36021000</v>
      </c>
      <c r="J1033" s="6">
        <v>34021700</v>
      </c>
      <c r="K1033" s="6">
        <v>1999300</v>
      </c>
      <c r="L1033" s="7"/>
    </row>
    <row r="1034" spans="1:12" x14ac:dyDescent="0.25">
      <c r="A1034" t="s">
        <v>643</v>
      </c>
      <c r="B1034" s="5">
        <v>595271</v>
      </c>
      <c r="C1034" t="s">
        <v>159</v>
      </c>
      <c r="D1034" s="1" t="str">
        <f t="shared" si="34"/>
        <v>59281</v>
      </c>
      <c r="E1034" t="s">
        <v>10</v>
      </c>
      <c r="F1034" t="s">
        <v>159</v>
      </c>
      <c r="G1034" s="1" t="str">
        <f>"018"</f>
        <v>018</v>
      </c>
      <c r="H1034" s="1">
        <v>2018</v>
      </c>
      <c r="I1034" s="6">
        <v>16440100</v>
      </c>
      <c r="J1034" s="6">
        <v>12444400</v>
      </c>
      <c r="K1034" s="6">
        <v>3995700</v>
      </c>
      <c r="L1034" s="7"/>
    </row>
    <row r="1035" spans="1:12" x14ac:dyDescent="0.25">
      <c r="A1035" t="s">
        <v>643</v>
      </c>
      <c r="B1035" s="5">
        <v>595271</v>
      </c>
      <c r="C1035" t="s">
        <v>159</v>
      </c>
      <c r="D1035" s="1" t="str">
        <f t="shared" si="34"/>
        <v>59281</v>
      </c>
      <c r="E1035" t="s">
        <v>10</v>
      </c>
      <c r="F1035" t="s">
        <v>159</v>
      </c>
      <c r="G1035" s="1" t="str">
        <f>"019"</f>
        <v>019</v>
      </c>
      <c r="H1035" s="1">
        <v>2018</v>
      </c>
      <c r="I1035" s="6">
        <v>3339900</v>
      </c>
      <c r="J1035" s="6">
        <v>3399200</v>
      </c>
      <c r="K1035" s="6">
        <v>-59300</v>
      </c>
      <c r="L1035" s="7"/>
    </row>
    <row r="1036" spans="1:12" x14ac:dyDescent="0.25">
      <c r="A1036" t="s">
        <v>644</v>
      </c>
      <c r="B1036" s="5">
        <v>595278</v>
      </c>
      <c r="C1036" t="s">
        <v>159</v>
      </c>
      <c r="D1036" s="1" t="str">
        <f>"59282"</f>
        <v>59282</v>
      </c>
      <c r="E1036" t="s">
        <v>10</v>
      </c>
      <c r="F1036" t="s">
        <v>645</v>
      </c>
      <c r="G1036" s="1" t="str">
        <f>"003"</f>
        <v>003</v>
      </c>
      <c r="H1036" s="1">
        <v>1994</v>
      </c>
      <c r="I1036" s="6">
        <v>28083200</v>
      </c>
      <c r="J1036" s="6">
        <v>6188300</v>
      </c>
      <c r="K1036" s="6">
        <v>21894900</v>
      </c>
      <c r="L1036" s="7"/>
    </row>
    <row r="1037" spans="1:12" x14ac:dyDescent="0.25">
      <c r="A1037" t="s">
        <v>644</v>
      </c>
      <c r="B1037" s="5">
        <v>595278</v>
      </c>
      <c r="C1037" t="s">
        <v>159</v>
      </c>
      <c r="D1037" s="1" t="str">
        <f>"59282"</f>
        <v>59282</v>
      </c>
      <c r="E1037" t="s">
        <v>10</v>
      </c>
      <c r="F1037" t="s">
        <v>645</v>
      </c>
      <c r="G1037" s="1" t="str">
        <f>"004"</f>
        <v>004</v>
      </c>
      <c r="H1037" s="1">
        <v>2016</v>
      </c>
      <c r="I1037" s="6">
        <v>9841100</v>
      </c>
      <c r="J1037" s="6">
        <v>2510100</v>
      </c>
      <c r="K1037" s="6">
        <v>7331000</v>
      </c>
      <c r="L1037" s="7"/>
    </row>
    <row r="1038" spans="1:12" x14ac:dyDescent="0.25">
      <c r="A1038" t="s">
        <v>644</v>
      </c>
      <c r="B1038" s="5">
        <v>595278</v>
      </c>
      <c r="C1038" t="s">
        <v>159</v>
      </c>
      <c r="D1038" s="1" t="str">
        <f>"59282"</f>
        <v>59282</v>
      </c>
      <c r="E1038" t="s">
        <v>10</v>
      </c>
      <c r="F1038" t="s">
        <v>645</v>
      </c>
      <c r="G1038" s="1" t="str">
        <f>"005"</f>
        <v>005</v>
      </c>
      <c r="H1038" s="1">
        <v>2018</v>
      </c>
      <c r="I1038" s="6">
        <v>2003800</v>
      </c>
      <c r="J1038" s="6">
        <v>1233100</v>
      </c>
      <c r="K1038" s="6">
        <v>770700</v>
      </c>
      <c r="L1038" s="7"/>
    </row>
    <row r="1039" spans="1:12" x14ac:dyDescent="0.25">
      <c r="A1039" t="s">
        <v>646</v>
      </c>
      <c r="B1039" s="5">
        <v>655306</v>
      </c>
      <c r="C1039" t="s">
        <v>103</v>
      </c>
      <c r="D1039" s="1" t="str">
        <f>"65282"</f>
        <v>65282</v>
      </c>
      <c r="E1039" t="s">
        <v>10</v>
      </c>
      <c r="F1039" t="s">
        <v>647</v>
      </c>
      <c r="G1039" s="1" t="str">
        <f>"002"</f>
        <v>002</v>
      </c>
      <c r="H1039" s="1">
        <v>1996</v>
      </c>
      <c r="I1039" s="6">
        <v>29482600</v>
      </c>
      <c r="J1039" s="6">
        <v>5595700</v>
      </c>
      <c r="K1039" s="6">
        <v>23886900</v>
      </c>
      <c r="L1039" s="7"/>
    </row>
    <row r="1040" spans="1:12" x14ac:dyDescent="0.25">
      <c r="A1040" t="s">
        <v>648</v>
      </c>
      <c r="B1040" s="5">
        <v>405355</v>
      </c>
      <c r="C1040" t="s">
        <v>134</v>
      </c>
      <c r="D1040" s="1" t="str">
        <f>"40181"</f>
        <v>40181</v>
      </c>
      <c r="E1040" t="s">
        <v>15</v>
      </c>
      <c r="F1040" t="s">
        <v>649</v>
      </c>
      <c r="G1040" s="1" t="str">
        <f>"001"</f>
        <v>001</v>
      </c>
      <c r="H1040" s="1">
        <v>1995</v>
      </c>
      <c r="I1040" s="6">
        <v>205529000</v>
      </c>
      <c r="J1040" s="6">
        <v>138694600</v>
      </c>
      <c r="K1040" s="6">
        <v>66834400</v>
      </c>
      <c r="L1040" s="7"/>
    </row>
    <row r="1041" spans="1:12" x14ac:dyDescent="0.25">
      <c r="A1041" t="s">
        <v>648</v>
      </c>
      <c r="B1041" s="5">
        <v>405355</v>
      </c>
      <c r="C1041" t="s">
        <v>134</v>
      </c>
      <c r="D1041" s="1" t="str">
        <f>"40181"</f>
        <v>40181</v>
      </c>
      <c r="E1041" t="s">
        <v>15</v>
      </c>
      <c r="F1041" t="s">
        <v>649</v>
      </c>
      <c r="G1041" s="1" t="str">
        <f>"003"</f>
        <v>003</v>
      </c>
      <c r="H1041" s="1">
        <v>2008</v>
      </c>
      <c r="I1041" s="6">
        <v>35435000</v>
      </c>
      <c r="J1041" s="6">
        <v>7748400</v>
      </c>
      <c r="K1041" s="6">
        <v>27686600</v>
      </c>
      <c r="L1041" s="7"/>
    </row>
    <row r="1042" spans="1:12" x14ac:dyDescent="0.25">
      <c r="A1042" t="s">
        <v>648</v>
      </c>
      <c r="B1042" s="5">
        <v>405355</v>
      </c>
      <c r="C1042" t="s">
        <v>134</v>
      </c>
      <c r="D1042" s="1" t="str">
        <f>"40181"</f>
        <v>40181</v>
      </c>
      <c r="E1042" t="s">
        <v>15</v>
      </c>
      <c r="F1042" t="s">
        <v>649</v>
      </c>
      <c r="G1042" s="1" t="str">
        <f>"004"</f>
        <v>004</v>
      </c>
      <c r="H1042" s="1">
        <v>2011</v>
      </c>
      <c r="I1042" s="6">
        <v>19024500</v>
      </c>
      <c r="J1042" s="6">
        <v>1195400</v>
      </c>
      <c r="K1042" s="6">
        <v>17829100</v>
      </c>
      <c r="L1042" s="7"/>
    </row>
    <row r="1043" spans="1:12" x14ac:dyDescent="0.25">
      <c r="A1043" t="s">
        <v>648</v>
      </c>
      <c r="B1043" s="5">
        <v>405355</v>
      </c>
      <c r="C1043" t="s">
        <v>134</v>
      </c>
      <c r="D1043" s="1" t="str">
        <f>"40181"</f>
        <v>40181</v>
      </c>
      <c r="E1043" t="s">
        <v>15</v>
      </c>
      <c r="F1043" t="s">
        <v>649</v>
      </c>
      <c r="G1043" s="1" t="str">
        <f>"005"</f>
        <v>005</v>
      </c>
      <c r="H1043" s="1">
        <v>2014</v>
      </c>
      <c r="I1043" s="6">
        <v>55073400</v>
      </c>
      <c r="J1043" s="6">
        <v>8085800</v>
      </c>
      <c r="K1043" s="6">
        <v>46987600</v>
      </c>
      <c r="L1043" s="7"/>
    </row>
    <row r="1044" spans="1:12" x14ac:dyDescent="0.25">
      <c r="A1044" t="s">
        <v>650</v>
      </c>
      <c r="B1044" s="5">
        <v>335362</v>
      </c>
      <c r="C1044" t="s">
        <v>48</v>
      </c>
      <c r="D1044" s="1" t="str">
        <f>"33281"</f>
        <v>33281</v>
      </c>
      <c r="E1044" t="s">
        <v>10</v>
      </c>
      <c r="F1044" t="s">
        <v>651</v>
      </c>
      <c r="G1044" s="1" t="str">
        <f>"003"</f>
        <v>003</v>
      </c>
      <c r="H1044" s="1">
        <v>1997</v>
      </c>
      <c r="I1044" s="6">
        <v>5295500</v>
      </c>
      <c r="J1044" s="6">
        <v>1480000</v>
      </c>
      <c r="K1044" s="6">
        <v>3815500</v>
      </c>
      <c r="L1044" s="7"/>
    </row>
    <row r="1045" spans="1:12" x14ac:dyDescent="0.25">
      <c r="A1045" t="s">
        <v>650</v>
      </c>
      <c r="B1045" s="5">
        <v>335362</v>
      </c>
      <c r="C1045" t="s">
        <v>48</v>
      </c>
      <c r="D1045" s="1" t="str">
        <f>"33281"</f>
        <v>33281</v>
      </c>
      <c r="E1045" t="s">
        <v>10</v>
      </c>
      <c r="F1045" t="s">
        <v>651</v>
      </c>
      <c r="G1045" s="1" t="str">
        <f>"004"</f>
        <v>004</v>
      </c>
      <c r="H1045" s="1">
        <v>1997</v>
      </c>
      <c r="I1045" s="6">
        <v>1081900</v>
      </c>
      <c r="J1045" s="6">
        <v>15000</v>
      </c>
      <c r="K1045" s="6">
        <v>1066900</v>
      </c>
      <c r="L1045" s="7"/>
    </row>
    <row r="1046" spans="1:12" x14ac:dyDescent="0.25">
      <c r="A1046" t="s">
        <v>650</v>
      </c>
      <c r="B1046" s="5">
        <v>335362</v>
      </c>
      <c r="C1046" t="s">
        <v>48</v>
      </c>
      <c r="D1046" s="1" t="str">
        <f>"33281"</f>
        <v>33281</v>
      </c>
      <c r="E1046" t="s">
        <v>10</v>
      </c>
      <c r="F1046" t="s">
        <v>651</v>
      </c>
      <c r="G1046" s="1" t="str">
        <f>"005"</f>
        <v>005</v>
      </c>
      <c r="H1046" s="1">
        <v>2005</v>
      </c>
      <c r="I1046" s="6">
        <v>516200</v>
      </c>
      <c r="J1046" s="6">
        <v>161500</v>
      </c>
      <c r="K1046" s="6">
        <v>354700</v>
      </c>
      <c r="L1046" s="7"/>
    </row>
    <row r="1047" spans="1:12" x14ac:dyDescent="0.25">
      <c r="A1047" t="s">
        <v>650</v>
      </c>
      <c r="B1047" s="5">
        <v>335362</v>
      </c>
      <c r="C1047" t="s">
        <v>48</v>
      </c>
      <c r="D1047" s="1" t="str">
        <f>"33281"</f>
        <v>33281</v>
      </c>
      <c r="E1047" t="s">
        <v>10</v>
      </c>
      <c r="F1047" t="s">
        <v>651</v>
      </c>
      <c r="G1047" s="1" t="str">
        <f>"006"</f>
        <v>006</v>
      </c>
      <c r="H1047" s="1">
        <v>2010</v>
      </c>
      <c r="I1047" s="6">
        <v>2917100</v>
      </c>
      <c r="J1047" s="6">
        <v>12400</v>
      </c>
      <c r="K1047" s="6">
        <v>2904700</v>
      </c>
      <c r="L1047" s="7"/>
    </row>
    <row r="1048" spans="1:12" x14ac:dyDescent="0.25">
      <c r="A1048" t="s">
        <v>650</v>
      </c>
      <c r="B1048" s="5">
        <v>335362</v>
      </c>
      <c r="C1048" t="s">
        <v>48</v>
      </c>
      <c r="D1048" s="1" t="str">
        <f>"33281"</f>
        <v>33281</v>
      </c>
      <c r="E1048" t="s">
        <v>10</v>
      </c>
      <c r="F1048" t="s">
        <v>651</v>
      </c>
      <c r="G1048" s="1" t="str">
        <f>"007"</f>
        <v>007</v>
      </c>
      <c r="H1048" s="1">
        <v>2010</v>
      </c>
      <c r="I1048" s="6">
        <v>3111700</v>
      </c>
      <c r="J1048" s="6">
        <v>1070300</v>
      </c>
      <c r="K1048" s="6">
        <v>2041400</v>
      </c>
      <c r="L1048" s="7"/>
    </row>
    <row r="1049" spans="1:12" x14ac:dyDescent="0.25">
      <c r="A1049" t="s">
        <v>652</v>
      </c>
      <c r="B1049" s="5">
        <v>75376</v>
      </c>
      <c r="C1049" t="s">
        <v>313</v>
      </c>
      <c r="D1049" s="1" t="str">
        <f>"07181"</f>
        <v>07181</v>
      </c>
      <c r="E1049" t="s">
        <v>15</v>
      </c>
      <c r="F1049" t="s">
        <v>653</v>
      </c>
      <c r="G1049" s="1" t="str">
        <f>"001"</f>
        <v>001</v>
      </c>
      <c r="H1049" s="1">
        <v>1994</v>
      </c>
      <c r="I1049" s="6">
        <v>1384700</v>
      </c>
      <c r="J1049" s="6">
        <v>58700</v>
      </c>
      <c r="K1049" s="6">
        <v>1326000</v>
      </c>
      <c r="L1049" s="7"/>
    </row>
    <row r="1050" spans="1:12" x14ac:dyDescent="0.25">
      <c r="A1050" t="s">
        <v>652</v>
      </c>
      <c r="B1050" s="5">
        <v>75376</v>
      </c>
      <c r="C1050" t="s">
        <v>313</v>
      </c>
      <c r="D1050" s="1" t="str">
        <f>"07181"</f>
        <v>07181</v>
      </c>
      <c r="E1050" t="s">
        <v>15</v>
      </c>
      <c r="F1050" t="s">
        <v>653</v>
      </c>
      <c r="G1050" s="1" t="str">
        <f>"002"</f>
        <v>002</v>
      </c>
      <c r="H1050" s="1">
        <v>2003</v>
      </c>
      <c r="I1050" s="6">
        <v>25503800</v>
      </c>
      <c r="J1050" s="6">
        <v>18762600</v>
      </c>
      <c r="K1050" s="6">
        <v>6741200</v>
      </c>
      <c r="L1050" s="7"/>
    </row>
    <row r="1051" spans="1:12" x14ac:dyDescent="0.25">
      <c r="A1051" t="s">
        <v>654</v>
      </c>
      <c r="B1051" s="5">
        <v>665390</v>
      </c>
      <c r="C1051" t="s">
        <v>298</v>
      </c>
      <c r="D1051" s="1" t="str">
        <f>"66181"</f>
        <v>66181</v>
      </c>
      <c r="E1051" t="s">
        <v>15</v>
      </c>
      <c r="F1051" t="s">
        <v>655</v>
      </c>
      <c r="G1051" s="1" t="str">
        <f>"004"</f>
        <v>004</v>
      </c>
      <c r="H1051" s="1">
        <v>2015</v>
      </c>
      <c r="I1051" s="6">
        <v>12642400</v>
      </c>
      <c r="J1051" s="6">
        <v>3546200</v>
      </c>
      <c r="K1051" s="6">
        <v>9096200</v>
      </c>
      <c r="L1051" s="7"/>
    </row>
    <row r="1052" spans="1:12" x14ac:dyDescent="0.25">
      <c r="A1052" t="s">
        <v>654</v>
      </c>
      <c r="B1052" s="5">
        <v>665390</v>
      </c>
      <c r="C1052" t="s">
        <v>298</v>
      </c>
      <c r="D1052" s="1" t="str">
        <f>"66181"</f>
        <v>66181</v>
      </c>
      <c r="E1052" t="s">
        <v>15</v>
      </c>
      <c r="F1052" t="s">
        <v>655</v>
      </c>
      <c r="G1052" s="1" t="str">
        <f>"005"</f>
        <v>005</v>
      </c>
      <c r="H1052" s="1">
        <v>2016</v>
      </c>
      <c r="I1052" s="6">
        <v>5479400</v>
      </c>
      <c r="J1052" s="6">
        <v>784400</v>
      </c>
      <c r="K1052" s="6">
        <v>4695000</v>
      </c>
      <c r="L1052" s="7"/>
    </row>
    <row r="1053" spans="1:12" x14ac:dyDescent="0.25">
      <c r="A1053" t="s">
        <v>656</v>
      </c>
      <c r="B1053" s="5">
        <v>165397</v>
      </c>
      <c r="C1053" t="s">
        <v>657</v>
      </c>
      <c r="D1053" s="1" t="str">
        <f>"16181"</f>
        <v>16181</v>
      </c>
      <c r="E1053" t="s">
        <v>15</v>
      </c>
      <c r="F1053" t="s">
        <v>658</v>
      </c>
      <c r="G1053" s="1" t="str">
        <f>"002"</f>
        <v>002</v>
      </c>
      <c r="H1053" s="1">
        <v>1999</v>
      </c>
      <c r="I1053" s="6">
        <v>2395700</v>
      </c>
      <c r="J1053" s="6">
        <v>312900</v>
      </c>
      <c r="K1053" s="6">
        <v>2082800</v>
      </c>
      <c r="L1053" s="7"/>
    </row>
    <row r="1054" spans="1:12" x14ac:dyDescent="0.25">
      <c r="A1054" t="s">
        <v>656</v>
      </c>
      <c r="B1054" s="5">
        <v>165397</v>
      </c>
      <c r="C1054" t="s">
        <v>657</v>
      </c>
      <c r="D1054" s="1" t="str">
        <f>"16181"</f>
        <v>16181</v>
      </c>
      <c r="E1054" t="s">
        <v>15</v>
      </c>
      <c r="F1054" t="s">
        <v>658</v>
      </c>
      <c r="G1054" s="1" t="str">
        <f>"003"</f>
        <v>003</v>
      </c>
      <c r="H1054" s="1">
        <v>2011</v>
      </c>
      <c r="I1054" s="6">
        <v>971700</v>
      </c>
      <c r="J1054" s="6">
        <v>53900</v>
      </c>
      <c r="K1054" s="6">
        <v>917800</v>
      </c>
      <c r="L1054" s="7"/>
    </row>
    <row r="1055" spans="1:12" x14ac:dyDescent="0.25">
      <c r="A1055" t="s">
        <v>659</v>
      </c>
      <c r="B1055" s="5">
        <v>555432</v>
      </c>
      <c r="C1055" t="s">
        <v>63</v>
      </c>
      <c r="D1055" s="1" t="str">
        <f>"55181"</f>
        <v>55181</v>
      </c>
      <c r="E1055" t="s">
        <v>15</v>
      </c>
      <c r="F1055" t="s">
        <v>660</v>
      </c>
      <c r="G1055" s="1" t="str">
        <f>"002"</f>
        <v>002</v>
      </c>
      <c r="H1055" s="1">
        <v>1996</v>
      </c>
      <c r="I1055" s="6">
        <v>36273100</v>
      </c>
      <c r="J1055" s="6">
        <v>1890600</v>
      </c>
      <c r="K1055" s="6">
        <v>34382500</v>
      </c>
      <c r="L1055" s="7"/>
    </row>
    <row r="1056" spans="1:12" x14ac:dyDescent="0.25">
      <c r="A1056" t="s">
        <v>659</v>
      </c>
      <c r="B1056" s="5">
        <v>555432</v>
      </c>
      <c r="C1056" t="s">
        <v>63</v>
      </c>
      <c r="D1056" s="1" t="str">
        <f>"55181"</f>
        <v>55181</v>
      </c>
      <c r="E1056" t="s">
        <v>15</v>
      </c>
      <c r="F1056" t="s">
        <v>660</v>
      </c>
      <c r="G1056" s="1" t="str">
        <f>"003"</f>
        <v>003</v>
      </c>
      <c r="H1056" s="1">
        <v>2005</v>
      </c>
      <c r="I1056" s="6">
        <v>1236300</v>
      </c>
      <c r="J1056" s="6">
        <v>1135500</v>
      </c>
      <c r="K1056" s="6">
        <v>100800</v>
      </c>
      <c r="L1056" s="7"/>
    </row>
    <row r="1057" spans="1:12" x14ac:dyDescent="0.25">
      <c r="A1057" t="s">
        <v>659</v>
      </c>
      <c r="B1057" s="5">
        <v>555432</v>
      </c>
      <c r="C1057" t="s">
        <v>63</v>
      </c>
      <c r="D1057" s="1" t="str">
        <f>"55181"</f>
        <v>55181</v>
      </c>
      <c r="E1057" t="s">
        <v>15</v>
      </c>
      <c r="F1057" t="s">
        <v>660</v>
      </c>
      <c r="G1057" s="1" t="str">
        <f>"004"</f>
        <v>004</v>
      </c>
      <c r="H1057" s="1">
        <v>2008</v>
      </c>
      <c r="I1057" s="6">
        <v>164200</v>
      </c>
      <c r="J1057" s="6">
        <v>1085700</v>
      </c>
      <c r="K1057" s="6">
        <v>-921500</v>
      </c>
      <c r="L1057" s="7"/>
    </row>
    <row r="1058" spans="1:12" x14ac:dyDescent="0.25">
      <c r="A1058" t="s">
        <v>661</v>
      </c>
      <c r="B1058" s="5">
        <v>405439</v>
      </c>
      <c r="C1058" t="s">
        <v>134</v>
      </c>
      <c r="D1058" s="1" t="str">
        <f>"40282"</f>
        <v>40282</v>
      </c>
      <c r="E1058" t="s">
        <v>10</v>
      </c>
      <c r="F1058" t="s">
        <v>662</v>
      </c>
      <c r="G1058" s="1" t="str">
        <f>"001"</f>
        <v>001</v>
      </c>
      <c r="H1058" s="1">
        <v>2000</v>
      </c>
      <c r="I1058" s="6">
        <v>24706000</v>
      </c>
      <c r="J1058" s="6">
        <v>8397700</v>
      </c>
      <c r="K1058" s="6">
        <v>16308300</v>
      </c>
      <c r="L1058" s="7"/>
    </row>
    <row r="1059" spans="1:12" x14ac:dyDescent="0.25">
      <c r="A1059" t="s">
        <v>661</v>
      </c>
      <c r="B1059" s="5">
        <v>405439</v>
      </c>
      <c r="C1059" t="s">
        <v>134</v>
      </c>
      <c r="D1059" s="1" t="str">
        <f>"40282"</f>
        <v>40282</v>
      </c>
      <c r="E1059" t="s">
        <v>10</v>
      </c>
      <c r="F1059" t="s">
        <v>662</v>
      </c>
      <c r="G1059" s="1" t="str">
        <f>"002"</f>
        <v>002</v>
      </c>
      <c r="H1059" s="1">
        <v>2000</v>
      </c>
      <c r="I1059" s="6">
        <v>30603900</v>
      </c>
      <c r="J1059" s="6">
        <v>6394400</v>
      </c>
      <c r="K1059" s="6">
        <v>24209500</v>
      </c>
      <c r="L1059" s="7"/>
    </row>
    <row r="1060" spans="1:12" x14ac:dyDescent="0.25">
      <c r="A1060" t="s">
        <v>661</v>
      </c>
      <c r="B1060" s="5">
        <v>405439</v>
      </c>
      <c r="C1060" t="s">
        <v>134</v>
      </c>
      <c r="D1060" s="1" t="str">
        <f>"40282"</f>
        <v>40282</v>
      </c>
      <c r="E1060" t="s">
        <v>10</v>
      </c>
      <c r="F1060" t="s">
        <v>662</v>
      </c>
      <c r="G1060" s="1" t="str">
        <f>"003"</f>
        <v>003</v>
      </c>
      <c r="H1060" s="1">
        <v>2005</v>
      </c>
      <c r="I1060" s="6">
        <v>34778000</v>
      </c>
      <c r="J1060" s="6">
        <v>16460500</v>
      </c>
      <c r="K1060" s="6">
        <v>18317500</v>
      </c>
      <c r="L1060" s="7"/>
    </row>
    <row r="1061" spans="1:12" x14ac:dyDescent="0.25">
      <c r="A1061" t="s">
        <v>661</v>
      </c>
      <c r="B1061" s="5">
        <v>405439</v>
      </c>
      <c r="C1061" t="s">
        <v>134</v>
      </c>
      <c r="D1061" s="1" t="str">
        <f>"40282"</f>
        <v>40282</v>
      </c>
      <c r="E1061" t="s">
        <v>10</v>
      </c>
      <c r="F1061" t="s">
        <v>662</v>
      </c>
      <c r="G1061" s="1" t="str">
        <f>"004"</f>
        <v>004</v>
      </c>
      <c r="H1061" s="1">
        <v>2006</v>
      </c>
      <c r="I1061" s="6">
        <v>9962900</v>
      </c>
      <c r="J1061" s="6">
        <v>662500</v>
      </c>
      <c r="K1061" s="6">
        <v>9300400</v>
      </c>
      <c r="L1061" s="7"/>
    </row>
    <row r="1062" spans="1:12" x14ac:dyDescent="0.25">
      <c r="A1062" t="s">
        <v>661</v>
      </c>
      <c r="B1062" s="5">
        <v>405439</v>
      </c>
      <c r="C1062" t="s">
        <v>134</v>
      </c>
      <c r="D1062" s="1" t="str">
        <f>"40282"</f>
        <v>40282</v>
      </c>
      <c r="E1062" t="s">
        <v>10</v>
      </c>
      <c r="F1062" t="s">
        <v>662</v>
      </c>
      <c r="G1062" s="1" t="str">
        <f>"005"</f>
        <v>005</v>
      </c>
      <c r="H1062" s="1">
        <v>2018</v>
      </c>
      <c r="I1062" s="6">
        <v>24152800</v>
      </c>
      <c r="J1062" s="6">
        <v>23398800</v>
      </c>
      <c r="K1062" s="6">
        <v>754000</v>
      </c>
      <c r="L1062" s="7"/>
    </row>
    <row r="1063" spans="1:12" x14ac:dyDescent="0.25">
      <c r="A1063" t="s">
        <v>663</v>
      </c>
      <c r="B1063" s="5">
        <v>222485</v>
      </c>
      <c r="C1063" t="s">
        <v>120</v>
      </c>
      <c r="D1063" s="1" t="str">
        <f>"22136"</f>
        <v>22136</v>
      </c>
      <c r="E1063" t="s">
        <v>15</v>
      </c>
      <c r="F1063" t="s">
        <v>664</v>
      </c>
      <c r="G1063" s="1" t="str">
        <f>"001"</f>
        <v>001</v>
      </c>
      <c r="H1063" s="1">
        <v>1997</v>
      </c>
      <c r="I1063" s="6">
        <v>2298600</v>
      </c>
      <c r="J1063" s="6">
        <v>823900</v>
      </c>
      <c r="K1063" s="6">
        <v>1474700</v>
      </c>
      <c r="L1063" s="7"/>
    </row>
    <row r="1064" spans="1:12" x14ac:dyDescent="0.25">
      <c r="A1064" t="s">
        <v>665</v>
      </c>
      <c r="B1064" s="5">
        <v>415460</v>
      </c>
      <c r="C1064" t="s">
        <v>70</v>
      </c>
      <c r="D1064" s="1" t="str">
        <f>"41281"</f>
        <v>41281</v>
      </c>
      <c r="E1064" t="s">
        <v>10</v>
      </c>
      <c r="F1064" t="s">
        <v>666</v>
      </c>
      <c r="G1064" s="1" t="str">
        <f>"003"</f>
        <v>003</v>
      </c>
      <c r="H1064" s="1">
        <v>1992</v>
      </c>
      <c r="I1064" s="6">
        <v>4654400</v>
      </c>
      <c r="J1064" s="6">
        <v>23300</v>
      </c>
      <c r="K1064" s="6">
        <v>4631100</v>
      </c>
      <c r="L1064" s="7"/>
    </row>
    <row r="1065" spans="1:12" x14ac:dyDescent="0.25">
      <c r="A1065" t="s">
        <v>665</v>
      </c>
      <c r="B1065" s="5">
        <v>415460</v>
      </c>
      <c r="C1065" t="s">
        <v>70</v>
      </c>
      <c r="D1065" s="1" t="str">
        <f>"41281"</f>
        <v>41281</v>
      </c>
      <c r="E1065" t="s">
        <v>10</v>
      </c>
      <c r="F1065" t="s">
        <v>666</v>
      </c>
      <c r="G1065" s="1" t="str">
        <f>"005"</f>
        <v>005</v>
      </c>
      <c r="H1065" s="1">
        <v>1996</v>
      </c>
      <c r="I1065" s="6">
        <v>40004500</v>
      </c>
      <c r="J1065" s="6">
        <v>358000</v>
      </c>
      <c r="K1065" s="6">
        <v>39646500</v>
      </c>
      <c r="L1065" s="7"/>
    </row>
    <row r="1066" spans="1:12" x14ac:dyDescent="0.25">
      <c r="A1066" t="s">
        <v>665</v>
      </c>
      <c r="B1066" s="5">
        <v>415460</v>
      </c>
      <c r="C1066" t="s">
        <v>70</v>
      </c>
      <c r="D1066" s="1" t="str">
        <f>"41281"</f>
        <v>41281</v>
      </c>
      <c r="E1066" t="s">
        <v>10</v>
      </c>
      <c r="F1066" t="s">
        <v>666</v>
      </c>
      <c r="G1066" s="1" t="str">
        <f>"006"</f>
        <v>006</v>
      </c>
      <c r="H1066" s="1">
        <v>2005</v>
      </c>
      <c r="I1066" s="6">
        <v>11609600</v>
      </c>
      <c r="J1066" s="6">
        <v>245500</v>
      </c>
      <c r="K1066" s="6">
        <v>11364100</v>
      </c>
      <c r="L1066" s="7"/>
    </row>
    <row r="1067" spans="1:12" x14ac:dyDescent="0.25">
      <c r="A1067" t="s">
        <v>665</v>
      </c>
      <c r="B1067" s="5">
        <v>415460</v>
      </c>
      <c r="C1067" t="s">
        <v>70</v>
      </c>
      <c r="D1067" s="1" t="str">
        <f>"41281"</f>
        <v>41281</v>
      </c>
      <c r="E1067" t="s">
        <v>10</v>
      </c>
      <c r="F1067" t="s">
        <v>666</v>
      </c>
      <c r="G1067" s="1" t="str">
        <f>"008"</f>
        <v>008</v>
      </c>
      <c r="H1067" s="1">
        <v>2010</v>
      </c>
      <c r="I1067" s="6">
        <v>1733000</v>
      </c>
      <c r="J1067" s="6">
        <v>1031700</v>
      </c>
      <c r="K1067" s="6">
        <v>701300</v>
      </c>
      <c r="L1067" s="7"/>
    </row>
    <row r="1068" spans="1:12" x14ac:dyDescent="0.25">
      <c r="A1068" t="s">
        <v>665</v>
      </c>
      <c r="B1068" s="5">
        <v>415460</v>
      </c>
      <c r="C1068" t="s">
        <v>70</v>
      </c>
      <c r="D1068" s="1" t="str">
        <f>"41281"</f>
        <v>41281</v>
      </c>
      <c r="E1068" t="s">
        <v>10</v>
      </c>
      <c r="F1068" t="s">
        <v>666</v>
      </c>
      <c r="G1068" s="1" t="str">
        <f>"009"</f>
        <v>009</v>
      </c>
      <c r="H1068" s="1">
        <v>2018</v>
      </c>
      <c r="I1068" s="6">
        <v>203400</v>
      </c>
      <c r="J1068" s="6">
        <v>196300</v>
      </c>
      <c r="K1068" s="6">
        <v>7100</v>
      </c>
      <c r="L1068" s="7"/>
    </row>
    <row r="1069" spans="1:12" x14ac:dyDescent="0.25">
      <c r="A1069" t="s">
        <v>667</v>
      </c>
      <c r="B1069" s="5">
        <v>375467</v>
      </c>
      <c r="C1069" t="s">
        <v>12</v>
      </c>
      <c r="D1069" s="1" t="str">
        <f>"37181"</f>
        <v>37181</v>
      </c>
      <c r="E1069" t="s">
        <v>15</v>
      </c>
      <c r="F1069" t="s">
        <v>668</v>
      </c>
      <c r="G1069" s="1" t="str">
        <f>"002"</f>
        <v>002</v>
      </c>
      <c r="H1069" s="1">
        <v>1999</v>
      </c>
      <c r="I1069" s="6">
        <v>7900100</v>
      </c>
      <c r="J1069" s="6">
        <v>2954600</v>
      </c>
      <c r="K1069" s="6">
        <v>4945500</v>
      </c>
      <c r="L1069" s="7"/>
    </row>
    <row r="1070" spans="1:12" x14ac:dyDescent="0.25">
      <c r="A1070" t="s">
        <v>667</v>
      </c>
      <c r="B1070" s="5">
        <v>375467</v>
      </c>
      <c r="C1070" t="s">
        <v>12</v>
      </c>
      <c r="D1070" s="1" t="str">
        <f>"37181"</f>
        <v>37181</v>
      </c>
      <c r="E1070" t="s">
        <v>15</v>
      </c>
      <c r="F1070" t="s">
        <v>668</v>
      </c>
      <c r="G1070" s="1" t="str">
        <f>"003"</f>
        <v>003</v>
      </c>
      <c r="H1070" s="1">
        <v>2013</v>
      </c>
      <c r="I1070" s="6">
        <v>2467100</v>
      </c>
      <c r="J1070" s="6">
        <v>519500</v>
      </c>
      <c r="K1070" s="6">
        <v>1947600</v>
      </c>
      <c r="L1070" s="7"/>
    </row>
    <row r="1071" spans="1:12" x14ac:dyDescent="0.25">
      <c r="A1071" t="s">
        <v>667</v>
      </c>
      <c r="B1071" s="5">
        <v>375467</v>
      </c>
      <c r="C1071" t="s">
        <v>12</v>
      </c>
      <c r="D1071" s="1" t="str">
        <f>"37181"</f>
        <v>37181</v>
      </c>
      <c r="E1071" t="s">
        <v>15</v>
      </c>
      <c r="F1071" t="s">
        <v>668</v>
      </c>
      <c r="G1071" s="1" t="str">
        <f>"004"</f>
        <v>004</v>
      </c>
      <c r="H1071" s="1">
        <v>2016</v>
      </c>
      <c r="I1071" s="6">
        <v>6971500</v>
      </c>
      <c r="J1071" s="6">
        <v>6831100</v>
      </c>
      <c r="K1071" s="6">
        <v>140400</v>
      </c>
      <c r="L1071" s="7"/>
    </row>
    <row r="1072" spans="1:12" x14ac:dyDescent="0.25">
      <c r="A1072" t="s">
        <v>669</v>
      </c>
      <c r="B1072" s="5">
        <v>655474</v>
      </c>
      <c r="C1072" t="s">
        <v>103</v>
      </c>
      <c r="D1072" s="1" t="str">
        <f>"65281"</f>
        <v>65281</v>
      </c>
      <c r="E1072" t="s">
        <v>10</v>
      </c>
      <c r="F1072" t="s">
        <v>670</v>
      </c>
      <c r="G1072" s="1" t="str">
        <f>"003"</f>
        <v>003</v>
      </c>
      <c r="H1072" s="1">
        <v>1996</v>
      </c>
      <c r="I1072" s="6">
        <v>14758300</v>
      </c>
      <c r="J1072" s="6">
        <v>618700</v>
      </c>
      <c r="K1072" s="6">
        <v>14139600</v>
      </c>
      <c r="L1072" s="7"/>
    </row>
    <row r="1073" spans="1:12" x14ac:dyDescent="0.25">
      <c r="A1073" t="s">
        <v>669</v>
      </c>
      <c r="B1073" s="5">
        <v>655474</v>
      </c>
      <c r="C1073" t="s">
        <v>103</v>
      </c>
      <c r="D1073" s="1" t="str">
        <f>"65281"</f>
        <v>65281</v>
      </c>
      <c r="E1073" t="s">
        <v>10</v>
      </c>
      <c r="F1073" t="s">
        <v>670</v>
      </c>
      <c r="G1073" s="1" t="str">
        <f>"004"</f>
        <v>004</v>
      </c>
      <c r="H1073" s="1">
        <v>2003</v>
      </c>
      <c r="I1073" s="6">
        <v>9691300</v>
      </c>
      <c r="J1073" s="6">
        <v>178000</v>
      </c>
      <c r="K1073" s="6">
        <v>9513300</v>
      </c>
      <c r="L1073" s="7"/>
    </row>
    <row r="1074" spans="1:12" x14ac:dyDescent="0.25">
      <c r="A1074" t="s">
        <v>671</v>
      </c>
      <c r="B1074" s="5">
        <v>475586</v>
      </c>
      <c r="C1074" t="s">
        <v>265</v>
      </c>
      <c r="D1074" s="1" t="str">
        <f>"47181"</f>
        <v>47181</v>
      </c>
      <c r="E1074" t="s">
        <v>15</v>
      </c>
      <c r="F1074" t="s">
        <v>672</v>
      </c>
      <c r="G1074" s="1" t="str">
        <f>"002"</f>
        <v>002</v>
      </c>
      <c r="H1074" s="1">
        <v>1995</v>
      </c>
      <c r="I1074" s="6">
        <v>7287600</v>
      </c>
      <c r="J1074" s="6">
        <v>83300</v>
      </c>
      <c r="K1074" s="6">
        <v>7204300</v>
      </c>
      <c r="L1074" s="7"/>
    </row>
    <row r="1075" spans="1:12" x14ac:dyDescent="0.25">
      <c r="A1075" t="s">
        <v>671</v>
      </c>
      <c r="B1075" s="5">
        <v>475586</v>
      </c>
      <c r="C1075" t="s">
        <v>265</v>
      </c>
      <c r="D1075" s="1" t="str">
        <f>"47181"</f>
        <v>47181</v>
      </c>
      <c r="E1075" t="s">
        <v>15</v>
      </c>
      <c r="F1075" t="s">
        <v>672</v>
      </c>
      <c r="G1075" s="1" t="str">
        <f>"003"</f>
        <v>003</v>
      </c>
      <c r="H1075" s="1">
        <v>2007</v>
      </c>
      <c r="I1075" s="6">
        <v>3210900</v>
      </c>
      <c r="J1075" s="6">
        <v>2502700</v>
      </c>
      <c r="K1075" s="6">
        <v>708200</v>
      </c>
      <c r="L1075" s="7"/>
    </row>
    <row r="1076" spans="1:12" x14ac:dyDescent="0.25">
      <c r="A1076" t="s">
        <v>673</v>
      </c>
      <c r="B1076" s="5">
        <v>95593</v>
      </c>
      <c r="C1076" t="s">
        <v>114</v>
      </c>
      <c r="D1076" s="1" t="str">
        <f>"09281"</f>
        <v>09281</v>
      </c>
      <c r="E1076" t="s">
        <v>10</v>
      </c>
      <c r="F1076" t="s">
        <v>674</v>
      </c>
      <c r="G1076" s="1" t="str">
        <f>"003"</f>
        <v>003</v>
      </c>
      <c r="H1076" s="1">
        <v>2001</v>
      </c>
      <c r="I1076" s="6">
        <v>22176400</v>
      </c>
      <c r="J1076" s="6">
        <v>4205200</v>
      </c>
      <c r="K1076" s="6">
        <v>17971200</v>
      </c>
      <c r="L1076" s="7"/>
    </row>
    <row r="1077" spans="1:12" x14ac:dyDescent="0.25">
      <c r="A1077" t="s">
        <v>675</v>
      </c>
      <c r="B1077" s="5">
        <v>495607</v>
      </c>
      <c r="C1077" t="s">
        <v>564</v>
      </c>
      <c r="D1077" s="1" t="str">
        <f>"49141"</f>
        <v>49141</v>
      </c>
      <c r="E1077" t="s">
        <v>15</v>
      </c>
      <c r="F1077" t="s">
        <v>676</v>
      </c>
      <c r="G1077" s="1" t="str">
        <f>"001"</f>
        <v>001</v>
      </c>
      <c r="H1077" s="1">
        <v>2008</v>
      </c>
      <c r="I1077" s="6">
        <v>2418400</v>
      </c>
      <c r="J1077" s="6">
        <v>1345400</v>
      </c>
      <c r="K1077" s="6">
        <v>1073000</v>
      </c>
      <c r="L1077" s="7"/>
    </row>
    <row r="1078" spans="1:12" x14ac:dyDescent="0.25">
      <c r="A1078" t="s">
        <v>675</v>
      </c>
      <c r="B1078" s="5">
        <v>495607</v>
      </c>
      <c r="C1078" t="s">
        <v>564</v>
      </c>
      <c r="D1078" s="1" t="str">
        <f>"49173"</f>
        <v>49173</v>
      </c>
      <c r="E1078" t="s">
        <v>15</v>
      </c>
      <c r="F1078" t="s">
        <v>677</v>
      </c>
      <c r="G1078" s="1" t="str">
        <f>"003"</f>
        <v>003</v>
      </c>
      <c r="H1078" s="1">
        <v>2003</v>
      </c>
      <c r="I1078" s="6">
        <v>22851600</v>
      </c>
      <c r="J1078" s="6">
        <v>532100</v>
      </c>
      <c r="K1078" s="6">
        <v>22319500</v>
      </c>
      <c r="L1078" s="7"/>
    </row>
    <row r="1079" spans="1:12" x14ac:dyDescent="0.25">
      <c r="A1079" t="s">
        <v>675</v>
      </c>
      <c r="B1079" s="5">
        <v>495607</v>
      </c>
      <c r="C1079" t="s">
        <v>564</v>
      </c>
      <c r="D1079" s="1" t="str">
        <f>"49173"</f>
        <v>49173</v>
      </c>
      <c r="E1079" t="s">
        <v>15</v>
      </c>
      <c r="F1079" t="s">
        <v>677</v>
      </c>
      <c r="G1079" s="1" t="str">
        <f>"004"</f>
        <v>004</v>
      </c>
      <c r="H1079" s="1">
        <v>2004</v>
      </c>
      <c r="I1079" s="6">
        <v>55926400</v>
      </c>
      <c r="J1079" s="6">
        <v>16780000</v>
      </c>
      <c r="K1079" s="6">
        <v>39146400</v>
      </c>
      <c r="L1079" s="7"/>
    </row>
    <row r="1080" spans="1:12" x14ac:dyDescent="0.25">
      <c r="A1080" t="s">
        <v>675</v>
      </c>
      <c r="B1080" s="5">
        <v>495607</v>
      </c>
      <c r="C1080" t="s">
        <v>564</v>
      </c>
      <c r="D1080" s="1" t="str">
        <f>"49173"</f>
        <v>49173</v>
      </c>
      <c r="E1080" t="s">
        <v>15</v>
      </c>
      <c r="F1080" t="s">
        <v>677</v>
      </c>
      <c r="G1080" s="1" t="str">
        <f>"005"</f>
        <v>005</v>
      </c>
      <c r="H1080" s="1">
        <v>2005</v>
      </c>
      <c r="I1080" s="6">
        <v>19825800</v>
      </c>
      <c r="J1080" s="6">
        <v>2951500</v>
      </c>
      <c r="K1080" s="6">
        <v>16874300</v>
      </c>
      <c r="L1080" s="7"/>
    </row>
    <row r="1081" spans="1:12" x14ac:dyDescent="0.25">
      <c r="A1081" t="s">
        <v>675</v>
      </c>
      <c r="B1081" s="5">
        <v>495607</v>
      </c>
      <c r="C1081" t="s">
        <v>564</v>
      </c>
      <c r="D1081" s="1" t="str">
        <f>"49173"</f>
        <v>49173</v>
      </c>
      <c r="E1081" t="s">
        <v>15</v>
      </c>
      <c r="F1081" t="s">
        <v>677</v>
      </c>
      <c r="G1081" s="1" t="str">
        <f>"006"</f>
        <v>006</v>
      </c>
      <c r="H1081" s="1">
        <v>2010</v>
      </c>
      <c r="I1081" s="6">
        <v>11304800</v>
      </c>
      <c r="J1081" s="6">
        <v>3300</v>
      </c>
      <c r="K1081" s="6">
        <v>11301500</v>
      </c>
      <c r="L1081" s="7"/>
    </row>
    <row r="1082" spans="1:12" x14ac:dyDescent="0.25">
      <c r="A1082" t="s">
        <v>675</v>
      </c>
      <c r="B1082" s="5">
        <v>495607</v>
      </c>
      <c r="C1082" t="s">
        <v>564</v>
      </c>
      <c r="D1082" s="1" t="str">
        <f>"49173"</f>
        <v>49173</v>
      </c>
      <c r="E1082" t="s">
        <v>15</v>
      </c>
      <c r="F1082" t="s">
        <v>677</v>
      </c>
      <c r="G1082" s="1" t="str">
        <f>"007"</f>
        <v>007</v>
      </c>
      <c r="H1082" s="1">
        <v>2013</v>
      </c>
      <c r="I1082" s="6">
        <v>4952900</v>
      </c>
      <c r="J1082" s="6">
        <v>2637300</v>
      </c>
      <c r="K1082" s="6">
        <v>2315600</v>
      </c>
      <c r="L1082" s="7"/>
    </row>
    <row r="1083" spans="1:12" x14ac:dyDescent="0.25">
      <c r="A1083" t="s">
        <v>675</v>
      </c>
      <c r="B1083" s="5">
        <v>495607</v>
      </c>
      <c r="C1083" t="s">
        <v>564</v>
      </c>
      <c r="D1083" s="1" t="str">
        <f>"49281"</f>
        <v>49281</v>
      </c>
      <c r="E1083" t="s">
        <v>10</v>
      </c>
      <c r="F1083" t="s">
        <v>678</v>
      </c>
      <c r="G1083" s="1" t="str">
        <f>"005"</f>
        <v>005</v>
      </c>
      <c r="H1083" s="1">
        <v>2005</v>
      </c>
      <c r="I1083" s="6">
        <v>120333300</v>
      </c>
      <c r="J1083" s="6">
        <v>37940700</v>
      </c>
      <c r="K1083" s="6">
        <v>82392600</v>
      </c>
      <c r="L1083" s="7"/>
    </row>
    <row r="1084" spans="1:12" x14ac:dyDescent="0.25">
      <c r="A1084" t="s">
        <v>675</v>
      </c>
      <c r="B1084" s="5">
        <v>495607</v>
      </c>
      <c r="C1084" t="s">
        <v>564</v>
      </c>
      <c r="D1084" s="1" t="str">
        <f>"49281"</f>
        <v>49281</v>
      </c>
      <c r="E1084" t="s">
        <v>10</v>
      </c>
      <c r="F1084" t="s">
        <v>678</v>
      </c>
      <c r="G1084" s="1" t="str">
        <f>"006"</f>
        <v>006</v>
      </c>
      <c r="H1084" s="1">
        <v>2006</v>
      </c>
      <c r="I1084" s="6">
        <v>58199700</v>
      </c>
      <c r="J1084" s="6">
        <v>46305600</v>
      </c>
      <c r="K1084" s="6">
        <v>11894100</v>
      </c>
      <c r="L1084" s="7"/>
    </row>
    <row r="1085" spans="1:12" x14ac:dyDescent="0.25">
      <c r="A1085" t="s">
        <v>675</v>
      </c>
      <c r="B1085" s="5">
        <v>495607</v>
      </c>
      <c r="C1085" t="s">
        <v>564</v>
      </c>
      <c r="D1085" s="1" t="str">
        <f>"49281"</f>
        <v>49281</v>
      </c>
      <c r="E1085" t="s">
        <v>10</v>
      </c>
      <c r="F1085" t="s">
        <v>678</v>
      </c>
      <c r="G1085" s="1" t="str">
        <f>"007"</f>
        <v>007</v>
      </c>
      <c r="H1085" s="1">
        <v>2008</v>
      </c>
      <c r="I1085" s="6">
        <v>40155100</v>
      </c>
      <c r="J1085" s="6">
        <v>10913900</v>
      </c>
      <c r="K1085" s="6">
        <v>29241200</v>
      </c>
      <c r="L1085" s="7"/>
    </row>
    <row r="1086" spans="1:12" x14ac:dyDescent="0.25">
      <c r="A1086" t="s">
        <v>675</v>
      </c>
      <c r="B1086" s="5">
        <v>495607</v>
      </c>
      <c r="C1086" t="s">
        <v>564</v>
      </c>
      <c r="D1086" s="1" t="str">
        <f>"49281"</f>
        <v>49281</v>
      </c>
      <c r="E1086" t="s">
        <v>10</v>
      </c>
      <c r="F1086" t="s">
        <v>678</v>
      </c>
      <c r="G1086" s="1" t="str">
        <f>"008"</f>
        <v>008</v>
      </c>
      <c r="H1086" s="1">
        <v>2010</v>
      </c>
      <c r="I1086" s="6">
        <v>28487000</v>
      </c>
      <c r="J1086" s="6">
        <v>19785300</v>
      </c>
      <c r="K1086" s="6">
        <v>8701700</v>
      </c>
      <c r="L1086" s="7"/>
    </row>
    <row r="1087" spans="1:12" x14ac:dyDescent="0.25">
      <c r="A1087" t="s">
        <v>675</v>
      </c>
      <c r="B1087" s="5">
        <v>495607</v>
      </c>
      <c r="C1087" t="s">
        <v>564</v>
      </c>
      <c r="D1087" s="1" t="str">
        <f>"49281"</f>
        <v>49281</v>
      </c>
      <c r="E1087" t="s">
        <v>10</v>
      </c>
      <c r="F1087" t="s">
        <v>678</v>
      </c>
      <c r="G1087" s="1" t="str">
        <f>"009"</f>
        <v>009</v>
      </c>
      <c r="H1087" s="1">
        <v>2013</v>
      </c>
      <c r="I1087" s="6">
        <v>159537400</v>
      </c>
      <c r="J1087" s="6">
        <v>58229400</v>
      </c>
      <c r="K1087" s="6">
        <v>101308000</v>
      </c>
      <c r="L1087" s="7"/>
    </row>
    <row r="1088" spans="1:12" x14ac:dyDescent="0.25">
      <c r="A1088" t="s">
        <v>675</v>
      </c>
      <c r="B1088" s="5">
        <v>495607</v>
      </c>
      <c r="C1088" t="s">
        <v>564</v>
      </c>
      <c r="D1088" s="1" t="str">
        <f>"49191"</f>
        <v>49191</v>
      </c>
      <c r="E1088" t="s">
        <v>15</v>
      </c>
      <c r="F1088" t="s">
        <v>679</v>
      </c>
      <c r="G1088" s="1" t="str">
        <f>"001"</f>
        <v>001</v>
      </c>
      <c r="H1088" s="1">
        <v>1994</v>
      </c>
      <c r="I1088" s="6">
        <v>3141400</v>
      </c>
      <c r="J1088" s="6">
        <v>1704800</v>
      </c>
      <c r="K1088" s="6">
        <v>1436600</v>
      </c>
      <c r="L1088" s="7"/>
    </row>
    <row r="1089" spans="1:12" x14ac:dyDescent="0.25">
      <c r="A1089" t="s">
        <v>680</v>
      </c>
      <c r="B1089" s="5">
        <v>135621</v>
      </c>
      <c r="C1089" t="s">
        <v>89</v>
      </c>
      <c r="D1089" s="1" t="str">
        <f t="shared" ref="D1089:D1094" si="35">"13281"</f>
        <v>13281</v>
      </c>
      <c r="E1089" t="s">
        <v>10</v>
      </c>
      <c r="F1089" t="s">
        <v>681</v>
      </c>
      <c r="G1089" s="1" t="str">
        <f>"003"</f>
        <v>003</v>
      </c>
      <c r="H1089" s="1">
        <v>1993</v>
      </c>
      <c r="I1089" s="6">
        <v>22007500</v>
      </c>
      <c r="J1089" s="6">
        <v>94000</v>
      </c>
      <c r="K1089" s="6">
        <v>21913500</v>
      </c>
      <c r="L1089" s="7"/>
    </row>
    <row r="1090" spans="1:12" x14ac:dyDescent="0.25">
      <c r="A1090" t="s">
        <v>680</v>
      </c>
      <c r="B1090" s="5">
        <v>135621</v>
      </c>
      <c r="C1090" t="s">
        <v>89</v>
      </c>
      <c r="D1090" s="1" t="str">
        <f t="shared" si="35"/>
        <v>13281</v>
      </c>
      <c r="E1090" t="s">
        <v>10</v>
      </c>
      <c r="F1090" t="s">
        <v>681</v>
      </c>
      <c r="G1090" s="1" t="str">
        <f>"004"</f>
        <v>004</v>
      </c>
      <c r="H1090" s="1">
        <v>1999</v>
      </c>
      <c r="I1090" s="6">
        <v>17752700</v>
      </c>
      <c r="J1090" s="6">
        <v>9765300</v>
      </c>
      <c r="K1090" s="6">
        <v>7987400</v>
      </c>
      <c r="L1090" s="7"/>
    </row>
    <row r="1091" spans="1:12" x14ac:dyDescent="0.25">
      <c r="A1091" t="s">
        <v>680</v>
      </c>
      <c r="B1091" s="5">
        <v>135621</v>
      </c>
      <c r="C1091" t="s">
        <v>89</v>
      </c>
      <c r="D1091" s="1" t="str">
        <f t="shared" si="35"/>
        <v>13281</v>
      </c>
      <c r="E1091" t="s">
        <v>10</v>
      </c>
      <c r="F1091" t="s">
        <v>681</v>
      </c>
      <c r="G1091" s="1" t="str">
        <f>"005"</f>
        <v>005</v>
      </c>
      <c r="H1091" s="1">
        <v>2010</v>
      </c>
      <c r="I1091" s="6">
        <v>12513400</v>
      </c>
      <c r="J1091" s="6">
        <v>10269200</v>
      </c>
      <c r="K1091" s="6">
        <v>2244200</v>
      </c>
      <c r="L1091" s="7"/>
    </row>
    <row r="1092" spans="1:12" x14ac:dyDescent="0.25">
      <c r="A1092" t="s">
        <v>680</v>
      </c>
      <c r="B1092" s="5">
        <v>135621</v>
      </c>
      <c r="C1092" t="s">
        <v>89</v>
      </c>
      <c r="D1092" s="1" t="str">
        <f t="shared" si="35"/>
        <v>13281</v>
      </c>
      <c r="E1092" t="s">
        <v>10</v>
      </c>
      <c r="F1092" t="s">
        <v>681</v>
      </c>
      <c r="G1092" s="1" t="str">
        <f>"006"</f>
        <v>006</v>
      </c>
      <c r="H1092" s="1">
        <v>2015</v>
      </c>
      <c r="I1092" s="6">
        <v>1109600</v>
      </c>
      <c r="J1092" s="6">
        <v>10000</v>
      </c>
      <c r="K1092" s="6">
        <v>1099600</v>
      </c>
      <c r="L1092" s="7"/>
    </row>
    <row r="1093" spans="1:12" x14ac:dyDescent="0.25">
      <c r="A1093" t="s">
        <v>680</v>
      </c>
      <c r="B1093" s="5">
        <v>135621</v>
      </c>
      <c r="C1093" t="s">
        <v>89</v>
      </c>
      <c r="D1093" s="1" t="str">
        <f t="shared" si="35"/>
        <v>13281</v>
      </c>
      <c r="E1093" t="s">
        <v>10</v>
      </c>
      <c r="F1093" t="s">
        <v>681</v>
      </c>
      <c r="G1093" s="1" t="str">
        <f>"007"</f>
        <v>007</v>
      </c>
      <c r="H1093" s="1">
        <v>2015</v>
      </c>
      <c r="I1093" s="6">
        <v>25308200</v>
      </c>
      <c r="J1093" s="6">
        <v>1111800</v>
      </c>
      <c r="K1093" s="6">
        <v>24196400</v>
      </c>
      <c r="L1093" s="7"/>
    </row>
    <row r="1094" spans="1:12" x14ac:dyDescent="0.25">
      <c r="A1094" t="s">
        <v>680</v>
      </c>
      <c r="B1094" s="5">
        <v>135621</v>
      </c>
      <c r="C1094" t="s">
        <v>89</v>
      </c>
      <c r="D1094" s="1" t="str">
        <f t="shared" si="35"/>
        <v>13281</v>
      </c>
      <c r="E1094" t="s">
        <v>10</v>
      </c>
      <c r="F1094" t="s">
        <v>681</v>
      </c>
      <c r="G1094" s="1" t="str">
        <f>"008"</f>
        <v>008</v>
      </c>
      <c r="H1094" s="1">
        <v>2018</v>
      </c>
      <c r="I1094" s="6">
        <v>7364300</v>
      </c>
      <c r="J1094" s="6">
        <v>7376600</v>
      </c>
      <c r="K1094" s="6">
        <v>-12300</v>
      </c>
      <c r="L1094" s="7"/>
    </row>
    <row r="1095" spans="1:12" x14ac:dyDescent="0.25">
      <c r="A1095" t="s">
        <v>682</v>
      </c>
      <c r="B1095" s="5">
        <v>375628</v>
      </c>
      <c r="C1095" t="s">
        <v>12</v>
      </c>
      <c r="D1095" s="1" t="str">
        <f>"37182"</f>
        <v>37182</v>
      </c>
      <c r="E1095" t="s">
        <v>15</v>
      </c>
      <c r="F1095" t="s">
        <v>683</v>
      </c>
      <c r="G1095" s="1" t="str">
        <f>"003"</f>
        <v>003</v>
      </c>
      <c r="H1095" s="1">
        <v>2006</v>
      </c>
      <c r="I1095" s="6">
        <v>10028200</v>
      </c>
      <c r="J1095" s="6">
        <v>2413400</v>
      </c>
      <c r="K1095" s="6">
        <v>7614800</v>
      </c>
      <c r="L1095" s="7"/>
    </row>
    <row r="1096" spans="1:12" x14ac:dyDescent="0.25">
      <c r="A1096" t="s">
        <v>682</v>
      </c>
      <c r="B1096" s="5">
        <v>375628</v>
      </c>
      <c r="C1096" t="s">
        <v>12</v>
      </c>
      <c r="D1096" s="1" t="str">
        <f>"37182"</f>
        <v>37182</v>
      </c>
      <c r="E1096" t="s">
        <v>15</v>
      </c>
      <c r="F1096" t="s">
        <v>683</v>
      </c>
      <c r="G1096" s="1" t="str">
        <f>"004"</f>
        <v>004</v>
      </c>
      <c r="H1096" s="1">
        <v>2015</v>
      </c>
      <c r="I1096" s="6">
        <v>23069800</v>
      </c>
      <c r="J1096" s="6">
        <v>9055500</v>
      </c>
      <c r="K1096" s="6">
        <v>14014300</v>
      </c>
      <c r="L1096" s="7"/>
    </row>
    <row r="1097" spans="1:12" x14ac:dyDescent="0.25">
      <c r="A1097" t="s">
        <v>684</v>
      </c>
      <c r="B1097" s="5">
        <v>155642</v>
      </c>
      <c r="C1097" t="s">
        <v>301</v>
      </c>
      <c r="D1097" s="1" t="str">
        <f>"15281"</f>
        <v>15281</v>
      </c>
      <c r="E1097" t="s">
        <v>10</v>
      </c>
      <c r="F1097" t="s">
        <v>685</v>
      </c>
      <c r="G1097" s="1" t="str">
        <f>"001"</f>
        <v>001</v>
      </c>
      <c r="H1097" s="1">
        <v>1991</v>
      </c>
      <c r="I1097" s="6">
        <v>44534700</v>
      </c>
      <c r="J1097" s="6">
        <v>9634200</v>
      </c>
      <c r="K1097" s="6">
        <v>34900500</v>
      </c>
      <c r="L1097" s="7"/>
    </row>
    <row r="1098" spans="1:12" x14ac:dyDescent="0.25">
      <c r="A1098" t="s">
        <v>684</v>
      </c>
      <c r="B1098" s="5">
        <v>155642</v>
      </c>
      <c r="C1098" t="s">
        <v>301</v>
      </c>
      <c r="D1098" s="1" t="str">
        <f>"15281"</f>
        <v>15281</v>
      </c>
      <c r="E1098" t="s">
        <v>10</v>
      </c>
      <c r="F1098" t="s">
        <v>685</v>
      </c>
      <c r="G1098" s="1" t="str">
        <f>"002"</f>
        <v>002</v>
      </c>
      <c r="H1098" s="1">
        <v>1994</v>
      </c>
      <c r="I1098" s="6">
        <v>73143200</v>
      </c>
      <c r="J1098" s="6">
        <v>16123000</v>
      </c>
      <c r="K1098" s="6">
        <v>57020200</v>
      </c>
      <c r="L1098" s="7"/>
    </row>
    <row r="1099" spans="1:12" x14ac:dyDescent="0.25">
      <c r="A1099" t="s">
        <v>684</v>
      </c>
      <c r="B1099" s="5">
        <v>155642</v>
      </c>
      <c r="C1099" t="s">
        <v>301</v>
      </c>
      <c r="D1099" s="1" t="str">
        <f>"15281"</f>
        <v>15281</v>
      </c>
      <c r="E1099" t="s">
        <v>10</v>
      </c>
      <c r="F1099" t="s">
        <v>685</v>
      </c>
      <c r="G1099" s="1" t="str">
        <f>"003"</f>
        <v>003</v>
      </c>
      <c r="H1099" s="1">
        <v>2008</v>
      </c>
      <c r="I1099" s="6">
        <v>2980700</v>
      </c>
      <c r="J1099" s="6">
        <v>916900</v>
      </c>
      <c r="K1099" s="6">
        <v>2063800</v>
      </c>
      <c r="L1099" s="7"/>
    </row>
    <row r="1100" spans="1:12" x14ac:dyDescent="0.25">
      <c r="A1100" t="s">
        <v>684</v>
      </c>
      <c r="B1100" s="5">
        <v>155642</v>
      </c>
      <c r="C1100" t="s">
        <v>301</v>
      </c>
      <c r="D1100" s="1" t="str">
        <f>"15281"</f>
        <v>15281</v>
      </c>
      <c r="E1100" t="s">
        <v>10</v>
      </c>
      <c r="F1100" t="s">
        <v>685</v>
      </c>
      <c r="G1100" s="1" t="str">
        <f>"004"</f>
        <v>004</v>
      </c>
      <c r="H1100" s="1">
        <v>2013</v>
      </c>
      <c r="I1100" s="6">
        <v>5989000</v>
      </c>
      <c r="J1100" s="6">
        <v>415900</v>
      </c>
      <c r="K1100" s="6">
        <v>5573100</v>
      </c>
      <c r="L1100" s="7"/>
    </row>
    <row r="1101" spans="1:12" x14ac:dyDescent="0.25">
      <c r="A1101" t="s">
        <v>686</v>
      </c>
      <c r="B1101" s="5">
        <v>135656</v>
      </c>
      <c r="C1101" t="s">
        <v>89</v>
      </c>
      <c r="D1101" s="1" t="str">
        <f>"13112"</f>
        <v>13112</v>
      </c>
      <c r="E1101" t="s">
        <v>15</v>
      </c>
      <c r="F1101" t="s">
        <v>467</v>
      </c>
      <c r="G1101" s="1" t="str">
        <f>"005"</f>
        <v>005</v>
      </c>
      <c r="H1101" s="1">
        <v>2003</v>
      </c>
      <c r="I1101" s="6">
        <v>1604600</v>
      </c>
      <c r="J1101" s="6">
        <v>1537700</v>
      </c>
      <c r="K1101" s="6">
        <v>66900</v>
      </c>
      <c r="L1101" s="7"/>
    </row>
    <row r="1102" spans="1:12" x14ac:dyDescent="0.25">
      <c r="A1102" t="s">
        <v>686</v>
      </c>
      <c r="B1102" s="5">
        <v>135656</v>
      </c>
      <c r="C1102" t="s">
        <v>89</v>
      </c>
      <c r="D1102" s="1" t="str">
        <f>"13112"</f>
        <v>13112</v>
      </c>
      <c r="E1102" t="s">
        <v>15</v>
      </c>
      <c r="F1102" t="s">
        <v>467</v>
      </c>
      <c r="G1102" s="1" t="str">
        <f>"010"</f>
        <v>010</v>
      </c>
      <c r="H1102" s="1">
        <v>2018</v>
      </c>
      <c r="I1102" s="6">
        <v>1268000</v>
      </c>
      <c r="J1102" s="6">
        <v>1222000</v>
      </c>
      <c r="K1102" s="6">
        <v>46000</v>
      </c>
      <c r="L1102" s="7"/>
    </row>
    <row r="1103" spans="1:12" x14ac:dyDescent="0.25">
      <c r="A1103" t="s">
        <v>686</v>
      </c>
      <c r="B1103" s="5">
        <v>135656</v>
      </c>
      <c r="C1103" t="s">
        <v>89</v>
      </c>
      <c r="D1103" s="1" t="str">
        <f t="shared" ref="D1103:D1108" si="36">"13282"</f>
        <v>13282</v>
      </c>
      <c r="E1103" t="s">
        <v>10</v>
      </c>
      <c r="F1103" t="s">
        <v>687</v>
      </c>
      <c r="G1103" s="1" t="str">
        <f>"006"</f>
        <v>006</v>
      </c>
      <c r="H1103" s="1">
        <v>1997</v>
      </c>
      <c r="I1103" s="6">
        <v>7009400</v>
      </c>
      <c r="J1103" s="6">
        <v>117600</v>
      </c>
      <c r="K1103" s="6">
        <v>6891800</v>
      </c>
      <c r="L1103" s="7"/>
    </row>
    <row r="1104" spans="1:12" x14ac:dyDescent="0.25">
      <c r="A1104" t="s">
        <v>686</v>
      </c>
      <c r="B1104" s="5">
        <v>135656</v>
      </c>
      <c r="C1104" t="s">
        <v>89</v>
      </c>
      <c r="D1104" s="1" t="str">
        <f t="shared" si="36"/>
        <v>13282</v>
      </c>
      <c r="E1104" t="s">
        <v>10</v>
      </c>
      <c r="F1104" t="s">
        <v>687</v>
      </c>
      <c r="G1104" s="1" t="str">
        <f>"008"</f>
        <v>008</v>
      </c>
      <c r="H1104" s="1">
        <v>2002</v>
      </c>
      <c r="I1104" s="6">
        <v>114751900</v>
      </c>
      <c r="J1104" s="6">
        <v>22279000</v>
      </c>
      <c r="K1104" s="6">
        <v>92472900</v>
      </c>
      <c r="L1104" s="7"/>
    </row>
    <row r="1105" spans="1:12" x14ac:dyDescent="0.25">
      <c r="A1105" t="s">
        <v>686</v>
      </c>
      <c r="B1105" s="5">
        <v>135656</v>
      </c>
      <c r="C1105" t="s">
        <v>89</v>
      </c>
      <c r="D1105" s="1" t="str">
        <f t="shared" si="36"/>
        <v>13282</v>
      </c>
      <c r="E1105" t="s">
        <v>10</v>
      </c>
      <c r="F1105" t="s">
        <v>687</v>
      </c>
      <c r="G1105" s="1" t="str">
        <f>"009"</f>
        <v>009</v>
      </c>
      <c r="H1105" s="1">
        <v>2007</v>
      </c>
      <c r="I1105" s="6">
        <v>91421800</v>
      </c>
      <c r="J1105" s="6">
        <v>12294900</v>
      </c>
      <c r="K1105" s="6">
        <v>79126900</v>
      </c>
      <c r="L1105" s="7"/>
    </row>
    <row r="1106" spans="1:12" x14ac:dyDescent="0.25">
      <c r="A1106" t="s">
        <v>686</v>
      </c>
      <c r="B1106" s="5">
        <v>135656</v>
      </c>
      <c r="C1106" t="s">
        <v>89</v>
      </c>
      <c r="D1106" s="1" t="str">
        <f t="shared" si="36"/>
        <v>13282</v>
      </c>
      <c r="E1106" t="s">
        <v>10</v>
      </c>
      <c r="F1106" t="s">
        <v>687</v>
      </c>
      <c r="G1106" s="1" t="str">
        <f>"011"</f>
        <v>011</v>
      </c>
      <c r="H1106" s="1">
        <v>2015</v>
      </c>
      <c r="I1106" s="6">
        <v>56851800</v>
      </c>
      <c r="J1106" s="6">
        <v>32499300</v>
      </c>
      <c r="K1106" s="6">
        <v>24352500</v>
      </c>
      <c r="L1106" s="7"/>
    </row>
    <row r="1107" spans="1:12" x14ac:dyDescent="0.25">
      <c r="A1107" t="s">
        <v>686</v>
      </c>
      <c r="B1107" s="5">
        <v>135656</v>
      </c>
      <c r="C1107" t="s">
        <v>89</v>
      </c>
      <c r="D1107" s="1" t="str">
        <f t="shared" si="36"/>
        <v>13282</v>
      </c>
      <c r="E1107" t="s">
        <v>10</v>
      </c>
      <c r="F1107" t="s">
        <v>687</v>
      </c>
      <c r="G1107" s="1" t="str">
        <f>"012"</f>
        <v>012</v>
      </c>
      <c r="H1107" s="1">
        <v>2016</v>
      </c>
      <c r="I1107" s="6">
        <v>13502000</v>
      </c>
      <c r="J1107" s="6">
        <v>3774500</v>
      </c>
      <c r="K1107" s="6">
        <v>9727500</v>
      </c>
      <c r="L1107" s="7"/>
    </row>
    <row r="1108" spans="1:12" x14ac:dyDescent="0.25">
      <c r="A1108" t="s">
        <v>686</v>
      </c>
      <c r="B1108" s="5">
        <v>135656</v>
      </c>
      <c r="C1108" t="s">
        <v>89</v>
      </c>
      <c r="D1108" s="1" t="str">
        <f t="shared" si="36"/>
        <v>13282</v>
      </c>
      <c r="E1108" t="s">
        <v>10</v>
      </c>
      <c r="F1108" t="s">
        <v>687</v>
      </c>
      <c r="G1108" s="1" t="str">
        <f>"013"</f>
        <v>013</v>
      </c>
      <c r="H1108" s="1">
        <v>2017</v>
      </c>
      <c r="I1108" s="6">
        <v>17600000</v>
      </c>
      <c r="J1108" s="6">
        <v>618200</v>
      </c>
      <c r="K1108" s="6">
        <v>16981800</v>
      </c>
      <c r="L1108" s="7"/>
    </row>
    <row r="1109" spans="1:12" x14ac:dyDescent="0.25">
      <c r="A1109" t="s">
        <v>688</v>
      </c>
      <c r="B1109" s="5">
        <v>165663</v>
      </c>
      <c r="C1109" t="s">
        <v>657</v>
      </c>
      <c r="D1109" s="1" t="str">
        <f t="shared" ref="D1109:D1114" si="37">"16281"</f>
        <v>16281</v>
      </c>
      <c r="E1109" t="s">
        <v>10</v>
      </c>
      <c r="F1109" t="s">
        <v>689</v>
      </c>
      <c r="G1109" s="1" t="str">
        <f>"007"</f>
        <v>007</v>
      </c>
      <c r="H1109" s="1">
        <v>1996</v>
      </c>
      <c r="I1109" s="6">
        <v>19364000</v>
      </c>
      <c r="J1109" s="6">
        <v>7399500</v>
      </c>
      <c r="K1109" s="6">
        <v>11964500</v>
      </c>
      <c r="L1109" s="7"/>
    </row>
    <row r="1110" spans="1:12" x14ac:dyDescent="0.25">
      <c r="A1110" t="s">
        <v>688</v>
      </c>
      <c r="B1110" s="5">
        <v>165663</v>
      </c>
      <c r="C1110" t="s">
        <v>657</v>
      </c>
      <c r="D1110" s="1" t="str">
        <f t="shared" si="37"/>
        <v>16281</v>
      </c>
      <c r="E1110" t="s">
        <v>10</v>
      </c>
      <c r="F1110" t="s">
        <v>689</v>
      </c>
      <c r="G1110" s="1" t="str">
        <f>"008"</f>
        <v>008</v>
      </c>
      <c r="H1110" s="1">
        <v>1997</v>
      </c>
      <c r="I1110" s="6">
        <v>23279300</v>
      </c>
      <c r="J1110" s="6">
        <v>1882700</v>
      </c>
      <c r="K1110" s="6">
        <v>21396600</v>
      </c>
      <c r="L1110" s="7"/>
    </row>
    <row r="1111" spans="1:12" x14ac:dyDescent="0.25">
      <c r="A1111" t="s">
        <v>688</v>
      </c>
      <c r="B1111" s="5">
        <v>165663</v>
      </c>
      <c r="C1111" t="s">
        <v>657</v>
      </c>
      <c r="D1111" s="1" t="str">
        <f t="shared" si="37"/>
        <v>16281</v>
      </c>
      <c r="E1111" t="s">
        <v>10</v>
      </c>
      <c r="F1111" t="s">
        <v>689</v>
      </c>
      <c r="G1111" s="1" t="str">
        <f>"009"</f>
        <v>009</v>
      </c>
      <c r="H1111" s="1">
        <v>2002</v>
      </c>
      <c r="I1111" s="6">
        <v>26450100</v>
      </c>
      <c r="J1111" s="6">
        <v>8175600</v>
      </c>
      <c r="K1111" s="6">
        <v>18274500</v>
      </c>
      <c r="L1111" s="7"/>
    </row>
    <row r="1112" spans="1:12" x14ac:dyDescent="0.25">
      <c r="A1112" t="s">
        <v>688</v>
      </c>
      <c r="B1112" s="5">
        <v>165663</v>
      </c>
      <c r="C1112" t="s">
        <v>657</v>
      </c>
      <c r="D1112" s="1" t="str">
        <f t="shared" si="37"/>
        <v>16281</v>
      </c>
      <c r="E1112" t="s">
        <v>10</v>
      </c>
      <c r="F1112" t="s">
        <v>689</v>
      </c>
      <c r="G1112" s="1" t="str">
        <f>"011"</f>
        <v>011</v>
      </c>
      <c r="H1112" s="1">
        <v>2008</v>
      </c>
      <c r="I1112" s="6">
        <v>10082100</v>
      </c>
      <c r="J1112" s="6">
        <v>2387000</v>
      </c>
      <c r="K1112" s="6">
        <v>7695100</v>
      </c>
      <c r="L1112" s="7"/>
    </row>
    <row r="1113" spans="1:12" x14ac:dyDescent="0.25">
      <c r="A1113" t="s">
        <v>688</v>
      </c>
      <c r="B1113" s="5">
        <v>165663</v>
      </c>
      <c r="C1113" t="s">
        <v>657</v>
      </c>
      <c r="D1113" s="1" t="str">
        <f t="shared" si="37"/>
        <v>16281</v>
      </c>
      <c r="E1113" t="s">
        <v>10</v>
      </c>
      <c r="F1113" t="s">
        <v>689</v>
      </c>
      <c r="G1113" s="1" t="str">
        <f>"012"</f>
        <v>012</v>
      </c>
      <c r="H1113" s="1">
        <v>2012</v>
      </c>
      <c r="I1113" s="6">
        <v>0</v>
      </c>
      <c r="J1113" s="6">
        <v>0</v>
      </c>
      <c r="K1113" s="6">
        <v>0</v>
      </c>
      <c r="L1113" s="7"/>
    </row>
    <row r="1114" spans="1:12" x14ac:dyDescent="0.25">
      <c r="A1114" t="s">
        <v>688</v>
      </c>
      <c r="B1114" s="5">
        <v>165663</v>
      </c>
      <c r="C1114" t="s">
        <v>657</v>
      </c>
      <c r="D1114" s="1" t="str">
        <f t="shared" si="37"/>
        <v>16281</v>
      </c>
      <c r="E1114" t="s">
        <v>10</v>
      </c>
      <c r="F1114" t="s">
        <v>689</v>
      </c>
      <c r="G1114" s="1" t="str">
        <f>"013"</f>
        <v>013</v>
      </c>
      <c r="H1114" s="1">
        <v>2014</v>
      </c>
      <c r="I1114" s="6">
        <v>8529700</v>
      </c>
      <c r="J1114" s="6">
        <v>2400400</v>
      </c>
      <c r="K1114" s="6">
        <v>6129300</v>
      </c>
      <c r="L1114" s="7"/>
    </row>
    <row r="1115" spans="1:12" x14ac:dyDescent="0.25">
      <c r="A1115" t="s">
        <v>690</v>
      </c>
      <c r="B1115" s="5">
        <v>425670</v>
      </c>
      <c r="C1115" t="s">
        <v>304</v>
      </c>
      <c r="D1115" s="1" t="str">
        <f>"42181"</f>
        <v>42181</v>
      </c>
      <c r="E1115" t="s">
        <v>15</v>
      </c>
      <c r="F1115" t="s">
        <v>691</v>
      </c>
      <c r="G1115" s="1" t="str">
        <f>"001"</f>
        <v>001</v>
      </c>
      <c r="H1115" s="1">
        <v>2000</v>
      </c>
      <c r="I1115" s="6">
        <v>2351700</v>
      </c>
      <c r="J1115" s="6">
        <v>1449235</v>
      </c>
      <c r="K1115" s="6">
        <v>902465</v>
      </c>
      <c r="L1115" s="7"/>
    </row>
    <row r="1116" spans="1:12" x14ac:dyDescent="0.25">
      <c r="A1116" t="s">
        <v>692</v>
      </c>
      <c r="B1116" s="5">
        <v>105726</v>
      </c>
      <c r="C1116" t="s">
        <v>9</v>
      </c>
      <c r="D1116" s="1" t="str">
        <f>"10286"</f>
        <v>10286</v>
      </c>
      <c r="E1116" t="s">
        <v>10</v>
      </c>
      <c r="F1116" t="s">
        <v>693</v>
      </c>
      <c r="G1116" s="1" t="str">
        <f>"004"</f>
        <v>004</v>
      </c>
      <c r="H1116" s="1">
        <v>1994</v>
      </c>
      <c r="I1116" s="6">
        <v>6358400</v>
      </c>
      <c r="J1116" s="6">
        <v>636000</v>
      </c>
      <c r="K1116" s="6">
        <v>5722400</v>
      </c>
      <c r="L1116" s="7"/>
    </row>
    <row r="1117" spans="1:12" x14ac:dyDescent="0.25">
      <c r="A1117" t="s">
        <v>692</v>
      </c>
      <c r="B1117" s="5">
        <v>105726</v>
      </c>
      <c r="C1117" t="s">
        <v>9</v>
      </c>
      <c r="D1117" s="1" t="str">
        <f>"10286"</f>
        <v>10286</v>
      </c>
      <c r="E1117" t="s">
        <v>10</v>
      </c>
      <c r="F1117" t="s">
        <v>693</v>
      </c>
      <c r="G1117" s="1" t="str">
        <f>"005"</f>
        <v>005</v>
      </c>
      <c r="H1117" s="1">
        <v>1999</v>
      </c>
      <c r="I1117" s="6">
        <v>8460600</v>
      </c>
      <c r="J1117" s="6">
        <v>285400</v>
      </c>
      <c r="K1117" s="6">
        <v>8175200</v>
      </c>
      <c r="L1117" s="7"/>
    </row>
    <row r="1118" spans="1:12" x14ac:dyDescent="0.25">
      <c r="A1118" t="s">
        <v>692</v>
      </c>
      <c r="B1118" s="5">
        <v>105726</v>
      </c>
      <c r="C1118" t="s">
        <v>9</v>
      </c>
      <c r="D1118" s="1" t="str">
        <f>"10286"</f>
        <v>10286</v>
      </c>
      <c r="E1118" t="s">
        <v>10</v>
      </c>
      <c r="F1118" t="s">
        <v>693</v>
      </c>
      <c r="G1118" s="1" t="str">
        <f>"006"</f>
        <v>006</v>
      </c>
      <c r="H1118" s="1">
        <v>2000</v>
      </c>
      <c r="I1118" s="6">
        <v>6559400</v>
      </c>
      <c r="J1118" s="6">
        <v>1582000</v>
      </c>
      <c r="K1118" s="6">
        <v>4977400</v>
      </c>
      <c r="L1118" s="7"/>
    </row>
    <row r="1119" spans="1:12" x14ac:dyDescent="0.25">
      <c r="A1119" t="s">
        <v>694</v>
      </c>
      <c r="B1119" s="5">
        <v>585740</v>
      </c>
      <c r="C1119" t="s">
        <v>117</v>
      </c>
      <c r="D1119" s="1" t="str">
        <f>"58186"</f>
        <v>58186</v>
      </c>
      <c r="E1119" t="s">
        <v>15</v>
      </c>
      <c r="F1119" t="s">
        <v>695</v>
      </c>
      <c r="G1119" s="1" t="str">
        <f>"001"</f>
        <v>001</v>
      </c>
      <c r="H1119" s="1">
        <v>1996</v>
      </c>
      <c r="I1119" s="6">
        <v>2129900</v>
      </c>
      <c r="J1119" s="6">
        <v>124900</v>
      </c>
      <c r="K1119" s="6">
        <v>2005000</v>
      </c>
      <c r="L1119" s="7"/>
    </row>
    <row r="1120" spans="1:12" x14ac:dyDescent="0.25">
      <c r="A1120" t="s">
        <v>694</v>
      </c>
      <c r="B1120" s="5">
        <v>585740</v>
      </c>
      <c r="C1120" t="s">
        <v>117</v>
      </c>
      <c r="D1120" s="1" t="str">
        <f>"58186"</f>
        <v>58186</v>
      </c>
      <c r="E1120" t="s">
        <v>15</v>
      </c>
      <c r="F1120" t="s">
        <v>695</v>
      </c>
      <c r="G1120" s="1" t="str">
        <f>"002"</f>
        <v>002</v>
      </c>
      <c r="H1120" s="1">
        <v>2014</v>
      </c>
      <c r="I1120" s="6">
        <v>1303500</v>
      </c>
      <c r="J1120" s="6">
        <v>637900</v>
      </c>
      <c r="K1120" s="6">
        <v>665600</v>
      </c>
      <c r="L1120" s="7"/>
    </row>
    <row r="1121" spans="1:12" x14ac:dyDescent="0.25">
      <c r="A1121" t="s">
        <v>696</v>
      </c>
      <c r="B1121" s="5">
        <v>415747</v>
      </c>
      <c r="C1121" t="s">
        <v>237</v>
      </c>
      <c r="D1121" s="1" t="str">
        <f>"29111"</f>
        <v>29111</v>
      </c>
      <c r="E1121" t="s">
        <v>15</v>
      </c>
      <c r="F1121" t="s">
        <v>697</v>
      </c>
      <c r="G1121" s="1" t="str">
        <f>"001"</f>
        <v>001</v>
      </c>
      <c r="H1121" s="1">
        <v>1995</v>
      </c>
      <c r="I1121" s="6">
        <v>5722200</v>
      </c>
      <c r="J1121" s="6">
        <v>630200</v>
      </c>
      <c r="K1121" s="6">
        <v>5092000</v>
      </c>
      <c r="L1121" s="7"/>
    </row>
    <row r="1122" spans="1:12" x14ac:dyDescent="0.25">
      <c r="A1122" t="s">
        <v>696</v>
      </c>
      <c r="B1122" s="5">
        <v>415747</v>
      </c>
      <c r="C1122" t="s">
        <v>70</v>
      </c>
      <c r="D1122" s="1" t="str">
        <f>"41286"</f>
        <v>41286</v>
      </c>
      <c r="E1122" t="s">
        <v>10</v>
      </c>
      <c r="F1122" t="s">
        <v>698</v>
      </c>
      <c r="G1122" s="1" t="str">
        <f>"008"</f>
        <v>008</v>
      </c>
      <c r="H1122" s="1">
        <v>2015</v>
      </c>
      <c r="I1122" s="6">
        <v>53436600</v>
      </c>
      <c r="J1122" s="6">
        <v>39940700</v>
      </c>
      <c r="K1122" s="6">
        <v>13495900</v>
      </c>
      <c r="L1122" s="7"/>
    </row>
    <row r="1123" spans="1:12" x14ac:dyDescent="0.25">
      <c r="A1123" t="s">
        <v>696</v>
      </c>
      <c r="B1123" s="5">
        <v>415747</v>
      </c>
      <c r="C1123" t="s">
        <v>70</v>
      </c>
      <c r="D1123" s="1" t="str">
        <f>"41286"</f>
        <v>41286</v>
      </c>
      <c r="E1123" t="s">
        <v>10</v>
      </c>
      <c r="F1123" t="s">
        <v>698</v>
      </c>
      <c r="G1123" s="1" t="str">
        <f>"009"</f>
        <v>009</v>
      </c>
      <c r="H1123" s="1">
        <v>2018</v>
      </c>
      <c r="I1123" s="6">
        <v>49736300</v>
      </c>
      <c r="J1123" s="6">
        <v>45249100</v>
      </c>
      <c r="K1123" s="6">
        <v>4487200</v>
      </c>
      <c r="L1123" s="7"/>
    </row>
    <row r="1124" spans="1:12" x14ac:dyDescent="0.25">
      <c r="A1124" t="s">
        <v>696</v>
      </c>
      <c r="B1124" s="5">
        <v>415747</v>
      </c>
      <c r="C1124" t="s">
        <v>70</v>
      </c>
      <c r="D1124" s="1" t="str">
        <f>"41286"</f>
        <v>41286</v>
      </c>
      <c r="E1124" t="s">
        <v>10</v>
      </c>
      <c r="F1124" t="s">
        <v>698</v>
      </c>
      <c r="G1124" s="1" t="str">
        <f>"010"</f>
        <v>010</v>
      </c>
      <c r="H1124" s="1">
        <v>2018</v>
      </c>
      <c r="I1124" s="6">
        <v>7486200</v>
      </c>
      <c r="J1124" s="6">
        <v>1657500</v>
      </c>
      <c r="K1124" s="6">
        <v>5828700</v>
      </c>
      <c r="L1124" s="7"/>
    </row>
    <row r="1125" spans="1:12" x14ac:dyDescent="0.25">
      <c r="A1125" t="s">
        <v>696</v>
      </c>
      <c r="B1125" s="5">
        <v>415747</v>
      </c>
      <c r="C1125" t="s">
        <v>70</v>
      </c>
      <c r="D1125" s="1" t="str">
        <f>"41185"</f>
        <v>41185</v>
      </c>
      <c r="E1125" t="s">
        <v>15</v>
      </c>
      <c r="F1125" t="s">
        <v>699</v>
      </c>
      <c r="G1125" s="1" t="str">
        <f>"001"</f>
        <v>001</v>
      </c>
      <c r="H1125" s="1">
        <v>1998</v>
      </c>
      <c r="I1125" s="6">
        <v>47014000</v>
      </c>
      <c r="J1125" s="6">
        <v>8113400</v>
      </c>
      <c r="K1125" s="6">
        <v>38900600</v>
      </c>
      <c r="L1125" s="7"/>
    </row>
    <row r="1126" spans="1:12" x14ac:dyDescent="0.25">
      <c r="A1126" t="s">
        <v>700</v>
      </c>
      <c r="B1126" s="5">
        <v>355754</v>
      </c>
      <c r="C1126" t="s">
        <v>453</v>
      </c>
      <c r="D1126" s="1" t="str">
        <f t="shared" ref="D1126:D1131" si="38">"35286"</f>
        <v>35286</v>
      </c>
      <c r="E1126" t="s">
        <v>10</v>
      </c>
      <c r="F1126" t="s">
        <v>701</v>
      </c>
      <c r="G1126" s="1" t="str">
        <f>"001"</f>
        <v>001</v>
      </c>
      <c r="H1126" s="1">
        <v>1995</v>
      </c>
      <c r="I1126" s="6">
        <v>5889600</v>
      </c>
      <c r="J1126" s="6">
        <v>772400</v>
      </c>
      <c r="K1126" s="6">
        <v>5117200</v>
      </c>
      <c r="L1126" s="7"/>
    </row>
    <row r="1127" spans="1:12" x14ac:dyDescent="0.25">
      <c r="A1127" t="s">
        <v>700</v>
      </c>
      <c r="B1127" s="5">
        <v>355754</v>
      </c>
      <c r="C1127" t="s">
        <v>453</v>
      </c>
      <c r="D1127" s="1" t="str">
        <f t="shared" si="38"/>
        <v>35286</v>
      </c>
      <c r="E1127" t="s">
        <v>10</v>
      </c>
      <c r="F1127" t="s">
        <v>701</v>
      </c>
      <c r="G1127" s="1" t="str">
        <f>"001E"</f>
        <v>001E</v>
      </c>
      <c r="H1127" s="1">
        <v>2005</v>
      </c>
      <c r="I1127" s="6">
        <v>642200</v>
      </c>
      <c r="J1127" s="6">
        <v>154400</v>
      </c>
      <c r="K1127" s="6">
        <v>487800</v>
      </c>
      <c r="L1127" s="7"/>
    </row>
    <row r="1128" spans="1:12" x14ac:dyDescent="0.25">
      <c r="A1128" t="s">
        <v>700</v>
      </c>
      <c r="B1128" s="5">
        <v>355754</v>
      </c>
      <c r="C1128" t="s">
        <v>453</v>
      </c>
      <c r="D1128" s="1" t="str">
        <f t="shared" si="38"/>
        <v>35286</v>
      </c>
      <c r="E1128" t="s">
        <v>10</v>
      </c>
      <c r="F1128" t="s">
        <v>701</v>
      </c>
      <c r="G1128" s="1" t="str">
        <f>"002"</f>
        <v>002</v>
      </c>
      <c r="H1128" s="1">
        <v>1997</v>
      </c>
      <c r="I1128" s="6">
        <v>18442500</v>
      </c>
      <c r="J1128" s="6">
        <v>8285900</v>
      </c>
      <c r="K1128" s="6">
        <v>10156600</v>
      </c>
      <c r="L1128" s="7"/>
    </row>
    <row r="1129" spans="1:12" x14ac:dyDescent="0.25">
      <c r="A1129" t="s">
        <v>700</v>
      </c>
      <c r="B1129" s="5">
        <v>355754</v>
      </c>
      <c r="C1129" t="s">
        <v>453</v>
      </c>
      <c r="D1129" s="1" t="str">
        <f t="shared" si="38"/>
        <v>35286</v>
      </c>
      <c r="E1129" t="s">
        <v>10</v>
      </c>
      <c r="F1129" t="s">
        <v>701</v>
      </c>
      <c r="G1129" s="1" t="str">
        <f>"003"</f>
        <v>003</v>
      </c>
      <c r="H1129" s="1">
        <v>2008</v>
      </c>
      <c r="I1129" s="6">
        <v>2233800</v>
      </c>
      <c r="J1129" s="6">
        <v>178200</v>
      </c>
      <c r="K1129" s="6">
        <v>2055600</v>
      </c>
      <c r="L1129" s="7"/>
    </row>
    <row r="1130" spans="1:12" x14ac:dyDescent="0.25">
      <c r="A1130" t="s">
        <v>700</v>
      </c>
      <c r="B1130" s="5">
        <v>355754</v>
      </c>
      <c r="C1130" t="s">
        <v>453</v>
      </c>
      <c r="D1130" s="1" t="str">
        <f t="shared" si="38"/>
        <v>35286</v>
      </c>
      <c r="E1130" t="s">
        <v>10</v>
      </c>
      <c r="F1130" t="s">
        <v>701</v>
      </c>
      <c r="G1130" s="1" t="str">
        <f>"004"</f>
        <v>004</v>
      </c>
      <c r="H1130" s="1">
        <v>2013</v>
      </c>
      <c r="I1130" s="6">
        <v>6263200</v>
      </c>
      <c r="J1130" s="6">
        <v>2052200</v>
      </c>
      <c r="K1130" s="6">
        <v>4211000</v>
      </c>
      <c r="L1130" s="7"/>
    </row>
    <row r="1131" spans="1:12" x14ac:dyDescent="0.25">
      <c r="A1131" t="s">
        <v>700</v>
      </c>
      <c r="B1131" s="5">
        <v>355754</v>
      </c>
      <c r="C1131" t="s">
        <v>453</v>
      </c>
      <c r="D1131" s="1" t="str">
        <f t="shared" si="38"/>
        <v>35286</v>
      </c>
      <c r="E1131" t="s">
        <v>10</v>
      </c>
      <c r="F1131" t="s">
        <v>701</v>
      </c>
      <c r="G1131" s="1" t="str">
        <f>"005"</f>
        <v>005</v>
      </c>
      <c r="H1131" s="1">
        <v>2015</v>
      </c>
      <c r="I1131" s="6">
        <v>670700</v>
      </c>
      <c r="J1131" s="6">
        <v>610200</v>
      </c>
      <c r="K1131" s="6">
        <v>60500</v>
      </c>
      <c r="L1131" s="7"/>
    </row>
    <row r="1132" spans="1:12" x14ac:dyDescent="0.25">
      <c r="A1132" t="s">
        <v>702</v>
      </c>
      <c r="B1132" s="5">
        <v>490126</v>
      </c>
      <c r="C1132" t="s">
        <v>564</v>
      </c>
      <c r="D1132" s="1" t="str">
        <f>"49102"</f>
        <v>49102</v>
      </c>
      <c r="E1132" t="s">
        <v>15</v>
      </c>
      <c r="F1132" t="s">
        <v>703</v>
      </c>
      <c r="G1132" s="1" t="str">
        <f>"002"</f>
        <v>002</v>
      </c>
      <c r="H1132" s="1">
        <v>2003</v>
      </c>
      <c r="I1132" s="6">
        <v>741300</v>
      </c>
      <c r="J1132" s="6">
        <v>17200</v>
      </c>
      <c r="K1132" s="6">
        <v>724100</v>
      </c>
      <c r="L1132" s="7"/>
    </row>
    <row r="1133" spans="1:12" x14ac:dyDescent="0.25">
      <c r="A1133" t="s">
        <v>704</v>
      </c>
      <c r="B1133" s="5">
        <v>305780</v>
      </c>
      <c r="C1133" t="s">
        <v>129</v>
      </c>
      <c r="D1133" s="1" t="str">
        <f>"30179"</f>
        <v>30179</v>
      </c>
      <c r="E1133" t="s">
        <v>15</v>
      </c>
      <c r="F1133" t="s">
        <v>705</v>
      </c>
      <c r="G1133" s="1" t="str">
        <f>"001"</f>
        <v>001</v>
      </c>
      <c r="H1133" s="1">
        <v>2015</v>
      </c>
      <c r="I1133" s="6">
        <v>7402100</v>
      </c>
      <c r="J1133" s="6">
        <v>29500</v>
      </c>
      <c r="K1133" s="6">
        <v>7372600</v>
      </c>
      <c r="L1133" s="7"/>
    </row>
    <row r="1134" spans="1:12" x14ac:dyDescent="0.25">
      <c r="A1134" t="s">
        <v>706</v>
      </c>
      <c r="B1134" s="5">
        <v>694375</v>
      </c>
      <c r="C1134" t="s">
        <v>101</v>
      </c>
      <c r="D1134" s="1" t="str">
        <f>"69136"</f>
        <v>69136</v>
      </c>
      <c r="E1134" t="s">
        <v>15</v>
      </c>
      <c r="F1134" t="s">
        <v>707</v>
      </c>
      <c r="G1134" s="1" t="str">
        <f>"001"</f>
        <v>001</v>
      </c>
      <c r="H1134" s="1">
        <v>2016</v>
      </c>
      <c r="I1134" s="6">
        <v>770200</v>
      </c>
      <c r="J1134" s="6">
        <v>473900</v>
      </c>
      <c r="K1134" s="6">
        <v>296300</v>
      </c>
      <c r="L1134" s="7"/>
    </row>
    <row r="1135" spans="1:12" x14ac:dyDescent="0.25">
      <c r="A1135" t="s">
        <v>706</v>
      </c>
      <c r="B1135" s="5">
        <v>694375</v>
      </c>
      <c r="C1135" t="s">
        <v>101</v>
      </c>
      <c r="D1135" s="1" t="str">
        <f>"69171"</f>
        <v>69171</v>
      </c>
      <c r="E1135" t="s">
        <v>15</v>
      </c>
      <c r="F1135" t="s">
        <v>708</v>
      </c>
      <c r="G1135" s="1" t="str">
        <f>"001"</f>
        <v>001</v>
      </c>
      <c r="H1135" s="1">
        <v>2015</v>
      </c>
      <c r="I1135" s="6">
        <v>3976300</v>
      </c>
      <c r="J1135" s="6">
        <v>1952900</v>
      </c>
      <c r="K1135" s="6">
        <v>2023400</v>
      </c>
      <c r="L1135" s="7"/>
    </row>
    <row r="1136" spans="1:12" x14ac:dyDescent="0.25">
      <c r="A1136" t="s">
        <v>709</v>
      </c>
      <c r="B1136" s="5">
        <v>35810</v>
      </c>
      <c r="C1136" t="s">
        <v>80</v>
      </c>
      <c r="D1136" s="1" t="str">
        <f>"03186"</f>
        <v>03186</v>
      </c>
      <c r="E1136" t="s">
        <v>15</v>
      </c>
      <c r="F1136" t="s">
        <v>710</v>
      </c>
      <c r="G1136" s="1" t="str">
        <f>"003"</f>
        <v>003</v>
      </c>
      <c r="H1136" s="1">
        <v>2009</v>
      </c>
      <c r="I1136" s="6">
        <v>121600</v>
      </c>
      <c r="J1136" s="6">
        <v>102700</v>
      </c>
      <c r="K1136" s="6">
        <v>18900</v>
      </c>
      <c r="L1136" s="7"/>
    </row>
    <row r="1137" spans="1:12" x14ac:dyDescent="0.25">
      <c r="A1137" t="s">
        <v>709</v>
      </c>
      <c r="B1137" s="5">
        <v>35810</v>
      </c>
      <c r="C1137" t="s">
        <v>32</v>
      </c>
      <c r="D1137" s="1" t="str">
        <f>"48168"</f>
        <v>48168</v>
      </c>
      <c r="E1137" t="s">
        <v>15</v>
      </c>
      <c r="F1137" t="s">
        <v>710</v>
      </c>
      <c r="G1137" s="1" t="str">
        <f>"003"</f>
        <v>003</v>
      </c>
      <c r="H1137" s="1">
        <v>2009</v>
      </c>
      <c r="I1137" s="6">
        <v>21609300</v>
      </c>
      <c r="J1137" s="6">
        <v>4222500</v>
      </c>
      <c r="K1137" s="6">
        <v>17386800</v>
      </c>
      <c r="L1137" s="7"/>
    </row>
    <row r="1138" spans="1:12" x14ac:dyDescent="0.25">
      <c r="A1138" t="s">
        <v>711</v>
      </c>
      <c r="B1138" s="5">
        <v>305817</v>
      </c>
      <c r="C1138" t="s">
        <v>129</v>
      </c>
      <c r="D1138" s="1" t="str">
        <f>"30186"</f>
        <v>30186</v>
      </c>
      <c r="E1138" t="s">
        <v>15</v>
      </c>
      <c r="F1138" t="s">
        <v>588</v>
      </c>
      <c r="G1138" s="1" t="str">
        <f>"001"</f>
        <v>001</v>
      </c>
      <c r="H1138" s="1">
        <v>2007</v>
      </c>
      <c r="I1138" s="6">
        <v>43314600</v>
      </c>
      <c r="J1138" s="6">
        <v>35244700</v>
      </c>
      <c r="K1138" s="6">
        <v>8069900</v>
      </c>
      <c r="L1138" s="7"/>
    </row>
    <row r="1139" spans="1:12" x14ac:dyDescent="0.25">
      <c r="A1139" t="s">
        <v>712</v>
      </c>
      <c r="B1139" s="5">
        <v>365824</v>
      </c>
      <c r="C1139" t="s">
        <v>234</v>
      </c>
      <c r="D1139" s="1" t="str">
        <f t="shared" ref="D1139:D1147" si="39">"36286"</f>
        <v>36286</v>
      </c>
      <c r="E1139" t="s">
        <v>10</v>
      </c>
      <c r="F1139" t="s">
        <v>713</v>
      </c>
      <c r="G1139" s="1" t="str">
        <f>"003"</f>
        <v>003</v>
      </c>
      <c r="H1139" s="1">
        <v>1992</v>
      </c>
      <c r="I1139" s="6">
        <v>2797600</v>
      </c>
      <c r="J1139" s="6">
        <v>2305500</v>
      </c>
      <c r="K1139" s="6">
        <v>492100</v>
      </c>
      <c r="L1139" s="7"/>
    </row>
    <row r="1140" spans="1:12" x14ac:dyDescent="0.25">
      <c r="A1140" t="s">
        <v>712</v>
      </c>
      <c r="B1140" s="5">
        <v>365824</v>
      </c>
      <c r="C1140" t="s">
        <v>234</v>
      </c>
      <c r="D1140" s="1" t="str">
        <f t="shared" si="39"/>
        <v>36286</v>
      </c>
      <c r="E1140" t="s">
        <v>10</v>
      </c>
      <c r="F1140" t="s">
        <v>713</v>
      </c>
      <c r="G1140" s="1" t="str">
        <f>"004"</f>
        <v>004</v>
      </c>
      <c r="H1140" s="1">
        <v>1994</v>
      </c>
      <c r="I1140" s="6">
        <v>2904600</v>
      </c>
      <c r="J1140" s="6">
        <v>1146900</v>
      </c>
      <c r="K1140" s="6">
        <v>1757700</v>
      </c>
      <c r="L1140" s="7"/>
    </row>
    <row r="1141" spans="1:12" x14ac:dyDescent="0.25">
      <c r="A1141" t="s">
        <v>712</v>
      </c>
      <c r="B1141" s="5">
        <v>365824</v>
      </c>
      <c r="C1141" t="s">
        <v>234</v>
      </c>
      <c r="D1141" s="1" t="str">
        <f t="shared" si="39"/>
        <v>36286</v>
      </c>
      <c r="E1141" t="s">
        <v>10</v>
      </c>
      <c r="F1141" t="s">
        <v>713</v>
      </c>
      <c r="G1141" s="1" t="str">
        <f>"006"</f>
        <v>006</v>
      </c>
      <c r="H1141" s="1">
        <v>2000</v>
      </c>
      <c r="I1141" s="6">
        <v>1163000</v>
      </c>
      <c r="J1141" s="6">
        <v>0</v>
      </c>
      <c r="K1141" s="6">
        <v>1163000</v>
      </c>
      <c r="L1141" s="7"/>
    </row>
    <row r="1142" spans="1:12" x14ac:dyDescent="0.25">
      <c r="A1142" t="s">
        <v>712</v>
      </c>
      <c r="B1142" s="5">
        <v>365824</v>
      </c>
      <c r="C1142" t="s">
        <v>234</v>
      </c>
      <c r="D1142" s="1" t="str">
        <f t="shared" si="39"/>
        <v>36286</v>
      </c>
      <c r="E1142" t="s">
        <v>10</v>
      </c>
      <c r="F1142" t="s">
        <v>713</v>
      </c>
      <c r="G1142" s="1" t="str">
        <f>"007"</f>
        <v>007</v>
      </c>
      <c r="H1142" s="1">
        <v>2001</v>
      </c>
      <c r="I1142" s="6">
        <v>6074800</v>
      </c>
      <c r="J1142" s="6">
        <v>0</v>
      </c>
      <c r="K1142" s="6">
        <v>6074800</v>
      </c>
      <c r="L1142" s="7"/>
    </row>
    <row r="1143" spans="1:12" x14ac:dyDescent="0.25">
      <c r="A1143" t="s">
        <v>712</v>
      </c>
      <c r="B1143" s="5">
        <v>365824</v>
      </c>
      <c r="C1143" t="s">
        <v>234</v>
      </c>
      <c r="D1143" s="1" t="str">
        <f t="shared" si="39"/>
        <v>36286</v>
      </c>
      <c r="E1143" t="s">
        <v>10</v>
      </c>
      <c r="F1143" t="s">
        <v>713</v>
      </c>
      <c r="G1143" s="1" t="str">
        <f>"008"</f>
        <v>008</v>
      </c>
      <c r="H1143" s="1">
        <v>2002</v>
      </c>
      <c r="I1143" s="6">
        <v>7172600</v>
      </c>
      <c r="J1143" s="6">
        <v>0</v>
      </c>
      <c r="K1143" s="6">
        <v>7172600</v>
      </c>
      <c r="L1143" s="7"/>
    </row>
    <row r="1144" spans="1:12" x14ac:dyDescent="0.25">
      <c r="A1144" t="s">
        <v>712</v>
      </c>
      <c r="B1144" s="5">
        <v>365824</v>
      </c>
      <c r="C1144" t="s">
        <v>234</v>
      </c>
      <c r="D1144" s="1" t="str">
        <f t="shared" si="39"/>
        <v>36286</v>
      </c>
      <c r="E1144" t="s">
        <v>10</v>
      </c>
      <c r="F1144" t="s">
        <v>713</v>
      </c>
      <c r="G1144" s="1" t="str">
        <f>"009"</f>
        <v>009</v>
      </c>
      <c r="H1144" s="1">
        <v>2003</v>
      </c>
      <c r="I1144" s="6">
        <v>9140900</v>
      </c>
      <c r="J1144" s="6">
        <v>10800</v>
      </c>
      <c r="K1144" s="6">
        <v>9130100</v>
      </c>
      <c r="L1144" s="7"/>
    </row>
    <row r="1145" spans="1:12" x14ac:dyDescent="0.25">
      <c r="A1145" t="s">
        <v>712</v>
      </c>
      <c r="B1145" s="5">
        <v>365824</v>
      </c>
      <c r="C1145" t="s">
        <v>234</v>
      </c>
      <c r="D1145" s="1" t="str">
        <f t="shared" si="39"/>
        <v>36286</v>
      </c>
      <c r="E1145" t="s">
        <v>10</v>
      </c>
      <c r="F1145" t="s">
        <v>713</v>
      </c>
      <c r="G1145" s="1" t="str">
        <f>"010"</f>
        <v>010</v>
      </c>
      <c r="H1145" s="1">
        <v>2014</v>
      </c>
      <c r="I1145" s="6">
        <v>4112500</v>
      </c>
      <c r="J1145" s="6">
        <v>2070700</v>
      </c>
      <c r="K1145" s="6">
        <v>2041800</v>
      </c>
      <c r="L1145" s="7"/>
    </row>
    <row r="1146" spans="1:12" x14ac:dyDescent="0.25">
      <c r="A1146" t="s">
        <v>712</v>
      </c>
      <c r="B1146" s="5">
        <v>365824</v>
      </c>
      <c r="C1146" t="s">
        <v>234</v>
      </c>
      <c r="D1146" s="1" t="str">
        <f t="shared" si="39"/>
        <v>36286</v>
      </c>
      <c r="E1146" t="s">
        <v>10</v>
      </c>
      <c r="F1146" t="s">
        <v>713</v>
      </c>
      <c r="G1146" s="1" t="str">
        <f>"011"</f>
        <v>011</v>
      </c>
      <c r="H1146" s="1">
        <v>2016</v>
      </c>
      <c r="I1146" s="6">
        <v>2057400</v>
      </c>
      <c r="J1146" s="6">
        <v>860400</v>
      </c>
      <c r="K1146" s="6">
        <v>1197000</v>
      </c>
      <c r="L1146" s="7"/>
    </row>
    <row r="1147" spans="1:12" x14ac:dyDescent="0.25">
      <c r="A1147" t="s">
        <v>712</v>
      </c>
      <c r="B1147" s="5">
        <v>365824</v>
      </c>
      <c r="C1147" t="s">
        <v>234</v>
      </c>
      <c r="D1147" s="1" t="str">
        <f t="shared" si="39"/>
        <v>36286</v>
      </c>
      <c r="E1147" t="s">
        <v>10</v>
      </c>
      <c r="F1147" t="s">
        <v>713</v>
      </c>
      <c r="G1147" s="1" t="str">
        <f>"012"</f>
        <v>012</v>
      </c>
      <c r="H1147" s="1">
        <v>2018</v>
      </c>
      <c r="I1147" s="6">
        <v>109800</v>
      </c>
      <c r="J1147" s="6">
        <v>380900</v>
      </c>
      <c r="K1147" s="6">
        <v>-271100</v>
      </c>
      <c r="L1147" s="7"/>
    </row>
    <row r="1148" spans="1:12" x14ac:dyDescent="0.25">
      <c r="A1148" t="s">
        <v>714</v>
      </c>
      <c r="B1148" s="5">
        <v>515859</v>
      </c>
      <c r="C1148" t="s">
        <v>583</v>
      </c>
      <c r="D1148" s="1" t="str">
        <f>"51186"</f>
        <v>51186</v>
      </c>
      <c r="E1148" t="s">
        <v>15</v>
      </c>
      <c r="F1148" t="s">
        <v>715</v>
      </c>
      <c r="G1148" s="1" t="str">
        <f>"003"</f>
        <v>003</v>
      </c>
      <c r="H1148" s="1">
        <v>2001</v>
      </c>
      <c r="I1148" s="6">
        <v>22140400</v>
      </c>
      <c r="J1148" s="6">
        <v>3485200</v>
      </c>
      <c r="K1148" s="6">
        <v>18655200</v>
      </c>
      <c r="L1148" s="7"/>
    </row>
    <row r="1149" spans="1:12" x14ac:dyDescent="0.25">
      <c r="A1149" t="s">
        <v>714</v>
      </c>
      <c r="B1149" s="5">
        <v>515859</v>
      </c>
      <c r="C1149" t="s">
        <v>583</v>
      </c>
      <c r="D1149" s="1" t="str">
        <f>"51186"</f>
        <v>51186</v>
      </c>
      <c r="E1149" t="s">
        <v>15</v>
      </c>
      <c r="F1149" t="s">
        <v>715</v>
      </c>
      <c r="G1149" s="1" t="str">
        <f>"004"</f>
        <v>004</v>
      </c>
      <c r="H1149" s="1">
        <v>2006</v>
      </c>
      <c r="I1149" s="6">
        <v>35004800</v>
      </c>
      <c r="J1149" s="6">
        <v>31932700</v>
      </c>
      <c r="K1149" s="6">
        <v>3072100</v>
      </c>
      <c r="L1149" s="7"/>
    </row>
    <row r="1150" spans="1:12" x14ac:dyDescent="0.25">
      <c r="A1150" t="s">
        <v>714</v>
      </c>
      <c r="B1150" s="5">
        <v>515859</v>
      </c>
      <c r="C1150" t="s">
        <v>583</v>
      </c>
      <c r="D1150" s="1" t="str">
        <f>"51186"</f>
        <v>51186</v>
      </c>
      <c r="E1150" t="s">
        <v>15</v>
      </c>
      <c r="F1150" t="s">
        <v>715</v>
      </c>
      <c r="G1150" s="1" t="str">
        <f>"005"</f>
        <v>005</v>
      </c>
      <c r="H1150" s="1">
        <v>2016</v>
      </c>
      <c r="I1150" s="6">
        <v>4401800</v>
      </c>
      <c r="J1150" s="6">
        <v>464700</v>
      </c>
      <c r="K1150" s="6">
        <v>3937100</v>
      </c>
      <c r="L1150" s="7"/>
    </row>
    <row r="1151" spans="1:12" x14ac:dyDescent="0.25">
      <c r="A1151" t="s">
        <v>716</v>
      </c>
      <c r="B1151" s="5">
        <v>480238</v>
      </c>
      <c r="C1151" t="s">
        <v>32</v>
      </c>
      <c r="D1151" s="1" t="str">
        <f>"48106"</f>
        <v>48106</v>
      </c>
      <c r="E1151" t="s">
        <v>15</v>
      </c>
      <c r="F1151" t="s">
        <v>717</v>
      </c>
      <c r="G1151" s="1" t="str">
        <f>"002"</f>
        <v>002</v>
      </c>
      <c r="H1151" s="1">
        <v>1995</v>
      </c>
      <c r="I1151" s="6">
        <v>3218300</v>
      </c>
      <c r="J1151" s="6">
        <v>11800</v>
      </c>
      <c r="K1151" s="6">
        <v>3206500</v>
      </c>
      <c r="L1151" s="7"/>
    </row>
    <row r="1152" spans="1:12" x14ac:dyDescent="0.25">
      <c r="A1152" t="s">
        <v>716</v>
      </c>
      <c r="B1152" s="5">
        <v>480238</v>
      </c>
      <c r="C1152" t="s">
        <v>32</v>
      </c>
      <c r="D1152" s="1" t="str">
        <f>"48106"</f>
        <v>48106</v>
      </c>
      <c r="E1152" t="s">
        <v>15</v>
      </c>
      <c r="F1152" t="s">
        <v>717</v>
      </c>
      <c r="G1152" s="1" t="str">
        <f>"003"</f>
        <v>003</v>
      </c>
      <c r="H1152" s="1">
        <v>2004</v>
      </c>
      <c r="I1152" s="6">
        <v>0</v>
      </c>
      <c r="J1152" s="6">
        <v>22300</v>
      </c>
      <c r="K1152" s="6">
        <v>-22300</v>
      </c>
      <c r="L1152" s="7"/>
    </row>
    <row r="1153" spans="1:12" x14ac:dyDescent="0.25">
      <c r="A1153" t="s">
        <v>716</v>
      </c>
      <c r="B1153" s="5">
        <v>480238</v>
      </c>
      <c r="C1153" t="s">
        <v>32</v>
      </c>
      <c r="D1153" s="1" t="str">
        <f>"48106"</f>
        <v>48106</v>
      </c>
      <c r="E1153" t="s">
        <v>15</v>
      </c>
      <c r="F1153" t="s">
        <v>717</v>
      </c>
      <c r="G1153" s="1" t="str">
        <f>"005"</f>
        <v>005</v>
      </c>
      <c r="H1153" s="1">
        <v>2006</v>
      </c>
      <c r="I1153" s="6">
        <v>8920300</v>
      </c>
      <c r="J1153" s="6">
        <v>7735100</v>
      </c>
      <c r="K1153" s="6">
        <v>1185200</v>
      </c>
      <c r="L1153" s="7"/>
    </row>
    <row r="1154" spans="1:12" x14ac:dyDescent="0.25">
      <c r="A1154" t="s">
        <v>716</v>
      </c>
      <c r="B1154" s="5">
        <v>480238</v>
      </c>
      <c r="C1154" t="s">
        <v>32</v>
      </c>
      <c r="D1154" s="1" t="str">
        <f>"48106"</f>
        <v>48106</v>
      </c>
      <c r="E1154" t="s">
        <v>15</v>
      </c>
      <c r="F1154" t="s">
        <v>717</v>
      </c>
      <c r="G1154" s="1" t="str">
        <f>"006"</f>
        <v>006</v>
      </c>
      <c r="H1154" s="1">
        <v>2013</v>
      </c>
      <c r="I1154" s="6">
        <v>9515500</v>
      </c>
      <c r="J1154" s="6">
        <v>7793600</v>
      </c>
      <c r="K1154" s="6">
        <v>1721900</v>
      </c>
      <c r="L1154" s="7"/>
    </row>
    <row r="1155" spans="1:12" x14ac:dyDescent="0.25">
      <c r="A1155" t="s">
        <v>716</v>
      </c>
      <c r="B1155" s="5">
        <v>480238</v>
      </c>
      <c r="C1155" t="s">
        <v>32</v>
      </c>
      <c r="D1155" s="1" t="str">
        <f>"48111"</f>
        <v>48111</v>
      </c>
      <c r="E1155" t="s">
        <v>15</v>
      </c>
      <c r="F1155" t="s">
        <v>718</v>
      </c>
      <c r="G1155" s="1" t="str">
        <f>"001"</f>
        <v>001</v>
      </c>
      <c r="H1155" s="1">
        <v>1999</v>
      </c>
      <c r="I1155" s="6">
        <v>8048400</v>
      </c>
      <c r="J1155" s="6">
        <v>4683000</v>
      </c>
      <c r="K1155" s="6">
        <v>3365400</v>
      </c>
      <c r="L1155" s="7"/>
    </row>
    <row r="1156" spans="1:12" x14ac:dyDescent="0.25">
      <c r="A1156" t="s">
        <v>716</v>
      </c>
      <c r="B1156" s="5">
        <v>480238</v>
      </c>
      <c r="C1156" t="s">
        <v>32</v>
      </c>
      <c r="D1156" s="1" t="str">
        <f>"48151"</f>
        <v>48151</v>
      </c>
      <c r="E1156" t="s">
        <v>15</v>
      </c>
      <c r="F1156" t="s">
        <v>719</v>
      </c>
      <c r="G1156" s="1" t="str">
        <f>"002"</f>
        <v>002</v>
      </c>
      <c r="H1156" s="1">
        <v>1994</v>
      </c>
      <c r="I1156" s="6">
        <v>4962400</v>
      </c>
      <c r="J1156" s="6">
        <v>22700</v>
      </c>
      <c r="K1156" s="6">
        <v>4939700</v>
      </c>
      <c r="L1156" s="7"/>
    </row>
    <row r="1157" spans="1:12" x14ac:dyDescent="0.25">
      <c r="A1157" t="s">
        <v>716</v>
      </c>
      <c r="B1157" s="5">
        <v>480238</v>
      </c>
      <c r="C1157" t="s">
        <v>32</v>
      </c>
      <c r="D1157" s="1" t="str">
        <f>"48151"</f>
        <v>48151</v>
      </c>
      <c r="E1157" t="s">
        <v>15</v>
      </c>
      <c r="F1157" t="s">
        <v>719</v>
      </c>
      <c r="G1157" s="1" t="str">
        <f>"003"</f>
        <v>003</v>
      </c>
      <c r="H1157" s="1">
        <v>2004</v>
      </c>
      <c r="I1157" s="6">
        <v>807000</v>
      </c>
      <c r="J1157" s="6">
        <v>583200</v>
      </c>
      <c r="K1157" s="6">
        <v>223800</v>
      </c>
      <c r="L1157" s="7"/>
    </row>
    <row r="1158" spans="1:12" x14ac:dyDescent="0.25">
      <c r="A1158" t="s">
        <v>716</v>
      </c>
      <c r="B1158" s="5">
        <v>480238</v>
      </c>
      <c r="C1158" t="s">
        <v>32</v>
      </c>
      <c r="D1158" s="1" t="str">
        <f>"48151"</f>
        <v>48151</v>
      </c>
      <c r="E1158" t="s">
        <v>15</v>
      </c>
      <c r="F1158" t="s">
        <v>719</v>
      </c>
      <c r="G1158" s="1" t="str">
        <f>"004"</f>
        <v>004</v>
      </c>
      <c r="H1158" s="1">
        <v>2012</v>
      </c>
      <c r="I1158" s="6">
        <v>1582400</v>
      </c>
      <c r="J1158" s="6">
        <v>1027700</v>
      </c>
      <c r="K1158" s="6">
        <v>554700</v>
      </c>
      <c r="L1158" s="7"/>
    </row>
    <row r="1159" spans="1:12" x14ac:dyDescent="0.25">
      <c r="A1159" t="s">
        <v>720</v>
      </c>
      <c r="B1159" s="5">
        <v>365866</v>
      </c>
      <c r="C1159" t="s">
        <v>234</v>
      </c>
      <c r="D1159" s="1" t="str">
        <f>"36186"</f>
        <v>36186</v>
      </c>
      <c r="E1159" t="s">
        <v>15</v>
      </c>
      <c r="F1159" t="s">
        <v>721</v>
      </c>
      <c r="G1159" s="1" t="str">
        <f>"002"</f>
        <v>002</v>
      </c>
      <c r="H1159" s="1">
        <v>2017</v>
      </c>
      <c r="I1159" s="6">
        <v>3406800</v>
      </c>
      <c r="J1159" s="6">
        <v>3330200</v>
      </c>
      <c r="K1159" s="6">
        <v>76600</v>
      </c>
      <c r="L1159" s="7"/>
    </row>
    <row r="1160" spans="1:12" x14ac:dyDescent="0.25">
      <c r="A1160" t="s">
        <v>720</v>
      </c>
      <c r="B1160" s="5">
        <v>365866</v>
      </c>
      <c r="C1160" t="s">
        <v>234</v>
      </c>
      <c r="D1160" s="1" t="str">
        <f>"36191"</f>
        <v>36191</v>
      </c>
      <c r="E1160" t="s">
        <v>15</v>
      </c>
      <c r="F1160" t="s">
        <v>722</v>
      </c>
      <c r="G1160" s="1" t="str">
        <f>"002"</f>
        <v>002</v>
      </c>
      <c r="H1160" s="1">
        <v>2010</v>
      </c>
      <c r="I1160" s="6">
        <v>3605300</v>
      </c>
      <c r="J1160" s="6">
        <v>2290100</v>
      </c>
      <c r="K1160" s="6">
        <v>1315200</v>
      </c>
      <c r="L1160" s="7"/>
    </row>
    <row r="1161" spans="1:12" x14ac:dyDescent="0.25">
      <c r="A1161" t="s">
        <v>723</v>
      </c>
      <c r="B1161" s="5">
        <v>135901</v>
      </c>
      <c r="C1161" t="s">
        <v>89</v>
      </c>
      <c r="D1161" s="1" t="str">
        <f>"13225"</f>
        <v>13225</v>
      </c>
      <c r="E1161" t="s">
        <v>10</v>
      </c>
      <c r="F1161" t="s">
        <v>416</v>
      </c>
      <c r="G1161" s="1" t="str">
        <f>"006"</f>
        <v>006</v>
      </c>
      <c r="H1161" s="1">
        <v>2006</v>
      </c>
      <c r="I1161" s="6">
        <v>183069400</v>
      </c>
      <c r="J1161" s="6">
        <v>86800800</v>
      </c>
      <c r="K1161" s="6">
        <v>96268600</v>
      </c>
      <c r="L1161" s="7"/>
    </row>
    <row r="1162" spans="1:12" x14ac:dyDescent="0.25">
      <c r="A1162" t="s">
        <v>723</v>
      </c>
      <c r="B1162" s="5">
        <v>135901</v>
      </c>
      <c r="C1162" t="s">
        <v>89</v>
      </c>
      <c r="D1162" s="1" t="str">
        <f>"13225"</f>
        <v>13225</v>
      </c>
      <c r="E1162" t="s">
        <v>10</v>
      </c>
      <c r="F1162" t="s">
        <v>416</v>
      </c>
      <c r="G1162" s="1" t="str">
        <f>"009"</f>
        <v>009</v>
      </c>
      <c r="H1162" s="1">
        <v>2015</v>
      </c>
      <c r="I1162" s="6">
        <v>70169600</v>
      </c>
      <c r="J1162" s="6">
        <v>43552400</v>
      </c>
      <c r="K1162" s="6">
        <v>26617200</v>
      </c>
      <c r="L1162" s="7"/>
    </row>
    <row r="1163" spans="1:12" x14ac:dyDescent="0.25">
      <c r="A1163" t="s">
        <v>723</v>
      </c>
      <c r="B1163" s="5">
        <v>135901</v>
      </c>
      <c r="C1163" t="s">
        <v>89</v>
      </c>
      <c r="D1163" s="1" t="str">
        <f>"13251"</f>
        <v>13251</v>
      </c>
      <c r="E1163" t="s">
        <v>10</v>
      </c>
      <c r="F1163" t="s">
        <v>417</v>
      </c>
      <c r="G1163" s="1" t="str">
        <f>"029"</f>
        <v>029</v>
      </c>
      <c r="H1163" s="1">
        <v>2000</v>
      </c>
      <c r="I1163" s="6">
        <v>27370700</v>
      </c>
      <c r="J1163" s="6">
        <v>12378500</v>
      </c>
      <c r="K1163" s="6">
        <v>14992200</v>
      </c>
      <c r="L1163" s="7"/>
    </row>
    <row r="1164" spans="1:12" x14ac:dyDescent="0.25">
      <c r="A1164" t="s">
        <v>723</v>
      </c>
      <c r="B1164" s="5">
        <v>135901</v>
      </c>
      <c r="C1164" t="s">
        <v>89</v>
      </c>
      <c r="D1164" s="1" t="str">
        <f>"13286"</f>
        <v>13286</v>
      </c>
      <c r="E1164" t="s">
        <v>10</v>
      </c>
      <c r="F1164" t="s">
        <v>724</v>
      </c>
      <c r="G1164" s="1" t="str">
        <f>"004"</f>
        <v>004</v>
      </c>
      <c r="H1164" s="1">
        <v>1996</v>
      </c>
      <c r="I1164" s="6">
        <v>42394800</v>
      </c>
      <c r="J1164" s="6">
        <v>8842400</v>
      </c>
      <c r="K1164" s="6">
        <v>33552400</v>
      </c>
      <c r="L1164" s="7"/>
    </row>
    <row r="1165" spans="1:12" x14ac:dyDescent="0.25">
      <c r="A1165" t="s">
        <v>723</v>
      </c>
      <c r="B1165" s="5">
        <v>135901</v>
      </c>
      <c r="C1165" t="s">
        <v>89</v>
      </c>
      <c r="D1165" s="1" t="str">
        <f>"13286"</f>
        <v>13286</v>
      </c>
      <c r="E1165" t="s">
        <v>10</v>
      </c>
      <c r="F1165" t="s">
        <v>724</v>
      </c>
      <c r="G1165" s="1" t="str">
        <f>"006"</f>
        <v>006</v>
      </c>
      <c r="H1165" s="1">
        <v>2000</v>
      </c>
      <c r="I1165" s="6">
        <v>69351600</v>
      </c>
      <c r="J1165" s="6">
        <v>475200</v>
      </c>
      <c r="K1165" s="6">
        <v>68876400</v>
      </c>
      <c r="L1165" s="7"/>
    </row>
    <row r="1166" spans="1:12" x14ac:dyDescent="0.25">
      <c r="A1166" t="s">
        <v>723</v>
      </c>
      <c r="B1166" s="5">
        <v>135901</v>
      </c>
      <c r="C1166" t="s">
        <v>89</v>
      </c>
      <c r="D1166" s="1" t="str">
        <f>"13286"</f>
        <v>13286</v>
      </c>
      <c r="E1166" t="s">
        <v>10</v>
      </c>
      <c r="F1166" t="s">
        <v>724</v>
      </c>
      <c r="G1166" s="1" t="str">
        <f>"008"</f>
        <v>008</v>
      </c>
      <c r="H1166" s="1">
        <v>2017</v>
      </c>
      <c r="I1166" s="6">
        <v>29164700</v>
      </c>
      <c r="J1166" s="6">
        <v>29164700</v>
      </c>
      <c r="K1166" s="6">
        <v>0</v>
      </c>
      <c r="L1166" s="7"/>
    </row>
    <row r="1167" spans="1:12" x14ac:dyDescent="0.25">
      <c r="A1167" t="s">
        <v>723</v>
      </c>
      <c r="B1167" s="5">
        <v>135901</v>
      </c>
      <c r="C1167" t="s">
        <v>89</v>
      </c>
      <c r="D1167" s="1" t="str">
        <f>"13286"</f>
        <v>13286</v>
      </c>
      <c r="E1167" t="s">
        <v>10</v>
      </c>
      <c r="F1167" t="s">
        <v>724</v>
      </c>
      <c r="G1167" s="1" t="str">
        <f>"009"</f>
        <v>009</v>
      </c>
      <c r="H1167" s="1">
        <v>2017</v>
      </c>
      <c r="I1167" s="6">
        <v>6019000</v>
      </c>
      <c r="J1167" s="6">
        <v>5619100</v>
      </c>
      <c r="K1167" s="6">
        <v>399900</v>
      </c>
      <c r="L1167" s="7"/>
    </row>
    <row r="1168" spans="1:12" x14ac:dyDescent="0.25">
      <c r="A1168" t="s">
        <v>725</v>
      </c>
      <c r="B1168" s="5">
        <v>625985</v>
      </c>
      <c r="C1168" t="s">
        <v>224</v>
      </c>
      <c r="D1168" s="1" t="str">
        <f>"62286"</f>
        <v>62286</v>
      </c>
      <c r="E1168" t="s">
        <v>10</v>
      </c>
      <c r="F1168" t="s">
        <v>726</v>
      </c>
      <c r="G1168" s="1" t="str">
        <f>"002"</f>
        <v>002</v>
      </c>
      <c r="H1168" s="1">
        <v>1994</v>
      </c>
      <c r="I1168" s="6">
        <v>2165400</v>
      </c>
      <c r="J1168" s="6">
        <v>355500</v>
      </c>
      <c r="K1168" s="6">
        <v>1809900</v>
      </c>
      <c r="L1168" s="7"/>
    </row>
    <row r="1169" spans="1:12" x14ac:dyDescent="0.25">
      <c r="A1169" t="s">
        <v>725</v>
      </c>
      <c r="B1169" s="5">
        <v>625985</v>
      </c>
      <c r="C1169" t="s">
        <v>224</v>
      </c>
      <c r="D1169" s="1" t="str">
        <f>"62286"</f>
        <v>62286</v>
      </c>
      <c r="E1169" t="s">
        <v>10</v>
      </c>
      <c r="F1169" t="s">
        <v>726</v>
      </c>
      <c r="G1169" s="1" t="str">
        <f>"003"</f>
        <v>003</v>
      </c>
      <c r="H1169" s="1">
        <v>1995</v>
      </c>
      <c r="I1169" s="6">
        <v>19137100</v>
      </c>
      <c r="J1169" s="6">
        <v>3810600</v>
      </c>
      <c r="K1169" s="6">
        <v>15326500</v>
      </c>
      <c r="L1169" s="7"/>
    </row>
    <row r="1170" spans="1:12" x14ac:dyDescent="0.25">
      <c r="A1170" t="s">
        <v>725</v>
      </c>
      <c r="B1170" s="5">
        <v>625985</v>
      </c>
      <c r="C1170" t="s">
        <v>224</v>
      </c>
      <c r="D1170" s="1" t="str">
        <f>"62286"</f>
        <v>62286</v>
      </c>
      <c r="E1170" t="s">
        <v>10</v>
      </c>
      <c r="F1170" t="s">
        <v>726</v>
      </c>
      <c r="G1170" s="1" t="str">
        <f>"004"</f>
        <v>004</v>
      </c>
      <c r="H1170" s="1">
        <v>1999</v>
      </c>
      <c r="I1170" s="6">
        <v>3935200</v>
      </c>
      <c r="J1170" s="6">
        <v>293000</v>
      </c>
      <c r="K1170" s="6">
        <v>3642200</v>
      </c>
      <c r="L1170" s="7"/>
    </row>
    <row r="1171" spans="1:12" x14ac:dyDescent="0.25">
      <c r="A1171" t="s">
        <v>725</v>
      </c>
      <c r="B1171" s="5">
        <v>625985</v>
      </c>
      <c r="C1171" t="s">
        <v>224</v>
      </c>
      <c r="D1171" s="1" t="str">
        <f>"62286"</f>
        <v>62286</v>
      </c>
      <c r="E1171" t="s">
        <v>10</v>
      </c>
      <c r="F1171" t="s">
        <v>726</v>
      </c>
      <c r="G1171" s="1" t="str">
        <f>"005"</f>
        <v>005</v>
      </c>
      <c r="H1171" s="1">
        <v>2006</v>
      </c>
      <c r="I1171" s="6">
        <v>2207700</v>
      </c>
      <c r="J1171" s="6">
        <v>279600</v>
      </c>
      <c r="K1171" s="6">
        <v>1928100</v>
      </c>
      <c r="L1171" s="7"/>
    </row>
    <row r="1172" spans="1:12" x14ac:dyDescent="0.25">
      <c r="A1172" t="s">
        <v>725</v>
      </c>
      <c r="B1172" s="5">
        <v>625985</v>
      </c>
      <c r="C1172" t="s">
        <v>224</v>
      </c>
      <c r="D1172" s="1" t="str">
        <f>"62286"</f>
        <v>62286</v>
      </c>
      <c r="E1172" t="s">
        <v>10</v>
      </c>
      <c r="F1172" t="s">
        <v>726</v>
      </c>
      <c r="G1172" s="1" t="str">
        <f>"006"</f>
        <v>006</v>
      </c>
      <c r="H1172" s="1">
        <v>2015</v>
      </c>
      <c r="I1172" s="6">
        <v>20254600</v>
      </c>
      <c r="J1172" s="6">
        <v>13024300</v>
      </c>
      <c r="K1172" s="6">
        <v>7230300</v>
      </c>
      <c r="L1172" s="7"/>
    </row>
    <row r="1173" spans="1:12" x14ac:dyDescent="0.25">
      <c r="A1173" t="s">
        <v>727</v>
      </c>
      <c r="B1173" s="5">
        <v>646022</v>
      </c>
      <c r="C1173" t="s">
        <v>140</v>
      </c>
      <c r="D1173" s="1" t="str">
        <f>"64191"</f>
        <v>64191</v>
      </c>
      <c r="E1173" t="s">
        <v>15</v>
      </c>
      <c r="F1173" t="s">
        <v>140</v>
      </c>
      <c r="G1173" s="1" t="str">
        <f>"001"</f>
        <v>001</v>
      </c>
      <c r="H1173" s="1">
        <v>2011</v>
      </c>
      <c r="I1173" s="6">
        <v>8317800</v>
      </c>
      <c r="J1173" s="6">
        <v>6963900</v>
      </c>
      <c r="K1173" s="6">
        <v>1353900</v>
      </c>
      <c r="L1173" s="7"/>
    </row>
    <row r="1174" spans="1:12" x14ac:dyDescent="0.25">
      <c r="A1174" t="s">
        <v>728</v>
      </c>
      <c r="B1174" s="5">
        <v>46027</v>
      </c>
      <c r="C1174" t="s">
        <v>243</v>
      </c>
      <c r="D1174" s="1" t="str">
        <f>"04291"</f>
        <v>04291</v>
      </c>
      <c r="E1174" t="s">
        <v>10</v>
      </c>
      <c r="F1174" t="s">
        <v>103</v>
      </c>
      <c r="G1174" s="1" t="str">
        <f>"002"</f>
        <v>002</v>
      </c>
      <c r="H1174" s="1">
        <v>1995</v>
      </c>
      <c r="I1174" s="6">
        <v>18902900</v>
      </c>
      <c r="J1174" s="6">
        <v>9141200</v>
      </c>
      <c r="K1174" s="6">
        <v>9761700</v>
      </c>
      <c r="L1174" s="7"/>
    </row>
    <row r="1175" spans="1:12" x14ac:dyDescent="0.25">
      <c r="A1175" t="s">
        <v>728</v>
      </c>
      <c r="B1175" s="5">
        <v>46027</v>
      </c>
      <c r="C1175" t="s">
        <v>243</v>
      </c>
      <c r="D1175" s="1" t="str">
        <f>"04291"</f>
        <v>04291</v>
      </c>
      <c r="E1175" t="s">
        <v>10</v>
      </c>
      <c r="F1175" t="s">
        <v>103</v>
      </c>
      <c r="G1175" s="1" t="str">
        <f>"003"</f>
        <v>003</v>
      </c>
      <c r="H1175" s="1">
        <v>2015</v>
      </c>
      <c r="I1175" s="6">
        <v>10757900</v>
      </c>
      <c r="J1175" s="6">
        <v>9747800</v>
      </c>
      <c r="K1175" s="6">
        <v>1010100</v>
      </c>
      <c r="L1175" s="7"/>
    </row>
    <row r="1176" spans="1:12" x14ac:dyDescent="0.25">
      <c r="A1176" t="s">
        <v>729</v>
      </c>
      <c r="B1176" s="5">
        <v>516113</v>
      </c>
      <c r="C1176" t="s">
        <v>583</v>
      </c>
      <c r="D1176" s="1" t="str">
        <f>"51191"</f>
        <v>51191</v>
      </c>
      <c r="E1176" t="s">
        <v>15</v>
      </c>
      <c r="F1176" t="s">
        <v>730</v>
      </c>
      <c r="G1176" s="1" t="str">
        <f>"002"</f>
        <v>002</v>
      </c>
      <c r="H1176" s="1">
        <v>2000</v>
      </c>
      <c r="I1176" s="6">
        <v>52245100</v>
      </c>
      <c r="J1176" s="6">
        <v>13787500</v>
      </c>
      <c r="K1176" s="6">
        <v>38457600</v>
      </c>
      <c r="L1176" s="7"/>
    </row>
    <row r="1177" spans="1:12" x14ac:dyDescent="0.25">
      <c r="A1177" t="s">
        <v>731</v>
      </c>
      <c r="B1177" s="5">
        <v>286118</v>
      </c>
      <c r="C1177" t="s">
        <v>287</v>
      </c>
      <c r="D1177" s="1" t="str">
        <f>"28290"</f>
        <v>28290</v>
      </c>
      <c r="E1177" t="s">
        <v>10</v>
      </c>
      <c r="F1177" t="s">
        <v>732</v>
      </c>
      <c r="G1177" s="1" t="str">
        <f>"002"</f>
        <v>002</v>
      </c>
      <c r="H1177" s="1">
        <v>2011</v>
      </c>
      <c r="I1177" s="6">
        <v>9300700</v>
      </c>
      <c r="J1177" s="6">
        <v>7158000</v>
      </c>
      <c r="K1177" s="6">
        <v>2142700</v>
      </c>
      <c r="L1177" s="7"/>
    </row>
    <row r="1178" spans="1:12" x14ac:dyDescent="0.25">
      <c r="A1178" t="s">
        <v>731</v>
      </c>
      <c r="B1178" s="5">
        <v>286118</v>
      </c>
      <c r="C1178" t="s">
        <v>287</v>
      </c>
      <c r="D1178" s="1" t="str">
        <f>"28290"</f>
        <v>28290</v>
      </c>
      <c r="E1178" t="s">
        <v>10</v>
      </c>
      <c r="F1178" t="s">
        <v>732</v>
      </c>
      <c r="G1178" s="1" t="str">
        <f>"003"</f>
        <v>003</v>
      </c>
      <c r="H1178" s="1">
        <v>2012</v>
      </c>
      <c r="I1178" s="6">
        <v>5311000</v>
      </c>
      <c r="J1178" s="6">
        <v>1583100</v>
      </c>
      <c r="K1178" s="6">
        <v>3727900</v>
      </c>
      <c r="L1178" s="7"/>
    </row>
    <row r="1179" spans="1:12" x14ac:dyDescent="0.25">
      <c r="A1179" t="s">
        <v>731</v>
      </c>
      <c r="B1179" s="5">
        <v>286118</v>
      </c>
      <c r="C1179" t="s">
        <v>287</v>
      </c>
      <c r="D1179" s="1" t="str">
        <f>"28290"</f>
        <v>28290</v>
      </c>
      <c r="E1179" t="s">
        <v>10</v>
      </c>
      <c r="F1179" t="s">
        <v>732</v>
      </c>
      <c r="G1179" s="1" t="str">
        <f>"004"</f>
        <v>004</v>
      </c>
      <c r="H1179" s="1">
        <v>2014</v>
      </c>
      <c r="I1179" s="6">
        <v>3402600</v>
      </c>
      <c r="J1179" s="6">
        <v>2320100</v>
      </c>
      <c r="K1179" s="6">
        <v>1082500</v>
      </c>
      <c r="L1179" s="7"/>
    </row>
    <row r="1180" spans="1:12" x14ac:dyDescent="0.25">
      <c r="A1180" t="s">
        <v>733</v>
      </c>
      <c r="B1180" s="5">
        <v>286125</v>
      </c>
      <c r="C1180" t="s">
        <v>287</v>
      </c>
      <c r="D1180" s="1" t="str">
        <f>"28291"</f>
        <v>28291</v>
      </c>
      <c r="E1180" t="s">
        <v>10</v>
      </c>
      <c r="F1180" t="s">
        <v>734</v>
      </c>
      <c r="G1180" s="1" t="str">
        <f>"004"</f>
        <v>004</v>
      </c>
      <c r="H1180" s="1">
        <v>2005</v>
      </c>
      <c r="I1180" s="6">
        <v>36776800</v>
      </c>
      <c r="J1180" s="6">
        <v>1047600</v>
      </c>
      <c r="K1180" s="6">
        <v>35729200</v>
      </c>
      <c r="L1180" s="7"/>
    </row>
    <row r="1181" spans="1:12" x14ac:dyDescent="0.25">
      <c r="A1181" t="s">
        <v>733</v>
      </c>
      <c r="B1181" s="5">
        <v>286125</v>
      </c>
      <c r="C1181" t="s">
        <v>287</v>
      </c>
      <c r="D1181" s="1" t="str">
        <f>"28291"</f>
        <v>28291</v>
      </c>
      <c r="E1181" t="s">
        <v>10</v>
      </c>
      <c r="F1181" t="s">
        <v>734</v>
      </c>
      <c r="G1181" s="1" t="str">
        <f>"005"</f>
        <v>005</v>
      </c>
      <c r="H1181" s="1">
        <v>2005</v>
      </c>
      <c r="I1181" s="6">
        <v>61476100</v>
      </c>
      <c r="J1181" s="6">
        <v>39631000</v>
      </c>
      <c r="K1181" s="6">
        <v>21845100</v>
      </c>
      <c r="L1181" s="7"/>
    </row>
    <row r="1182" spans="1:12" x14ac:dyDescent="0.25">
      <c r="A1182" t="s">
        <v>733</v>
      </c>
      <c r="B1182" s="5">
        <v>286125</v>
      </c>
      <c r="C1182" t="s">
        <v>287</v>
      </c>
      <c r="D1182" s="1" t="str">
        <f>"28291"</f>
        <v>28291</v>
      </c>
      <c r="E1182" t="s">
        <v>10</v>
      </c>
      <c r="F1182" t="s">
        <v>734</v>
      </c>
      <c r="G1182" s="1" t="str">
        <f>"006"</f>
        <v>006</v>
      </c>
      <c r="H1182" s="1">
        <v>2005</v>
      </c>
      <c r="I1182" s="6">
        <v>3424100</v>
      </c>
      <c r="J1182" s="6">
        <v>225800</v>
      </c>
      <c r="K1182" s="6">
        <v>3198300</v>
      </c>
      <c r="L1182" s="7"/>
    </row>
    <row r="1183" spans="1:12" x14ac:dyDescent="0.25">
      <c r="A1183" t="s">
        <v>733</v>
      </c>
      <c r="B1183" s="5">
        <v>286125</v>
      </c>
      <c r="C1183" t="s">
        <v>287</v>
      </c>
      <c r="D1183" s="1" t="str">
        <f>"28291"</f>
        <v>28291</v>
      </c>
      <c r="E1183" t="s">
        <v>10</v>
      </c>
      <c r="F1183" t="s">
        <v>734</v>
      </c>
      <c r="G1183" s="1" t="str">
        <f>"007"</f>
        <v>007</v>
      </c>
      <c r="H1183" s="1">
        <v>2016</v>
      </c>
      <c r="I1183" s="6">
        <v>44816000</v>
      </c>
      <c r="J1183" s="6">
        <v>42443600</v>
      </c>
      <c r="K1183" s="6">
        <v>2372400</v>
      </c>
      <c r="L1183" s="7"/>
    </row>
    <row r="1184" spans="1:12" x14ac:dyDescent="0.25">
      <c r="A1184" t="s">
        <v>735</v>
      </c>
      <c r="B1184" s="5">
        <v>676174</v>
      </c>
      <c r="C1184" t="s">
        <v>268</v>
      </c>
      <c r="D1184" s="1" t="str">
        <f>"67002"</f>
        <v>67002</v>
      </c>
      <c r="E1184" t="s">
        <v>17</v>
      </c>
      <c r="F1184" t="s">
        <v>269</v>
      </c>
      <c r="G1184" s="1" t="str">
        <f>"001A"</f>
        <v>001A</v>
      </c>
      <c r="H1184" s="1">
        <v>2014</v>
      </c>
      <c r="I1184" s="6">
        <v>289769000</v>
      </c>
      <c r="J1184" s="6">
        <v>65986900</v>
      </c>
      <c r="K1184" s="6">
        <v>223782100</v>
      </c>
      <c r="L1184" s="7"/>
    </row>
    <row r="1185" spans="1:12" x14ac:dyDescent="0.25">
      <c r="A1185" t="s">
        <v>735</v>
      </c>
      <c r="B1185" s="5">
        <v>676174</v>
      </c>
      <c r="C1185" t="s">
        <v>268</v>
      </c>
      <c r="D1185" s="1" t="str">
        <f t="shared" ref="D1185:D1197" si="40">"67291"</f>
        <v>67291</v>
      </c>
      <c r="E1185" t="s">
        <v>10</v>
      </c>
      <c r="F1185" t="s">
        <v>268</v>
      </c>
      <c r="G1185" s="1" t="str">
        <f>"011"</f>
        <v>011</v>
      </c>
      <c r="H1185" s="1">
        <v>1997</v>
      </c>
      <c r="I1185" s="6">
        <v>93383900</v>
      </c>
      <c r="J1185" s="6">
        <v>37524600</v>
      </c>
      <c r="K1185" s="6">
        <v>55859300</v>
      </c>
      <c r="L1185" s="7"/>
    </row>
    <row r="1186" spans="1:12" x14ac:dyDescent="0.25">
      <c r="A1186" t="s">
        <v>735</v>
      </c>
      <c r="B1186" s="5">
        <v>676174</v>
      </c>
      <c r="C1186" t="s">
        <v>268</v>
      </c>
      <c r="D1186" s="1" t="str">
        <f t="shared" si="40"/>
        <v>67291</v>
      </c>
      <c r="E1186" t="s">
        <v>10</v>
      </c>
      <c r="F1186" t="s">
        <v>268</v>
      </c>
      <c r="G1186" s="1" t="str">
        <f>"012"</f>
        <v>012</v>
      </c>
      <c r="H1186" s="1">
        <v>2001</v>
      </c>
      <c r="I1186" s="6">
        <v>18914500</v>
      </c>
      <c r="J1186" s="6">
        <v>107700</v>
      </c>
      <c r="K1186" s="6">
        <v>18806800</v>
      </c>
      <c r="L1186" s="7"/>
    </row>
    <row r="1187" spans="1:12" x14ac:dyDescent="0.25">
      <c r="A1187" t="s">
        <v>735</v>
      </c>
      <c r="B1187" s="5">
        <v>676174</v>
      </c>
      <c r="C1187" t="s">
        <v>268</v>
      </c>
      <c r="D1187" s="1" t="str">
        <f t="shared" si="40"/>
        <v>67291</v>
      </c>
      <c r="E1187" t="s">
        <v>10</v>
      </c>
      <c r="F1187" t="s">
        <v>268</v>
      </c>
      <c r="G1187" s="1" t="str">
        <f>"013"</f>
        <v>013</v>
      </c>
      <c r="H1187" s="1">
        <v>2003</v>
      </c>
      <c r="I1187" s="6">
        <v>4438400</v>
      </c>
      <c r="J1187" s="6">
        <v>481800</v>
      </c>
      <c r="K1187" s="6">
        <v>3956600</v>
      </c>
      <c r="L1187" s="7"/>
    </row>
    <row r="1188" spans="1:12" x14ac:dyDescent="0.25">
      <c r="A1188" t="s">
        <v>735</v>
      </c>
      <c r="B1188" s="5">
        <v>676174</v>
      </c>
      <c r="C1188" t="s">
        <v>268</v>
      </c>
      <c r="D1188" s="1" t="str">
        <f t="shared" si="40"/>
        <v>67291</v>
      </c>
      <c r="E1188" t="s">
        <v>10</v>
      </c>
      <c r="F1188" t="s">
        <v>268</v>
      </c>
      <c r="G1188" s="1" t="str">
        <f>"014"</f>
        <v>014</v>
      </c>
      <c r="H1188" s="1">
        <v>2003</v>
      </c>
      <c r="I1188" s="6">
        <v>98685600</v>
      </c>
      <c r="J1188" s="6">
        <v>9889800</v>
      </c>
      <c r="K1188" s="6">
        <v>88795800</v>
      </c>
      <c r="L1188" s="7"/>
    </row>
    <row r="1189" spans="1:12" x14ac:dyDescent="0.25">
      <c r="A1189" t="s">
        <v>735</v>
      </c>
      <c r="B1189" s="5">
        <v>676174</v>
      </c>
      <c r="C1189" t="s">
        <v>268</v>
      </c>
      <c r="D1189" s="1" t="str">
        <f t="shared" si="40"/>
        <v>67291</v>
      </c>
      <c r="E1189" t="s">
        <v>10</v>
      </c>
      <c r="F1189" t="s">
        <v>268</v>
      </c>
      <c r="G1189" s="1" t="str">
        <f>"017"</f>
        <v>017</v>
      </c>
      <c r="H1189" s="1">
        <v>2007</v>
      </c>
      <c r="I1189" s="6">
        <v>89609400</v>
      </c>
      <c r="J1189" s="6">
        <v>57329000</v>
      </c>
      <c r="K1189" s="6">
        <v>32280400</v>
      </c>
      <c r="L1189" s="7"/>
    </row>
    <row r="1190" spans="1:12" x14ac:dyDescent="0.25">
      <c r="A1190" t="s">
        <v>735</v>
      </c>
      <c r="B1190" s="5">
        <v>676174</v>
      </c>
      <c r="C1190" t="s">
        <v>268</v>
      </c>
      <c r="D1190" s="1" t="str">
        <f t="shared" si="40"/>
        <v>67291</v>
      </c>
      <c r="E1190" t="s">
        <v>10</v>
      </c>
      <c r="F1190" t="s">
        <v>268</v>
      </c>
      <c r="G1190" s="1" t="str">
        <f>"018"</f>
        <v>018</v>
      </c>
      <c r="H1190" s="1">
        <v>2009</v>
      </c>
      <c r="I1190" s="6">
        <v>6432900</v>
      </c>
      <c r="J1190" s="6">
        <v>704300</v>
      </c>
      <c r="K1190" s="6">
        <v>5728600</v>
      </c>
      <c r="L1190" s="7"/>
    </row>
    <row r="1191" spans="1:12" x14ac:dyDescent="0.25">
      <c r="A1191" t="s">
        <v>735</v>
      </c>
      <c r="B1191" s="5">
        <v>676174</v>
      </c>
      <c r="C1191" t="s">
        <v>268</v>
      </c>
      <c r="D1191" s="1" t="str">
        <f t="shared" si="40"/>
        <v>67291</v>
      </c>
      <c r="E1191" t="s">
        <v>10</v>
      </c>
      <c r="F1191" t="s">
        <v>268</v>
      </c>
      <c r="G1191" s="1" t="str">
        <f>"019"</f>
        <v>019</v>
      </c>
      <c r="H1191" s="1">
        <v>2010</v>
      </c>
      <c r="I1191" s="6">
        <v>31633000</v>
      </c>
      <c r="J1191" s="6">
        <v>13626400</v>
      </c>
      <c r="K1191" s="6">
        <v>18006600</v>
      </c>
      <c r="L1191" s="7"/>
    </row>
    <row r="1192" spans="1:12" x14ac:dyDescent="0.25">
      <c r="A1192" t="s">
        <v>735</v>
      </c>
      <c r="B1192" s="5">
        <v>676174</v>
      </c>
      <c r="C1192" t="s">
        <v>268</v>
      </c>
      <c r="D1192" s="1" t="str">
        <f t="shared" si="40"/>
        <v>67291</v>
      </c>
      <c r="E1192" t="s">
        <v>10</v>
      </c>
      <c r="F1192" t="s">
        <v>268</v>
      </c>
      <c r="G1192" s="1" t="str">
        <f>"020"</f>
        <v>020</v>
      </c>
      <c r="H1192" s="1">
        <v>2010</v>
      </c>
      <c r="I1192" s="6">
        <v>14810800</v>
      </c>
      <c r="J1192" s="6">
        <v>14119600</v>
      </c>
      <c r="K1192" s="6">
        <v>691200</v>
      </c>
      <c r="L1192" s="7"/>
    </row>
    <row r="1193" spans="1:12" x14ac:dyDescent="0.25">
      <c r="A1193" t="s">
        <v>735</v>
      </c>
      <c r="B1193" s="5">
        <v>676174</v>
      </c>
      <c r="C1193" t="s">
        <v>268</v>
      </c>
      <c r="D1193" s="1" t="str">
        <f t="shared" si="40"/>
        <v>67291</v>
      </c>
      <c r="E1193" t="s">
        <v>10</v>
      </c>
      <c r="F1193" t="s">
        <v>268</v>
      </c>
      <c r="G1193" s="1" t="str">
        <f>"021"</f>
        <v>021</v>
      </c>
      <c r="H1193" s="1">
        <v>2012</v>
      </c>
      <c r="I1193" s="6">
        <v>33068600</v>
      </c>
      <c r="J1193" s="6">
        <v>11343900</v>
      </c>
      <c r="K1193" s="6">
        <v>21724700</v>
      </c>
      <c r="L1193" s="7"/>
    </row>
    <row r="1194" spans="1:12" x14ac:dyDescent="0.25">
      <c r="A1194" t="s">
        <v>735</v>
      </c>
      <c r="B1194" s="5">
        <v>676174</v>
      </c>
      <c r="C1194" t="s">
        <v>268</v>
      </c>
      <c r="D1194" s="1" t="str">
        <f t="shared" si="40"/>
        <v>67291</v>
      </c>
      <c r="E1194" t="s">
        <v>10</v>
      </c>
      <c r="F1194" t="s">
        <v>268</v>
      </c>
      <c r="G1194" s="1" t="str">
        <f>"022"</f>
        <v>022</v>
      </c>
      <c r="H1194" s="1">
        <v>2013</v>
      </c>
      <c r="I1194" s="6">
        <v>71416100</v>
      </c>
      <c r="J1194" s="6">
        <v>38400500</v>
      </c>
      <c r="K1194" s="6">
        <v>33015600</v>
      </c>
      <c r="L1194" s="7"/>
    </row>
    <row r="1195" spans="1:12" x14ac:dyDescent="0.25">
      <c r="A1195" t="s">
        <v>735</v>
      </c>
      <c r="B1195" s="5">
        <v>676174</v>
      </c>
      <c r="C1195" t="s">
        <v>268</v>
      </c>
      <c r="D1195" s="1" t="str">
        <f t="shared" si="40"/>
        <v>67291</v>
      </c>
      <c r="E1195" t="s">
        <v>10</v>
      </c>
      <c r="F1195" t="s">
        <v>268</v>
      </c>
      <c r="G1195" s="1" t="str">
        <f>"023"</f>
        <v>023</v>
      </c>
      <c r="H1195" s="1">
        <v>2014</v>
      </c>
      <c r="I1195" s="6">
        <v>12016000</v>
      </c>
      <c r="J1195" s="6">
        <v>4300600</v>
      </c>
      <c r="K1195" s="6">
        <v>7715400</v>
      </c>
      <c r="L1195" s="7"/>
    </row>
    <row r="1196" spans="1:12" x14ac:dyDescent="0.25">
      <c r="A1196" t="s">
        <v>735</v>
      </c>
      <c r="B1196" s="5">
        <v>676174</v>
      </c>
      <c r="C1196" t="s">
        <v>268</v>
      </c>
      <c r="D1196" s="1" t="str">
        <f t="shared" si="40"/>
        <v>67291</v>
      </c>
      <c r="E1196" t="s">
        <v>10</v>
      </c>
      <c r="F1196" t="s">
        <v>268</v>
      </c>
      <c r="G1196" s="1" t="str">
        <f>"024"</f>
        <v>024</v>
      </c>
      <c r="H1196" s="1">
        <v>2018</v>
      </c>
      <c r="I1196" s="6">
        <v>9953300</v>
      </c>
      <c r="J1196" s="6">
        <v>10345200</v>
      </c>
      <c r="K1196" s="6">
        <v>-391900</v>
      </c>
      <c r="L1196" s="7"/>
    </row>
    <row r="1197" spans="1:12" x14ac:dyDescent="0.25">
      <c r="A1197" t="s">
        <v>735</v>
      </c>
      <c r="B1197" s="5">
        <v>676174</v>
      </c>
      <c r="C1197" t="s">
        <v>268</v>
      </c>
      <c r="D1197" s="1" t="str">
        <f t="shared" si="40"/>
        <v>67291</v>
      </c>
      <c r="E1197" t="s">
        <v>10</v>
      </c>
      <c r="F1197" t="s">
        <v>268</v>
      </c>
      <c r="G1197" s="1" t="str">
        <f>"025"</f>
        <v>025</v>
      </c>
      <c r="H1197" s="1">
        <v>2015</v>
      </c>
      <c r="I1197" s="6">
        <v>19909300</v>
      </c>
      <c r="J1197" s="6">
        <v>6226600</v>
      </c>
      <c r="K1197" s="6">
        <v>13682700</v>
      </c>
      <c r="L1197" s="7"/>
    </row>
    <row r="1198" spans="1:12" x14ac:dyDescent="0.25">
      <c r="A1198" t="s">
        <v>736</v>
      </c>
      <c r="B1198" s="5">
        <v>136181</v>
      </c>
      <c r="C1198" t="s">
        <v>89</v>
      </c>
      <c r="D1198" s="1" t="str">
        <f t="shared" ref="D1198:D1205" si="41">"13191"</f>
        <v>13191</v>
      </c>
      <c r="E1198" t="s">
        <v>15</v>
      </c>
      <c r="F1198" t="s">
        <v>737</v>
      </c>
      <c r="G1198" s="1" t="str">
        <f>"002"</f>
        <v>002</v>
      </c>
      <c r="H1198" s="1">
        <v>2000</v>
      </c>
      <c r="I1198" s="6">
        <v>20477100</v>
      </c>
      <c r="J1198" s="6">
        <v>98800</v>
      </c>
      <c r="K1198" s="6">
        <v>20378300</v>
      </c>
      <c r="L1198" s="7"/>
    </row>
    <row r="1199" spans="1:12" x14ac:dyDescent="0.25">
      <c r="A1199" t="s">
        <v>736</v>
      </c>
      <c r="B1199" s="5">
        <v>136181</v>
      </c>
      <c r="C1199" t="s">
        <v>89</v>
      </c>
      <c r="D1199" s="1" t="str">
        <f t="shared" si="41"/>
        <v>13191</v>
      </c>
      <c r="E1199" t="s">
        <v>15</v>
      </c>
      <c r="F1199" t="s">
        <v>737</v>
      </c>
      <c r="G1199" s="1" t="str">
        <f>"003"</f>
        <v>003</v>
      </c>
      <c r="H1199" s="1">
        <v>2000</v>
      </c>
      <c r="I1199" s="6">
        <v>40691900</v>
      </c>
      <c r="J1199" s="6">
        <v>634700</v>
      </c>
      <c r="K1199" s="6">
        <v>40057200</v>
      </c>
      <c r="L1199" s="7"/>
    </row>
    <row r="1200" spans="1:12" x14ac:dyDescent="0.25">
      <c r="A1200" t="s">
        <v>736</v>
      </c>
      <c r="B1200" s="5">
        <v>136181</v>
      </c>
      <c r="C1200" t="s">
        <v>89</v>
      </c>
      <c r="D1200" s="1" t="str">
        <f t="shared" si="41"/>
        <v>13191</v>
      </c>
      <c r="E1200" t="s">
        <v>15</v>
      </c>
      <c r="F1200" t="s">
        <v>737</v>
      </c>
      <c r="G1200" s="1" t="str">
        <f>"004"</f>
        <v>004</v>
      </c>
      <c r="H1200" s="1">
        <v>2003</v>
      </c>
      <c r="I1200" s="6">
        <v>5642400</v>
      </c>
      <c r="J1200" s="6">
        <v>677400</v>
      </c>
      <c r="K1200" s="6">
        <v>4965000</v>
      </c>
      <c r="L1200" s="7"/>
    </row>
    <row r="1201" spans="1:12" x14ac:dyDescent="0.25">
      <c r="A1201" t="s">
        <v>736</v>
      </c>
      <c r="B1201" s="5">
        <v>136181</v>
      </c>
      <c r="C1201" t="s">
        <v>89</v>
      </c>
      <c r="D1201" s="1" t="str">
        <f t="shared" si="41"/>
        <v>13191</v>
      </c>
      <c r="E1201" t="s">
        <v>15</v>
      </c>
      <c r="F1201" t="s">
        <v>737</v>
      </c>
      <c r="G1201" s="1" t="str">
        <f>"005"</f>
        <v>005</v>
      </c>
      <c r="H1201" s="1">
        <v>2005</v>
      </c>
      <c r="I1201" s="6">
        <v>50837500</v>
      </c>
      <c r="J1201" s="6">
        <v>27543200</v>
      </c>
      <c r="K1201" s="6">
        <v>23294300</v>
      </c>
      <c r="L1201" s="7"/>
    </row>
    <row r="1202" spans="1:12" x14ac:dyDescent="0.25">
      <c r="A1202" t="s">
        <v>736</v>
      </c>
      <c r="B1202" s="5">
        <v>136181</v>
      </c>
      <c r="C1202" t="s">
        <v>89</v>
      </c>
      <c r="D1202" s="1" t="str">
        <f t="shared" si="41"/>
        <v>13191</v>
      </c>
      <c r="E1202" t="s">
        <v>15</v>
      </c>
      <c r="F1202" t="s">
        <v>737</v>
      </c>
      <c r="G1202" s="1" t="str">
        <f>"006"</f>
        <v>006</v>
      </c>
      <c r="H1202" s="1">
        <v>2015</v>
      </c>
      <c r="I1202" s="6">
        <v>56905600</v>
      </c>
      <c r="J1202" s="6">
        <v>11761100</v>
      </c>
      <c r="K1202" s="6">
        <v>45144500</v>
      </c>
      <c r="L1202" s="7"/>
    </row>
    <row r="1203" spans="1:12" x14ac:dyDescent="0.25">
      <c r="A1203" t="s">
        <v>736</v>
      </c>
      <c r="B1203" s="5">
        <v>136181</v>
      </c>
      <c r="C1203" t="s">
        <v>89</v>
      </c>
      <c r="D1203" s="1" t="str">
        <f t="shared" si="41"/>
        <v>13191</v>
      </c>
      <c r="E1203" t="s">
        <v>15</v>
      </c>
      <c r="F1203" t="s">
        <v>737</v>
      </c>
      <c r="G1203" s="1" t="str">
        <f>"007"</f>
        <v>007</v>
      </c>
      <c r="H1203" s="1">
        <v>2016</v>
      </c>
      <c r="I1203" s="6">
        <v>9421800</v>
      </c>
      <c r="J1203" s="6">
        <v>4445700</v>
      </c>
      <c r="K1203" s="6">
        <v>4976100</v>
      </c>
      <c r="L1203" s="7"/>
    </row>
    <row r="1204" spans="1:12" x14ac:dyDescent="0.25">
      <c r="A1204" t="s">
        <v>736</v>
      </c>
      <c r="B1204" s="5">
        <v>136181</v>
      </c>
      <c r="C1204" t="s">
        <v>89</v>
      </c>
      <c r="D1204" s="1" t="str">
        <f t="shared" si="41"/>
        <v>13191</v>
      </c>
      <c r="E1204" t="s">
        <v>15</v>
      </c>
      <c r="F1204" t="s">
        <v>737</v>
      </c>
      <c r="G1204" s="1" t="str">
        <f>"008"</f>
        <v>008</v>
      </c>
      <c r="H1204" s="1">
        <v>2018</v>
      </c>
      <c r="I1204" s="6">
        <v>18413400</v>
      </c>
      <c r="J1204" s="6">
        <v>15985400</v>
      </c>
      <c r="K1204" s="6">
        <v>2428000</v>
      </c>
      <c r="L1204" s="7"/>
    </row>
    <row r="1205" spans="1:12" x14ac:dyDescent="0.25">
      <c r="A1205" t="s">
        <v>736</v>
      </c>
      <c r="B1205" s="5">
        <v>136181</v>
      </c>
      <c r="C1205" t="s">
        <v>89</v>
      </c>
      <c r="D1205" s="1" t="str">
        <f t="shared" si="41"/>
        <v>13191</v>
      </c>
      <c r="E1205" t="s">
        <v>15</v>
      </c>
      <c r="F1205" t="s">
        <v>737</v>
      </c>
      <c r="G1205" s="1" t="str">
        <f>"009"</f>
        <v>009</v>
      </c>
      <c r="H1205" s="1">
        <v>2018</v>
      </c>
      <c r="I1205" s="6">
        <v>958500</v>
      </c>
      <c r="J1205" s="6">
        <v>1147000</v>
      </c>
      <c r="K1205" s="6">
        <v>-188500</v>
      </c>
      <c r="L1205" s="7"/>
    </row>
    <row r="1206" spans="1:12" x14ac:dyDescent="0.25">
      <c r="A1206" t="s">
        <v>738</v>
      </c>
      <c r="B1206" s="5">
        <v>686195</v>
      </c>
      <c r="C1206" t="s">
        <v>181</v>
      </c>
      <c r="D1206" s="1" t="str">
        <f t="shared" ref="D1206:D1211" si="42">"68291"</f>
        <v>68291</v>
      </c>
      <c r="E1206" t="s">
        <v>10</v>
      </c>
      <c r="F1206" t="s">
        <v>181</v>
      </c>
      <c r="G1206" s="1" t="str">
        <f>"003"</f>
        <v>003</v>
      </c>
      <c r="H1206" s="1">
        <v>2000</v>
      </c>
      <c r="I1206" s="6">
        <v>17795400</v>
      </c>
      <c r="J1206" s="6">
        <v>1912500</v>
      </c>
      <c r="K1206" s="6">
        <v>15882900</v>
      </c>
      <c r="L1206" s="7"/>
    </row>
    <row r="1207" spans="1:12" x14ac:dyDescent="0.25">
      <c r="A1207" t="s">
        <v>738</v>
      </c>
      <c r="B1207" s="5">
        <v>686195</v>
      </c>
      <c r="C1207" t="s">
        <v>181</v>
      </c>
      <c r="D1207" s="1" t="str">
        <f t="shared" si="42"/>
        <v>68291</v>
      </c>
      <c r="E1207" t="s">
        <v>10</v>
      </c>
      <c r="F1207" t="s">
        <v>181</v>
      </c>
      <c r="G1207" s="1" t="str">
        <f>"004"</f>
        <v>004</v>
      </c>
      <c r="H1207" s="1">
        <v>2000</v>
      </c>
      <c r="I1207" s="6">
        <v>30662200</v>
      </c>
      <c r="J1207" s="6">
        <v>2901600</v>
      </c>
      <c r="K1207" s="6">
        <v>27760600</v>
      </c>
      <c r="L1207" s="7"/>
    </row>
    <row r="1208" spans="1:12" x14ac:dyDescent="0.25">
      <c r="A1208" t="s">
        <v>738</v>
      </c>
      <c r="B1208" s="5">
        <v>686195</v>
      </c>
      <c r="C1208" t="s">
        <v>181</v>
      </c>
      <c r="D1208" s="1" t="str">
        <f t="shared" si="42"/>
        <v>68291</v>
      </c>
      <c r="E1208" t="s">
        <v>10</v>
      </c>
      <c r="F1208" t="s">
        <v>181</v>
      </c>
      <c r="G1208" s="1" t="str">
        <f>"006"</f>
        <v>006</v>
      </c>
      <c r="H1208" s="1">
        <v>2000</v>
      </c>
      <c r="I1208" s="6">
        <v>35452000</v>
      </c>
      <c r="J1208" s="6">
        <v>10906600</v>
      </c>
      <c r="K1208" s="6">
        <v>24545400</v>
      </c>
      <c r="L1208" s="7"/>
    </row>
    <row r="1209" spans="1:12" x14ac:dyDescent="0.25">
      <c r="A1209" t="s">
        <v>738</v>
      </c>
      <c r="B1209" s="5">
        <v>686195</v>
      </c>
      <c r="C1209" t="s">
        <v>181</v>
      </c>
      <c r="D1209" s="1" t="str">
        <f t="shared" si="42"/>
        <v>68291</v>
      </c>
      <c r="E1209" t="s">
        <v>10</v>
      </c>
      <c r="F1209" t="s">
        <v>181</v>
      </c>
      <c r="G1209" s="1" t="str">
        <f>"008"</f>
        <v>008</v>
      </c>
      <c r="H1209" s="1">
        <v>2001</v>
      </c>
      <c r="I1209" s="6">
        <v>8460100</v>
      </c>
      <c r="J1209" s="6">
        <v>1772600</v>
      </c>
      <c r="K1209" s="6">
        <v>6687500</v>
      </c>
      <c r="L1209" s="7"/>
    </row>
    <row r="1210" spans="1:12" x14ac:dyDescent="0.25">
      <c r="A1210" t="s">
        <v>738</v>
      </c>
      <c r="B1210" s="5">
        <v>686195</v>
      </c>
      <c r="C1210" t="s">
        <v>181</v>
      </c>
      <c r="D1210" s="1" t="str">
        <f t="shared" si="42"/>
        <v>68291</v>
      </c>
      <c r="E1210" t="s">
        <v>10</v>
      </c>
      <c r="F1210" t="s">
        <v>181</v>
      </c>
      <c r="G1210" s="1" t="str">
        <f>"009"</f>
        <v>009</v>
      </c>
      <c r="H1210" s="1">
        <v>2001</v>
      </c>
      <c r="I1210" s="6">
        <v>1098300</v>
      </c>
      <c r="J1210" s="6">
        <v>2208100</v>
      </c>
      <c r="K1210" s="6">
        <v>-1109800</v>
      </c>
      <c r="L1210" s="7"/>
    </row>
    <row r="1211" spans="1:12" x14ac:dyDescent="0.25">
      <c r="A1211" t="s">
        <v>738</v>
      </c>
      <c r="B1211" s="5">
        <v>686195</v>
      </c>
      <c r="C1211" t="s">
        <v>181</v>
      </c>
      <c r="D1211" s="1" t="str">
        <f t="shared" si="42"/>
        <v>68291</v>
      </c>
      <c r="E1211" t="s">
        <v>10</v>
      </c>
      <c r="F1211" t="s">
        <v>181</v>
      </c>
      <c r="G1211" s="1" t="str">
        <f>"010"</f>
        <v>010</v>
      </c>
      <c r="H1211" s="1">
        <v>2001</v>
      </c>
      <c r="I1211" s="6">
        <v>3353400</v>
      </c>
      <c r="J1211" s="6">
        <v>281800</v>
      </c>
      <c r="K1211" s="6">
        <v>3071600</v>
      </c>
      <c r="L1211" s="7"/>
    </row>
    <row r="1212" spans="1:12" x14ac:dyDescent="0.25">
      <c r="A1212" t="s">
        <v>739</v>
      </c>
      <c r="B1212" s="5">
        <v>206216</v>
      </c>
      <c r="C1212" t="s">
        <v>86</v>
      </c>
      <c r="D1212" s="1" t="str">
        <f>"14226"</f>
        <v>14226</v>
      </c>
      <c r="E1212" t="s">
        <v>10</v>
      </c>
      <c r="F1212" t="s">
        <v>740</v>
      </c>
      <c r="G1212" s="1" t="str">
        <f>"002"</f>
        <v>002</v>
      </c>
      <c r="H1212" s="1">
        <v>2015</v>
      </c>
      <c r="I1212" s="6">
        <v>9905100</v>
      </c>
      <c r="J1212" s="6">
        <v>7196000</v>
      </c>
      <c r="K1212" s="6">
        <v>2709100</v>
      </c>
      <c r="L1212" s="7"/>
    </row>
    <row r="1213" spans="1:12" x14ac:dyDescent="0.25">
      <c r="A1213" t="s">
        <v>739</v>
      </c>
      <c r="B1213" s="5">
        <v>206216</v>
      </c>
      <c r="C1213" t="s">
        <v>86</v>
      </c>
      <c r="D1213" s="1" t="str">
        <f>"14226"</f>
        <v>14226</v>
      </c>
      <c r="E1213" t="s">
        <v>10</v>
      </c>
      <c r="F1213" t="s">
        <v>740</v>
      </c>
      <c r="G1213" s="1" t="str">
        <f>"003"</f>
        <v>003</v>
      </c>
      <c r="H1213" s="1">
        <v>2016</v>
      </c>
      <c r="I1213" s="6">
        <v>7631200</v>
      </c>
      <c r="J1213" s="6">
        <v>4634300</v>
      </c>
      <c r="K1213" s="6">
        <v>2996900</v>
      </c>
      <c r="L1213" s="7"/>
    </row>
    <row r="1214" spans="1:12" x14ac:dyDescent="0.25">
      <c r="A1214" t="s">
        <v>739</v>
      </c>
      <c r="B1214" s="5">
        <v>206216</v>
      </c>
      <c r="C1214" t="s">
        <v>86</v>
      </c>
      <c r="D1214" s="1" t="str">
        <f>"14292"</f>
        <v>14292</v>
      </c>
      <c r="E1214" t="s">
        <v>10</v>
      </c>
      <c r="F1214" t="s">
        <v>741</v>
      </c>
      <c r="G1214" s="1" t="str">
        <f>"001"</f>
        <v>001</v>
      </c>
      <c r="H1214" s="1">
        <v>1987</v>
      </c>
      <c r="I1214" s="6">
        <v>12605900</v>
      </c>
      <c r="J1214" s="6">
        <v>858500</v>
      </c>
      <c r="K1214" s="6">
        <v>11747400</v>
      </c>
      <c r="L1214" s="7"/>
    </row>
    <row r="1215" spans="1:12" x14ac:dyDescent="0.25">
      <c r="A1215" t="s">
        <v>739</v>
      </c>
      <c r="B1215" s="5">
        <v>206216</v>
      </c>
      <c r="C1215" t="s">
        <v>86</v>
      </c>
      <c r="D1215" s="1" t="str">
        <f>"14292"</f>
        <v>14292</v>
      </c>
      <c r="E1215" t="s">
        <v>10</v>
      </c>
      <c r="F1215" t="s">
        <v>741</v>
      </c>
      <c r="G1215" s="1" t="str">
        <f>"003"</f>
        <v>003</v>
      </c>
      <c r="H1215" s="1">
        <v>2005</v>
      </c>
      <c r="I1215" s="6">
        <v>8448100</v>
      </c>
      <c r="J1215" s="6">
        <v>7038800</v>
      </c>
      <c r="K1215" s="6">
        <v>1409300</v>
      </c>
      <c r="L1215" s="7"/>
    </row>
    <row r="1216" spans="1:12" x14ac:dyDescent="0.25">
      <c r="A1216" t="s">
        <v>739</v>
      </c>
      <c r="B1216" s="5">
        <v>206216</v>
      </c>
      <c r="C1216" t="s">
        <v>86</v>
      </c>
      <c r="D1216" s="1" t="str">
        <f>"14292"</f>
        <v>14292</v>
      </c>
      <c r="E1216" t="s">
        <v>10</v>
      </c>
      <c r="F1216" t="s">
        <v>741</v>
      </c>
      <c r="G1216" s="1" t="str">
        <f>"005"</f>
        <v>005</v>
      </c>
      <c r="H1216" s="1">
        <v>2008</v>
      </c>
      <c r="I1216" s="6">
        <v>18121800</v>
      </c>
      <c r="J1216" s="6">
        <v>1950300</v>
      </c>
      <c r="K1216" s="6">
        <v>16171500</v>
      </c>
      <c r="L1216" s="7"/>
    </row>
    <row r="1217" spans="1:12" x14ac:dyDescent="0.25">
      <c r="A1217" t="s">
        <v>739</v>
      </c>
      <c r="B1217" s="5">
        <v>206216</v>
      </c>
      <c r="C1217" t="s">
        <v>86</v>
      </c>
      <c r="D1217" s="1" t="str">
        <f>"14292"</f>
        <v>14292</v>
      </c>
      <c r="E1217" t="s">
        <v>10</v>
      </c>
      <c r="F1217" t="s">
        <v>741</v>
      </c>
      <c r="G1217" s="1" t="str">
        <f>"006"</f>
        <v>006</v>
      </c>
      <c r="H1217" s="1">
        <v>2012</v>
      </c>
      <c r="I1217" s="6">
        <v>10398000</v>
      </c>
      <c r="J1217" s="6">
        <v>5180600</v>
      </c>
      <c r="K1217" s="6">
        <v>5217400</v>
      </c>
      <c r="L1217" s="7"/>
    </row>
    <row r="1218" spans="1:12" x14ac:dyDescent="0.25">
      <c r="A1218" t="s">
        <v>739</v>
      </c>
      <c r="B1218" s="5">
        <v>206216</v>
      </c>
      <c r="C1218" t="s">
        <v>86</v>
      </c>
      <c r="D1218" s="1" t="str">
        <f>"14292"</f>
        <v>14292</v>
      </c>
      <c r="E1218" t="s">
        <v>10</v>
      </c>
      <c r="F1218" t="s">
        <v>741</v>
      </c>
      <c r="G1218" s="1" t="str">
        <f>"007"</f>
        <v>007</v>
      </c>
      <c r="H1218" s="1">
        <v>2017</v>
      </c>
      <c r="I1218" s="6">
        <v>2215600</v>
      </c>
      <c r="J1218" s="6">
        <v>22100</v>
      </c>
      <c r="K1218" s="6">
        <v>2193500</v>
      </c>
      <c r="L1218" s="7"/>
    </row>
    <row r="1219" spans="1:12" x14ac:dyDescent="0.25">
      <c r="A1219" t="s">
        <v>739</v>
      </c>
      <c r="B1219" s="5">
        <v>206216</v>
      </c>
      <c r="C1219" t="s">
        <v>152</v>
      </c>
      <c r="D1219" s="1" t="str">
        <f>"20292"</f>
        <v>20292</v>
      </c>
      <c r="E1219" t="s">
        <v>10</v>
      </c>
      <c r="F1219" t="s">
        <v>741</v>
      </c>
      <c r="G1219" s="1" t="str">
        <f>"003"</f>
        <v>003</v>
      </c>
      <c r="H1219" s="1">
        <v>2005</v>
      </c>
      <c r="I1219" s="6">
        <v>13357700</v>
      </c>
      <c r="J1219" s="6">
        <v>10263700</v>
      </c>
      <c r="K1219" s="6">
        <v>3094000</v>
      </c>
      <c r="L1219" s="7"/>
    </row>
    <row r="1220" spans="1:12" x14ac:dyDescent="0.25">
      <c r="A1220" t="s">
        <v>739</v>
      </c>
      <c r="B1220" s="5">
        <v>206216</v>
      </c>
      <c r="C1220" t="s">
        <v>152</v>
      </c>
      <c r="D1220" s="1" t="str">
        <f>"20292"</f>
        <v>20292</v>
      </c>
      <c r="E1220" t="s">
        <v>10</v>
      </c>
      <c r="F1220" t="s">
        <v>741</v>
      </c>
      <c r="G1220" s="1" t="str">
        <f>"006"</f>
        <v>006</v>
      </c>
      <c r="H1220" s="1">
        <v>2012</v>
      </c>
      <c r="I1220" s="6">
        <v>7323800</v>
      </c>
      <c r="J1220" s="6">
        <v>9154600</v>
      </c>
      <c r="K1220" s="6">
        <v>-1830800</v>
      </c>
      <c r="L1220" s="7"/>
    </row>
    <row r="1221" spans="1:12" x14ac:dyDescent="0.25">
      <c r="A1221" t="s">
        <v>739</v>
      </c>
      <c r="B1221" s="5">
        <v>206216</v>
      </c>
      <c r="C1221" t="s">
        <v>152</v>
      </c>
      <c r="D1221" s="1" t="str">
        <f>"20292"</f>
        <v>20292</v>
      </c>
      <c r="E1221" t="s">
        <v>10</v>
      </c>
      <c r="F1221" t="s">
        <v>741</v>
      </c>
      <c r="G1221" s="1" t="str">
        <f>"008"</f>
        <v>008</v>
      </c>
      <c r="H1221" s="1">
        <v>2018</v>
      </c>
      <c r="I1221" s="6">
        <v>7413400</v>
      </c>
      <c r="J1221" s="6">
        <v>5047900</v>
      </c>
      <c r="K1221" s="6">
        <v>2365500</v>
      </c>
      <c r="L1221" s="7"/>
    </row>
    <row r="1222" spans="1:12" x14ac:dyDescent="0.25">
      <c r="A1222" t="s">
        <v>742</v>
      </c>
      <c r="B1222" s="5">
        <v>376223</v>
      </c>
      <c r="C1222" t="s">
        <v>12</v>
      </c>
      <c r="D1222" s="1" t="str">
        <f>"37146"</f>
        <v>37146</v>
      </c>
      <c r="E1222" t="s">
        <v>15</v>
      </c>
      <c r="F1222" t="s">
        <v>743</v>
      </c>
      <c r="G1222" s="1" t="str">
        <f>"001"</f>
        <v>001</v>
      </c>
      <c r="H1222" s="1">
        <v>1997</v>
      </c>
      <c r="I1222" s="6">
        <v>10116300</v>
      </c>
      <c r="J1222" s="6">
        <v>447100</v>
      </c>
      <c r="K1222" s="6">
        <v>9669200</v>
      </c>
      <c r="L1222" s="7"/>
    </row>
    <row r="1223" spans="1:12" x14ac:dyDescent="0.25">
      <c r="A1223" t="s">
        <v>742</v>
      </c>
      <c r="B1223" s="5">
        <v>376223</v>
      </c>
      <c r="C1223" t="s">
        <v>12</v>
      </c>
      <c r="D1223" s="1" t="str">
        <f t="shared" ref="D1223:D1231" si="43">"37291"</f>
        <v>37291</v>
      </c>
      <c r="E1223" t="s">
        <v>10</v>
      </c>
      <c r="F1223" t="s">
        <v>744</v>
      </c>
      <c r="G1223" s="1" t="str">
        <f>"003"</f>
        <v>003</v>
      </c>
      <c r="H1223" s="1">
        <v>1994</v>
      </c>
      <c r="I1223" s="6">
        <v>143102900</v>
      </c>
      <c r="J1223" s="6">
        <v>42818700</v>
      </c>
      <c r="K1223" s="6">
        <v>100284200</v>
      </c>
      <c r="L1223" s="7"/>
    </row>
    <row r="1224" spans="1:12" x14ac:dyDescent="0.25">
      <c r="A1224" t="s">
        <v>742</v>
      </c>
      <c r="B1224" s="5">
        <v>376223</v>
      </c>
      <c r="C1224" t="s">
        <v>12</v>
      </c>
      <c r="D1224" s="1" t="str">
        <f t="shared" si="43"/>
        <v>37291</v>
      </c>
      <c r="E1224" t="s">
        <v>10</v>
      </c>
      <c r="F1224" t="s">
        <v>744</v>
      </c>
      <c r="G1224" s="1" t="str">
        <f>"005"</f>
        <v>005</v>
      </c>
      <c r="H1224" s="1">
        <v>1997</v>
      </c>
      <c r="I1224" s="6">
        <v>34453200</v>
      </c>
      <c r="J1224" s="6">
        <v>100000</v>
      </c>
      <c r="K1224" s="6">
        <v>34353200</v>
      </c>
      <c r="L1224" s="7"/>
    </row>
    <row r="1225" spans="1:12" x14ac:dyDescent="0.25">
      <c r="A1225" t="s">
        <v>742</v>
      </c>
      <c r="B1225" s="5">
        <v>376223</v>
      </c>
      <c r="C1225" t="s">
        <v>12</v>
      </c>
      <c r="D1225" s="1" t="str">
        <f t="shared" si="43"/>
        <v>37291</v>
      </c>
      <c r="E1225" t="s">
        <v>10</v>
      </c>
      <c r="F1225" t="s">
        <v>744</v>
      </c>
      <c r="G1225" s="1" t="str">
        <f>"006"</f>
        <v>006</v>
      </c>
      <c r="H1225" s="1">
        <v>2005</v>
      </c>
      <c r="I1225" s="6">
        <v>185917600</v>
      </c>
      <c r="J1225" s="6">
        <v>80840800</v>
      </c>
      <c r="K1225" s="6">
        <v>105076800</v>
      </c>
      <c r="L1225" s="7"/>
    </row>
    <row r="1226" spans="1:12" x14ac:dyDescent="0.25">
      <c r="A1226" t="s">
        <v>742</v>
      </c>
      <c r="B1226" s="5">
        <v>376223</v>
      </c>
      <c r="C1226" t="s">
        <v>12</v>
      </c>
      <c r="D1226" s="1" t="str">
        <f t="shared" si="43"/>
        <v>37291</v>
      </c>
      <c r="E1226" t="s">
        <v>10</v>
      </c>
      <c r="F1226" t="s">
        <v>744</v>
      </c>
      <c r="G1226" s="1" t="str">
        <f>"007"</f>
        <v>007</v>
      </c>
      <c r="H1226" s="1">
        <v>2006</v>
      </c>
      <c r="I1226" s="6">
        <v>68348900</v>
      </c>
      <c r="J1226" s="6">
        <v>29525900</v>
      </c>
      <c r="K1226" s="6">
        <v>38823000</v>
      </c>
      <c r="L1226" s="7"/>
    </row>
    <row r="1227" spans="1:12" x14ac:dyDescent="0.25">
      <c r="A1227" t="s">
        <v>742</v>
      </c>
      <c r="B1227" s="5">
        <v>376223</v>
      </c>
      <c r="C1227" t="s">
        <v>12</v>
      </c>
      <c r="D1227" s="1" t="str">
        <f t="shared" si="43"/>
        <v>37291</v>
      </c>
      <c r="E1227" t="s">
        <v>10</v>
      </c>
      <c r="F1227" t="s">
        <v>744</v>
      </c>
      <c r="G1227" s="1" t="str">
        <f>"008"</f>
        <v>008</v>
      </c>
      <c r="H1227" s="1">
        <v>2012</v>
      </c>
      <c r="I1227" s="6">
        <v>44493800</v>
      </c>
      <c r="J1227" s="6">
        <v>35408900</v>
      </c>
      <c r="K1227" s="6">
        <v>9084900</v>
      </c>
      <c r="L1227" s="7"/>
    </row>
    <row r="1228" spans="1:12" x14ac:dyDescent="0.25">
      <c r="A1228" t="s">
        <v>742</v>
      </c>
      <c r="B1228" s="5">
        <v>376223</v>
      </c>
      <c r="C1228" t="s">
        <v>12</v>
      </c>
      <c r="D1228" s="1" t="str">
        <f t="shared" si="43"/>
        <v>37291</v>
      </c>
      <c r="E1228" t="s">
        <v>10</v>
      </c>
      <c r="F1228" t="s">
        <v>744</v>
      </c>
      <c r="G1228" s="1" t="str">
        <f>"009"</f>
        <v>009</v>
      </c>
      <c r="H1228" s="1">
        <v>2012</v>
      </c>
      <c r="I1228" s="6">
        <v>2174900</v>
      </c>
      <c r="J1228" s="6">
        <v>1232400</v>
      </c>
      <c r="K1228" s="6">
        <v>942500</v>
      </c>
      <c r="L1228" s="7"/>
    </row>
    <row r="1229" spans="1:12" x14ac:dyDescent="0.25">
      <c r="A1229" t="s">
        <v>742</v>
      </c>
      <c r="B1229" s="5">
        <v>376223</v>
      </c>
      <c r="C1229" t="s">
        <v>12</v>
      </c>
      <c r="D1229" s="1" t="str">
        <f t="shared" si="43"/>
        <v>37291</v>
      </c>
      <c r="E1229" t="s">
        <v>10</v>
      </c>
      <c r="F1229" t="s">
        <v>744</v>
      </c>
      <c r="G1229" s="1" t="str">
        <f>"010"</f>
        <v>010</v>
      </c>
      <c r="H1229" s="1">
        <v>2013</v>
      </c>
      <c r="I1229" s="6">
        <v>56367200</v>
      </c>
      <c r="J1229" s="6">
        <v>45713000</v>
      </c>
      <c r="K1229" s="6">
        <v>10654200</v>
      </c>
      <c r="L1229" s="7"/>
    </row>
    <row r="1230" spans="1:12" x14ac:dyDescent="0.25">
      <c r="A1230" t="s">
        <v>742</v>
      </c>
      <c r="B1230" s="5">
        <v>376223</v>
      </c>
      <c r="C1230" t="s">
        <v>12</v>
      </c>
      <c r="D1230" s="1" t="str">
        <f t="shared" si="43"/>
        <v>37291</v>
      </c>
      <c r="E1230" t="s">
        <v>10</v>
      </c>
      <c r="F1230" t="s">
        <v>744</v>
      </c>
      <c r="G1230" s="1" t="str">
        <f>"011"</f>
        <v>011</v>
      </c>
      <c r="H1230" s="1">
        <v>2017</v>
      </c>
      <c r="I1230" s="6">
        <v>61254900</v>
      </c>
      <c r="J1230" s="6">
        <v>1386400</v>
      </c>
      <c r="K1230" s="6">
        <v>59868500</v>
      </c>
      <c r="L1230" s="7"/>
    </row>
    <row r="1231" spans="1:12" x14ac:dyDescent="0.25">
      <c r="A1231" t="s">
        <v>742</v>
      </c>
      <c r="B1231" s="5">
        <v>376223</v>
      </c>
      <c r="C1231" t="s">
        <v>12</v>
      </c>
      <c r="D1231" s="1" t="str">
        <f t="shared" si="43"/>
        <v>37291</v>
      </c>
      <c r="E1231" t="s">
        <v>10</v>
      </c>
      <c r="F1231" t="s">
        <v>744</v>
      </c>
      <c r="G1231" s="1" t="str">
        <f>"012"</f>
        <v>012</v>
      </c>
      <c r="H1231" s="1">
        <v>2017</v>
      </c>
      <c r="I1231" s="6">
        <v>24348300</v>
      </c>
      <c r="J1231" s="6">
        <v>32285000</v>
      </c>
      <c r="K1231" s="6">
        <v>-7936700</v>
      </c>
      <c r="L1231" s="7"/>
    </row>
    <row r="1232" spans="1:12" x14ac:dyDescent="0.25">
      <c r="A1232" t="s">
        <v>745</v>
      </c>
      <c r="B1232" s="5">
        <v>696237</v>
      </c>
      <c r="C1232" t="s">
        <v>101</v>
      </c>
      <c r="D1232" s="1" t="str">
        <f>"69176"</f>
        <v>69176</v>
      </c>
      <c r="E1232" t="s">
        <v>15</v>
      </c>
      <c r="F1232" t="s">
        <v>746</v>
      </c>
      <c r="G1232" s="1" t="str">
        <f>"001"</f>
        <v>001</v>
      </c>
      <c r="H1232" s="1">
        <v>1997</v>
      </c>
      <c r="I1232" s="6">
        <v>11770300</v>
      </c>
      <c r="J1232" s="6">
        <v>1459000</v>
      </c>
      <c r="K1232" s="6">
        <v>10311300</v>
      </c>
      <c r="L1232" s="7"/>
    </row>
    <row r="1233" spans="1:12" x14ac:dyDescent="0.25">
      <c r="A1233" t="s">
        <v>745</v>
      </c>
      <c r="B1233" s="5">
        <v>696237</v>
      </c>
      <c r="C1233" t="s">
        <v>101</v>
      </c>
      <c r="D1233" s="1" t="str">
        <f>"69176"</f>
        <v>69176</v>
      </c>
      <c r="E1233" t="s">
        <v>15</v>
      </c>
      <c r="F1233" t="s">
        <v>746</v>
      </c>
      <c r="G1233" s="1" t="str">
        <f>"002"</f>
        <v>002</v>
      </c>
      <c r="H1233" s="1">
        <v>1997</v>
      </c>
      <c r="I1233" s="6">
        <v>440000</v>
      </c>
      <c r="J1233" s="6">
        <v>46200</v>
      </c>
      <c r="K1233" s="6">
        <v>393800</v>
      </c>
      <c r="L1233" s="7"/>
    </row>
    <row r="1234" spans="1:12" x14ac:dyDescent="0.25">
      <c r="A1234" t="s">
        <v>745</v>
      </c>
      <c r="B1234" s="5">
        <v>696237</v>
      </c>
      <c r="C1234" t="s">
        <v>101</v>
      </c>
      <c r="D1234" s="1" t="str">
        <f>"69291"</f>
        <v>69291</v>
      </c>
      <c r="E1234" t="s">
        <v>10</v>
      </c>
      <c r="F1234" t="s">
        <v>747</v>
      </c>
      <c r="G1234" s="1" t="str">
        <f>"001"</f>
        <v>001</v>
      </c>
      <c r="H1234" s="1">
        <v>1995</v>
      </c>
      <c r="I1234" s="6">
        <v>27341500</v>
      </c>
      <c r="J1234" s="6">
        <v>4137900</v>
      </c>
      <c r="K1234" s="6">
        <v>23203600</v>
      </c>
      <c r="L1234" s="7"/>
    </row>
    <row r="1235" spans="1:12" x14ac:dyDescent="0.25">
      <c r="A1235" t="s">
        <v>745</v>
      </c>
      <c r="B1235" s="5">
        <v>696237</v>
      </c>
      <c r="C1235" t="s">
        <v>101</v>
      </c>
      <c r="D1235" s="1" t="str">
        <f>"69291"</f>
        <v>69291</v>
      </c>
      <c r="E1235" t="s">
        <v>10</v>
      </c>
      <c r="F1235" t="s">
        <v>747</v>
      </c>
      <c r="G1235" s="1" t="str">
        <f>"002"</f>
        <v>002</v>
      </c>
      <c r="H1235" s="1">
        <v>1996</v>
      </c>
      <c r="I1235" s="6">
        <v>7575800</v>
      </c>
      <c r="J1235" s="6">
        <v>790400</v>
      </c>
      <c r="K1235" s="6">
        <v>6785400</v>
      </c>
      <c r="L1235" s="7"/>
    </row>
    <row r="1236" spans="1:12" x14ac:dyDescent="0.25">
      <c r="A1236" t="s">
        <v>748</v>
      </c>
      <c r="B1236" s="5">
        <v>406244</v>
      </c>
      <c r="C1236" t="s">
        <v>134</v>
      </c>
      <c r="D1236" s="1" t="str">
        <f t="shared" ref="D1236:D1242" si="44">"40291"</f>
        <v>40291</v>
      </c>
      <c r="E1236" t="s">
        <v>10</v>
      </c>
      <c r="F1236" t="s">
        <v>749</v>
      </c>
      <c r="G1236" s="1" t="str">
        <f>"006"</f>
        <v>006</v>
      </c>
      <c r="H1236" s="1">
        <v>2010</v>
      </c>
      <c r="I1236" s="6">
        <v>131158500</v>
      </c>
      <c r="J1236" s="6">
        <v>26768400</v>
      </c>
      <c r="K1236" s="6">
        <v>104390100</v>
      </c>
      <c r="L1236" s="7"/>
    </row>
    <row r="1237" spans="1:12" x14ac:dyDescent="0.25">
      <c r="A1237" t="s">
        <v>748</v>
      </c>
      <c r="B1237" s="5">
        <v>406244</v>
      </c>
      <c r="C1237" t="s">
        <v>134</v>
      </c>
      <c r="D1237" s="1" t="str">
        <f t="shared" si="44"/>
        <v>40291</v>
      </c>
      <c r="E1237" t="s">
        <v>10</v>
      </c>
      <c r="F1237" t="s">
        <v>749</v>
      </c>
      <c r="G1237" s="1" t="str">
        <f>"007"</f>
        <v>007</v>
      </c>
      <c r="H1237" s="1">
        <v>2013</v>
      </c>
      <c r="I1237" s="6">
        <v>169482700</v>
      </c>
      <c r="J1237" s="6">
        <v>20815000</v>
      </c>
      <c r="K1237" s="6">
        <v>148667700</v>
      </c>
      <c r="L1237" s="7"/>
    </row>
    <row r="1238" spans="1:12" x14ac:dyDescent="0.25">
      <c r="A1238" t="s">
        <v>748</v>
      </c>
      <c r="B1238" s="5">
        <v>406244</v>
      </c>
      <c r="C1238" t="s">
        <v>134</v>
      </c>
      <c r="D1238" s="1" t="str">
        <f t="shared" si="44"/>
        <v>40291</v>
      </c>
      <c r="E1238" t="s">
        <v>10</v>
      </c>
      <c r="F1238" t="s">
        <v>749</v>
      </c>
      <c r="G1238" s="1" t="str">
        <f>"008"</f>
        <v>008</v>
      </c>
      <c r="H1238" s="1">
        <v>2014</v>
      </c>
      <c r="I1238" s="6">
        <v>50998300</v>
      </c>
      <c r="J1238" s="6">
        <v>21723600</v>
      </c>
      <c r="K1238" s="6">
        <v>29274700</v>
      </c>
      <c r="L1238" s="7"/>
    </row>
    <row r="1239" spans="1:12" x14ac:dyDescent="0.25">
      <c r="A1239" t="s">
        <v>748</v>
      </c>
      <c r="B1239" s="5">
        <v>406244</v>
      </c>
      <c r="C1239" t="s">
        <v>134</v>
      </c>
      <c r="D1239" s="1" t="str">
        <f t="shared" si="44"/>
        <v>40291</v>
      </c>
      <c r="E1239" t="s">
        <v>10</v>
      </c>
      <c r="F1239" t="s">
        <v>749</v>
      </c>
      <c r="G1239" s="1" t="str">
        <f>"009"</f>
        <v>009</v>
      </c>
      <c r="H1239" s="1">
        <v>2015</v>
      </c>
      <c r="I1239" s="6">
        <v>16584700</v>
      </c>
      <c r="J1239" s="6">
        <v>5128200</v>
      </c>
      <c r="K1239" s="6">
        <v>11456500</v>
      </c>
      <c r="L1239" s="7"/>
    </row>
    <row r="1240" spans="1:12" x14ac:dyDescent="0.25">
      <c r="A1240" t="s">
        <v>748</v>
      </c>
      <c r="B1240" s="5">
        <v>406244</v>
      </c>
      <c r="C1240" t="s">
        <v>134</v>
      </c>
      <c r="D1240" s="1" t="str">
        <f t="shared" si="44"/>
        <v>40291</v>
      </c>
      <c r="E1240" t="s">
        <v>10</v>
      </c>
      <c r="F1240" t="s">
        <v>749</v>
      </c>
      <c r="G1240" s="1" t="str">
        <f>"010"</f>
        <v>010</v>
      </c>
      <c r="H1240" s="1">
        <v>2015</v>
      </c>
      <c r="I1240" s="6">
        <v>60368700</v>
      </c>
      <c r="J1240" s="6">
        <v>3970400</v>
      </c>
      <c r="K1240" s="6">
        <v>56398300</v>
      </c>
      <c r="L1240" s="7"/>
    </row>
    <row r="1241" spans="1:12" x14ac:dyDescent="0.25">
      <c r="A1241" t="s">
        <v>748</v>
      </c>
      <c r="B1241" s="5">
        <v>406244</v>
      </c>
      <c r="C1241" t="s">
        <v>134</v>
      </c>
      <c r="D1241" s="1" t="str">
        <f t="shared" si="44"/>
        <v>40291</v>
      </c>
      <c r="E1241" t="s">
        <v>10</v>
      </c>
      <c r="F1241" t="s">
        <v>749</v>
      </c>
      <c r="G1241" s="1" t="str">
        <f>"011"</f>
        <v>011</v>
      </c>
      <c r="H1241" s="1">
        <v>2015</v>
      </c>
      <c r="I1241" s="6">
        <v>37491500</v>
      </c>
      <c r="J1241" s="6">
        <v>11163400</v>
      </c>
      <c r="K1241" s="6">
        <v>26328100</v>
      </c>
      <c r="L1241" s="7"/>
    </row>
    <row r="1242" spans="1:12" x14ac:dyDescent="0.25">
      <c r="A1242" t="s">
        <v>748</v>
      </c>
      <c r="B1242" s="5">
        <v>406244</v>
      </c>
      <c r="C1242" t="s">
        <v>134</v>
      </c>
      <c r="D1242" s="1" t="str">
        <f t="shared" si="44"/>
        <v>40291</v>
      </c>
      <c r="E1242" t="s">
        <v>10</v>
      </c>
      <c r="F1242" t="s">
        <v>749</v>
      </c>
      <c r="G1242" s="1" t="str">
        <f>"012"</f>
        <v>012</v>
      </c>
      <c r="H1242" s="1">
        <v>2018</v>
      </c>
      <c r="I1242" s="6">
        <v>36050900</v>
      </c>
      <c r="J1242" s="6">
        <v>35541200</v>
      </c>
      <c r="K1242" s="6">
        <v>509700</v>
      </c>
      <c r="L1242" s="7"/>
    </row>
    <row r="1243" spans="1:12" x14ac:dyDescent="0.25">
      <c r="A1243" t="s">
        <v>750</v>
      </c>
      <c r="B1243" s="5">
        <v>126251</v>
      </c>
      <c r="C1243" t="s">
        <v>221</v>
      </c>
      <c r="D1243" s="1" t="str">
        <f>"12191"</f>
        <v>12191</v>
      </c>
      <c r="E1243" t="s">
        <v>15</v>
      </c>
      <c r="F1243" t="s">
        <v>751</v>
      </c>
      <c r="G1243" s="1" t="str">
        <f>"002"</f>
        <v>002</v>
      </c>
      <c r="H1243" s="1">
        <v>1997</v>
      </c>
      <c r="I1243" s="6">
        <v>2870700</v>
      </c>
      <c r="J1243" s="6">
        <v>790100</v>
      </c>
      <c r="K1243" s="6">
        <v>2080600</v>
      </c>
      <c r="L1243" s="7"/>
    </row>
    <row r="1244" spans="1:12" x14ac:dyDescent="0.25">
      <c r="A1244" t="s">
        <v>752</v>
      </c>
      <c r="B1244" s="5">
        <v>76293</v>
      </c>
      <c r="C1244" t="s">
        <v>313</v>
      </c>
      <c r="D1244" s="1" t="str">
        <f>"07191"</f>
        <v>07191</v>
      </c>
      <c r="E1244" t="s">
        <v>15</v>
      </c>
      <c r="F1244" t="s">
        <v>753</v>
      </c>
      <c r="G1244" s="1" t="str">
        <f>"002"</f>
        <v>002</v>
      </c>
      <c r="H1244" s="1">
        <v>2005</v>
      </c>
      <c r="I1244" s="6">
        <v>3863100</v>
      </c>
      <c r="J1244" s="6">
        <v>3223200</v>
      </c>
      <c r="K1244" s="6">
        <v>639900</v>
      </c>
      <c r="L1244" s="7"/>
    </row>
    <row r="1245" spans="1:12" x14ac:dyDescent="0.25">
      <c r="A1245" t="s">
        <v>754</v>
      </c>
      <c r="B1245" s="5">
        <v>406300</v>
      </c>
      <c r="C1245" t="s">
        <v>134</v>
      </c>
      <c r="D1245" s="1" t="str">
        <f t="shared" ref="D1245:D1255" si="45">"40292"</f>
        <v>40292</v>
      </c>
      <c r="E1245" t="s">
        <v>10</v>
      </c>
      <c r="F1245" t="s">
        <v>755</v>
      </c>
      <c r="G1245" s="1" t="str">
        <f>"005"</f>
        <v>005</v>
      </c>
      <c r="H1245" s="1">
        <v>2001</v>
      </c>
      <c r="I1245" s="6">
        <v>47633100</v>
      </c>
      <c r="J1245" s="6">
        <v>18524000</v>
      </c>
      <c r="K1245" s="6">
        <v>29109100</v>
      </c>
      <c r="L1245" s="7"/>
    </row>
    <row r="1246" spans="1:12" x14ac:dyDescent="0.25">
      <c r="A1246" t="s">
        <v>754</v>
      </c>
      <c r="B1246" s="5">
        <v>406300</v>
      </c>
      <c r="C1246" t="s">
        <v>134</v>
      </c>
      <c r="D1246" s="1" t="str">
        <f t="shared" si="45"/>
        <v>40292</v>
      </c>
      <c r="E1246" t="s">
        <v>10</v>
      </c>
      <c r="F1246" t="s">
        <v>755</v>
      </c>
      <c r="G1246" s="1" t="str">
        <f>"006"</f>
        <v>006</v>
      </c>
      <c r="H1246" s="1">
        <v>2004</v>
      </c>
      <c r="I1246" s="6">
        <v>21241700</v>
      </c>
      <c r="J1246" s="6">
        <v>1330600</v>
      </c>
      <c r="K1246" s="6">
        <v>19911100</v>
      </c>
      <c r="L1246" s="7"/>
    </row>
    <row r="1247" spans="1:12" x14ac:dyDescent="0.25">
      <c r="A1247" t="s">
        <v>754</v>
      </c>
      <c r="B1247" s="5">
        <v>406300</v>
      </c>
      <c r="C1247" t="s">
        <v>134</v>
      </c>
      <c r="D1247" s="1" t="str">
        <f t="shared" si="45"/>
        <v>40292</v>
      </c>
      <c r="E1247" t="s">
        <v>10</v>
      </c>
      <c r="F1247" t="s">
        <v>755</v>
      </c>
      <c r="G1247" s="1" t="str">
        <f>"007"</f>
        <v>007</v>
      </c>
      <c r="H1247" s="1">
        <v>2004</v>
      </c>
      <c r="I1247" s="6">
        <v>89042200</v>
      </c>
      <c r="J1247" s="6">
        <v>15914400</v>
      </c>
      <c r="K1247" s="6">
        <v>73127800</v>
      </c>
      <c r="L1247" s="7"/>
    </row>
    <row r="1248" spans="1:12" x14ac:dyDescent="0.25">
      <c r="A1248" t="s">
        <v>754</v>
      </c>
      <c r="B1248" s="5">
        <v>406300</v>
      </c>
      <c r="C1248" t="s">
        <v>134</v>
      </c>
      <c r="D1248" s="1" t="str">
        <f t="shared" si="45"/>
        <v>40292</v>
      </c>
      <c r="E1248" t="s">
        <v>10</v>
      </c>
      <c r="F1248" t="s">
        <v>755</v>
      </c>
      <c r="G1248" s="1" t="str">
        <f>"009"</f>
        <v>009</v>
      </c>
      <c r="H1248" s="1">
        <v>2006</v>
      </c>
      <c r="I1248" s="6">
        <v>12999500</v>
      </c>
      <c r="J1248" s="6">
        <v>2299600</v>
      </c>
      <c r="K1248" s="6">
        <v>10699900</v>
      </c>
      <c r="L1248" s="7"/>
    </row>
    <row r="1249" spans="1:12" x14ac:dyDescent="0.25">
      <c r="A1249" t="s">
        <v>754</v>
      </c>
      <c r="B1249" s="5">
        <v>406300</v>
      </c>
      <c r="C1249" t="s">
        <v>134</v>
      </c>
      <c r="D1249" s="1" t="str">
        <f t="shared" si="45"/>
        <v>40292</v>
      </c>
      <c r="E1249" t="s">
        <v>10</v>
      </c>
      <c r="F1249" t="s">
        <v>755</v>
      </c>
      <c r="G1249" s="1" t="str">
        <f>"010"</f>
        <v>010</v>
      </c>
      <c r="H1249" s="1">
        <v>2008</v>
      </c>
      <c r="I1249" s="6">
        <v>13192800</v>
      </c>
      <c r="J1249" s="6">
        <v>3463600</v>
      </c>
      <c r="K1249" s="6">
        <v>9729200</v>
      </c>
      <c r="L1249" s="7"/>
    </row>
    <row r="1250" spans="1:12" x14ac:dyDescent="0.25">
      <c r="A1250" t="s">
        <v>754</v>
      </c>
      <c r="B1250" s="5">
        <v>406300</v>
      </c>
      <c r="C1250" t="s">
        <v>134</v>
      </c>
      <c r="D1250" s="1" t="str">
        <f t="shared" si="45"/>
        <v>40292</v>
      </c>
      <c r="E1250" t="s">
        <v>10</v>
      </c>
      <c r="F1250" t="s">
        <v>755</v>
      </c>
      <c r="G1250" s="1" t="str">
        <f>"011"</f>
        <v>011</v>
      </c>
      <c r="H1250" s="1">
        <v>2010</v>
      </c>
      <c r="I1250" s="6">
        <v>17042300</v>
      </c>
      <c r="J1250" s="6">
        <v>4678000</v>
      </c>
      <c r="K1250" s="6">
        <v>12364300</v>
      </c>
      <c r="L1250" s="7"/>
    </row>
    <row r="1251" spans="1:12" x14ac:dyDescent="0.25">
      <c r="A1251" t="s">
        <v>754</v>
      </c>
      <c r="B1251" s="5">
        <v>406300</v>
      </c>
      <c r="C1251" t="s">
        <v>134</v>
      </c>
      <c r="D1251" s="1" t="str">
        <f t="shared" si="45"/>
        <v>40292</v>
      </c>
      <c r="E1251" t="s">
        <v>10</v>
      </c>
      <c r="F1251" t="s">
        <v>755</v>
      </c>
      <c r="G1251" s="1" t="str">
        <f>"012"</f>
        <v>012</v>
      </c>
      <c r="H1251" s="1">
        <v>2011</v>
      </c>
      <c r="I1251" s="6">
        <v>0</v>
      </c>
      <c r="J1251" s="6">
        <v>232900</v>
      </c>
      <c r="K1251" s="6">
        <v>-232900</v>
      </c>
      <c r="L1251" s="7"/>
    </row>
    <row r="1252" spans="1:12" x14ac:dyDescent="0.25">
      <c r="A1252" t="s">
        <v>754</v>
      </c>
      <c r="B1252" s="5">
        <v>406300</v>
      </c>
      <c r="C1252" t="s">
        <v>134</v>
      </c>
      <c r="D1252" s="1" t="str">
        <f t="shared" si="45"/>
        <v>40292</v>
      </c>
      <c r="E1252" t="s">
        <v>10</v>
      </c>
      <c r="F1252" t="s">
        <v>755</v>
      </c>
      <c r="G1252" s="1" t="str">
        <f>"013"</f>
        <v>013</v>
      </c>
      <c r="H1252" s="1">
        <v>2011</v>
      </c>
      <c r="I1252" s="6">
        <v>814100</v>
      </c>
      <c r="J1252" s="6">
        <v>537400</v>
      </c>
      <c r="K1252" s="6">
        <v>276700</v>
      </c>
      <c r="L1252" s="7"/>
    </row>
    <row r="1253" spans="1:12" x14ac:dyDescent="0.25">
      <c r="A1253" t="s">
        <v>754</v>
      </c>
      <c r="B1253" s="5">
        <v>406300</v>
      </c>
      <c r="C1253" t="s">
        <v>134</v>
      </c>
      <c r="D1253" s="1" t="str">
        <f t="shared" si="45"/>
        <v>40292</v>
      </c>
      <c r="E1253" t="s">
        <v>10</v>
      </c>
      <c r="F1253" t="s">
        <v>755</v>
      </c>
      <c r="G1253" s="1" t="str">
        <f>"014"</f>
        <v>014</v>
      </c>
      <c r="H1253" s="1">
        <v>2015</v>
      </c>
      <c r="I1253" s="6">
        <v>559300</v>
      </c>
      <c r="J1253" s="6">
        <v>1354300</v>
      </c>
      <c r="K1253" s="6">
        <v>-795000</v>
      </c>
      <c r="L1253" s="7"/>
    </row>
    <row r="1254" spans="1:12" x14ac:dyDescent="0.25">
      <c r="A1254" t="s">
        <v>754</v>
      </c>
      <c r="B1254" s="5">
        <v>406300</v>
      </c>
      <c r="C1254" t="s">
        <v>134</v>
      </c>
      <c r="D1254" s="1" t="str">
        <f t="shared" si="45"/>
        <v>40292</v>
      </c>
      <c r="E1254" t="s">
        <v>10</v>
      </c>
      <c r="F1254" t="s">
        <v>755</v>
      </c>
      <c r="G1254" s="1" t="str">
        <f>"015"</f>
        <v>015</v>
      </c>
      <c r="H1254" s="1">
        <v>2016</v>
      </c>
      <c r="I1254" s="6">
        <v>7648200</v>
      </c>
      <c r="J1254" s="6">
        <v>0</v>
      </c>
      <c r="K1254" s="6">
        <v>7648200</v>
      </c>
      <c r="L1254" s="7"/>
    </row>
    <row r="1255" spans="1:12" x14ac:dyDescent="0.25">
      <c r="A1255" t="s">
        <v>754</v>
      </c>
      <c r="B1255" s="5">
        <v>406300</v>
      </c>
      <c r="C1255" t="s">
        <v>134</v>
      </c>
      <c r="D1255" s="1" t="str">
        <f t="shared" si="45"/>
        <v>40292</v>
      </c>
      <c r="E1255" t="s">
        <v>10</v>
      </c>
      <c r="F1255" t="s">
        <v>755</v>
      </c>
      <c r="G1255" s="1" t="str">
        <f>"016"</f>
        <v>016</v>
      </c>
      <c r="H1255" s="1">
        <v>2018</v>
      </c>
      <c r="I1255" s="6">
        <v>4229900</v>
      </c>
      <c r="J1255" s="6">
        <v>3283200</v>
      </c>
      <c r="K1255" s="6">
        <v>946700</v>
      </c>
      <c r="L1255" s="7"/>
    </row>
    <row r="1256" spans="1:12" x14ac:dyDescent="0.25">
      <c r="A1256" t="s">
        <v>754</v>
      </c>
      <c r="B1256" s="5">
        <v>406300</v>
      </c>
      <c r="C1256" t="s">
        <v>134</v>
      </c>
      <c r="D1256" s="1" t="str">
        <f>"40191"</f>
        <v>40191</v>
      </c>
      <c r="E1256" t="s">
        <v>15</v>
      </c>
      <c r="F1256" t="s">
        <v>756</v>
      </c>
      <c r="G1256" s="1" t="str">
        <f>"001E"</f>
        <v>001E</v>
      </c>
      <c r="H1256" s="1">
        <v>2016</v>
      </c>
      <c r="I1256" s="6">
        <v>7316800</v>
      </c>
      <c r="J1256" s="6">
        <v>833100</v>
      </c>
      <c r="K1256" s="6">
        <v>6483700</v>
      </c>
      <c r="L1256" s="7"/>
    </row>
    <row r="1257" spans="1:12" x14ac:dyDescent="0.25">
      <c r="A1257" t="s">
        <v>754</v>
      </c>
      <c r="B1257" s="5">
        <v>406300</v>
      </c>
      <c r="C1257" t="s">
        <v>134</v>
      </c>
      <c r="D1257" s="1" t="str">
        <f>"40191"</f>
        <v>40191</v>
      </c>
      <c r="E1257" t="s">
        <v>15</v>
      </c>
      <c r="F1257" t="s">
        <v>756</v>
      </c>
      <c r="G1257" s="1" t="str">
        <f>"002"</f>
        <v>002</v>
      </c>
      <c r="H1257" s="1">
        <v>2001</v>
      </c>
      <c r="I1257" s="6">
        <v>94135300</v>
      </c>
      <c r="J1257" s="6">
        <v>17674700</v>
      </c>
      <c r="K1257" s="6">
        <v>76460600</v>
      </c>
      <c r="L1257" s="7"/>
    </row>
    <row r="1258" spans="1:12" x14ac:dyDescent="0.25">
      <c r="A1258" t="s">
        <v>754</v>
      </c>
      <c r="B1258" s="5">
        <v>406300</v>
      </c>
      <c r="C1258" t="s">
        <v>134</v>
      </c>
      <c r="D1258" s="1" t="str">
        <f>"40191"</f>
        <v>40191</v>
      </c>
      <c r="E1258" t="s">
        <v>15</v>
      </c>
      <c r="F1258" t="s">
        <v>756</v>
      </c>
      <c r="G1258" s="1" t="str">
        <f>"003"</f>
        <v>003</v>
      </c>
      <c r="H1258" s="1">
        <v>2003</v>
      </c>
      <c r="I1258" s="6">
        <v>2374800</v>
      </c>
      <c r="J1258" s="6">
        <v>167200</v>
      </c>
      <c r="K1258" s="6">
        <v>2207600</v>
      </c>
      <c r="L1258" s="7"/>
    </row>
    <row r="1259" spans="1:12" x14ac:dyDescent="0.25">
      <c r="A1259" t="s">
        <v>757</v>
      </c>
      <c r="B1259" s="5">
        <v>666307</v>
      </c>
      <c r="C1259" t="s">
        <v>298</v>
      </c>
      <c r="D1259" s="1" t="str">
        <f>"66141"</f>
        <v>66141</v>
      </c>
      <c r="E1259" t="s">
        <v>15</v>
      </c>
      <c r="F1259" t="s">
        <v>26</v>
      </c>
      <c r="G1259" s="1" t="str">
        <f>"004"</f>
        <v>004</v>
      </c>
      <c r="H1259" s="1">
        <v>1995</v>
      </c>
      <c r="I1259" s="6">
        <v>46406600</v>
      </c>
      <c r="J1259" s="6">
        <v>645700</v>
      </c>
      <c r="K1259" s="6">
        <v>45760900</v>
      </c>
      <c r="L1259" s="7"/>
    </row>
    <row r="1260" spans="1:12" x14ac:dyDescent="0.25">
      <c r="A1260" t="s">
        <v>757</v>
      </c>
      <c r="B1260" s="5">
        <v>666307</v>
      </c>
      <c r="C1260" t="s">
        <v>298</v>
      </c>
      <c r="D1260" s="1" t="str">
        <f>"66141"</f>
        <v>66141</v>
      </c>
      <c r="E1260" t="s">
        <v>15</v>
      </c>
      <c r="F1260" t="s">
        <v>26</v>
      </c>
      <c r="G1260" s="1" t="str">
        <f>"005"</f>
        <v>005</v>
      </c>
      <c r="H1260" s="1">
        <v>2014</v>
      </c>
      <c r="I1260" s="6">
        <v>7156400</v>
      </c>
      <c r="J1260" s="6">
        <v>933100</v>
      </c>
      <c r="K1260" s="6">
        <v>6223300</v>
      </c>
      <c r="L1260" s="7"/>
    </row>
    <row r="1261" spans="1:12" x14ac:dyDescent="0.25">
      <c r="A1261" t="s">
        <v>757</v>
      </c>
      <c r="B1261" s="5">
        <v>666307</v>
      </c>
      <c r="C1261" t="s">
        <v>298</v>
      </c>
      <c r="D1261" s="1" t="str">
        <f>"66141"</f>
        <v>66141</v>
      </c>
      <c r="E1261" t="s">
        <v>15</v>
      </c>
      <c r="F1261" t="s">
        <v>26</v>
      </c>
      <c r="G1261" s="1" t="str">
        <f>"006"</f>
        <v>006</v>
      </c>
      <c r="H1261" s="1">
        <v>2018</v>
      </c>
      <c r="I1261" s="6">
        <v>2275200</v>
      </c>
      <c r="J1261" s="6">
        <v>474900</v>
      </c>
      <c r="K1261" s="6">
        <v>1800300</v>
      </c>
      <c r="L1261" s="7"/>
    </row>
    <row r="1262" spans="1:12" x14ac:dyDescent="0.25">
      <c r="A1262" t="s">
        <v>757</v>
      </c>
      <c r="B1262" s="5">
        <v>666307</v>
      </c>
      <c r="C1262" t="s">
        <v>298</v>
      </c>
      <c r="D1262" s="1" t="str">
        <f t="shared" ref="D1262:D1272" si="46">"66291"</f>
        <v>66291</v>
      </c>
      <c r="E1262" t="s">
        <v>10</v>
      </c>
      <c r="F1262" t="s">
        <v>758</v>
      </c>
      <c r="G1262" s="1" t="str">
        <f>"003"</f>
        <v>003</v>
      </c>
      <c r="H1262" s="1">
        <v>1995</v>
      </c>
      <c r="I1262" s="6">
        <v>31952900</v>
      </c>
      <c r="J1262" s="6">
        <v>4817700</v>
      </c>
      <c r="K1262" s="6">
        <v>27135200</v>
      </c>
      <c r="L1262" s="7"/>
    </row>
    <row r="1263" spans="1:12" x14ac:dyDescent="0.25">
      <c r="A1263" t="s">
        <v>757</v>
      </c>
      <c r="B1263" s="5">
        <v>666307</v>
      </c>
      <c r="C1263" t="s">
        <v>298</v>
      </c>
      <c r="D1263" s="1" t="str">
        <f t="shared" si="46"/>
        <v>66291</v>
      </c>
      <c r="E1263" t="s">
        <v>10</v>
      </c>
      <c r="F1263" t="s">
        <v>758</v>
      </c>
      <c r="G1263" s="1" t="str">
        <f>"004"</f>
        <v>004</v>
      </c>
      <c r="H1263" s="1">
        <v>1997</v>
      </c>
      <c r="I1263" s="6">
        <v>62751100</v>
      </c>
      <c r="J1263" s="6">
        <v>829900</v>
      </c>
      <c r="K1263" s="6">
        <v>61921200</v>
      </c>
      <c r="L1263" s="7"/>
    </row>
    <row r="1264" spans="1:12" x14ac:dyDescent="0.25">
      <c r="A1264" t="s">
        <v>757</v>
      </c>
      <c r="B1264" s="5">
        <v>666307</v>
      </c>
      <c r="C1264" t="s">
        <v>298</v>
      </c>
      <c r="D1264" s="1" t="str">
        <f t="shared" si="46"/>
        <v>66291</v>
      </c>
      <c r="E1264" t="s">
        <v>10</v>
      </c>
      <c r="F1264" t="s">
        <v>758</v>
      </c>
      <c r="G1264" s="1" t="str">
        <f>"005"</f>
        <v>005</v>
      </c>
      <c r="H1264" s="1">
        <v>1998</v>
      </c>
      <c r="I1264" s="6">
        <v>11355000</v>
      </c>
      <c r="J1264" s="6">
        <v>1793400</v>
      </c>
      <c r="K1264" s="6">
        <v>9561600</v>
      </c>
      <c r="L1264" s="7"/>
    </row>
    <row r="1265" spans="1:12" x14ac:dyDescent="0.25">
      <c r="A1265" t="s">
        <v>757</v>
      </c>
      <c r="B1265" s="5">
        <v>666307</v>
      </c>
      <c r="C1265" t="s">
        <v>298</v>
      </c>
      <c r="D1265" s="1" t="str">
        <f t="shared" si="46"/>
        <v>66291</v>
      </c>
      <c r="E1265" t="s">
        <v>10</v>
      </c>
      <c r="F1265" t="s">
        <v>758</v>
      </c>
      <c r="G1265" s="1" t="str">
        <f>"006"</f>
        <v>006</v>
      </c>
      <c r="H1265" s="1">
        <v>1999</v>
      </c>
      <c r="I1265" s="6">
        <v>38112200</v>
      </c>
      <c r="J1265" s="6">
        <v>4303400</v>
      </c>
      <c r="K1265" s="6">
        <v>33808800</v>
      </c>
      <c r="L1265" s="7"/>
    </row>
    <row r="1266" spans="1:12" x14ac:dyDescent="0.25">
      <c r="A1266" t="s">
        <v>757</v>
      </c>
      <c r="B1266" s="5">
        <v>666307</v>
      </c>
      <c r="C1266" t="s">
        <v>298</v>
      </c>
      <c r="D1266" s="1" t="str">
        <f t="shared" si="46"/>
        <v>66291</v>
      </c>
      <c r="E1266" t="s">
        <v>10</v>
      </c>
      <c r="F1266" t="s">
        <v>758</v>
      </c>
      <c r="G1266" s="1" t="str">
        <f>"007"</f>
        <v>007</v>
      </c>
      <c r="H1266" s="1">
        <v>1999</v>
      </c>
      <c r="I1266" s="6">
        <v>28505700</v>
      </c>
      <c r="J1266" s="6">
        <v>20976800</v>
      </c>
      <c r="K1266" s="6">
        <v>7528900</v>
      </c>
      <c r="L1266" s="7"/>
    </row>
    <row r="1267" spans="1:12" x14ac:dyDescent="0.25">
      <c r="A1267" t="s">
        <v>757</v>
      </c>
      <c r="B1267" s="5">
        <v>666307</v>
      </c>
      <c r="C1267" t="s">
        <v>298</v>
      </c>
      <c r="D1267" s="1" t="str">
        <f t="shared" si="46"/>
        <v>66291</v>
      </c>
      <c r="E1267" t="s">
        <v>10</v>
      </c>
      <c r="F1267" t="s">
        <v>758</v>
      </c>
      <c r="G1267" s="1" t="str">
        <f>"008"</f>
        <v>008</v>
      </c>
      <c r="H1267" s="1">
        <v>1999</v>
      </c>
      <c r="I1267" s="6">
        <v>1144500</v>
      </c>
      <c r="J1267" s="6">
        <v>66200</v>
      </c>
      <c r="K1267" s="6">
        <v>1078300</v>
      </c>
      <c r="L1267" s="7"/>
    </row>
    <row r="1268" spans="1:12" x14ac:dyDescent="0.25">
      <c r="A1268" t="s">
        <v>757</v>
      </c>
      <c r="B1268" s="5">
        <v>666307</v>
      </c>
      <c r="C1268" t="s">
        <v>298</v>
      </c>
      <c r="D1268" s="1" t="str">
        <f t="shared" si="46"/>
        <v>66291</v>
      </c>
      <c r="E1268" t="s">
        <v>10</v>
      </c>
      <c r="F1268" t="s">
        <v>758</v>
      </c>
      <c r="G1268" s="1" t="str">
        <f>"009"</f>
        <v>009</v>
      </c>
      <c r="H1268" s="1">
        <v>2003</v>
      </c>
      <c r="I1268" s="6">
        <v>5403600</v>
      </c>
      <c r="J1268" s="6">
        <v>4144200</v>
      </c>
      <c r="K1268" s="6">
        <v>1259400</v>
      </c>
      <c r="L1268" s="7"/>
    </row>
    <row r="1269" spans="1:12" x14ac:dyDescent="0.25">
      <c r="A1269" t="s">
        <v>757</v>
      </c>
      <c r="B1269" s="5">
        <v>666307</v>
      </c>
      <c r="C1269" t="s">
        <v>298</v>
      </c>
      <c r="D1269" s="1" t="str">
        <f t="shared" si="46"/>
        <v>66291</v>
      </c>
      <c r="E1269" t="s">
        <v>10</v>
      </c>
      <c r="F1269" t="s">
        <v>758</v>
      </c>
      <c r="G1269" s="1" t="str">
        <f>"010"</f>
        <v>010</v>
      </c>
      <c r="H1269" s="1">
        <v>2004</v>
      </c>
      <c r="I1269" s="6">
        <v>42158600</v>
      </c>
      <c r="J1269" s="6">
        <v>6593500</v>
      </c>
      <c r="K1269" s="6">
        <v>35565100</v>
      </c>
      <c r="L1269" s="7"/>
    </row>
    <row r="1270" spans="1:12" x14ac:dyDescent="0.25">
      <c r="A1270" t="s">
        <v>757</v>
      </c>
      <c r="B1270" s="5">
        <v>666307</v>
      </c>
      <c r="C1270" t="s">
        <v>298</v>
      </c>
      <c r="D1270" s="1" t="str">
        <f t="shared" si="46"/>
        <v>66291</v>
      </c>
      <c r="E1270" t="s">
        <v>10</v>
      </c>
      <c r="F1270" t="s">
        <v>758</v>
      </c>
      <c r="G1270" s="1" t="str">
        <f>"011"</f>
        <v>011</v>
      </c>
      <c r="H1270" s="1">
        <v>2005</v>
      </c>
      <c r="I1270" s="6">
        <v>22373300</v>
      </c>
      <c r="J1270" s="6">
        <v>9623000</v>
      </c>
      <c r="K1270" s="6">
        <v>12750300</v>
      </c>
      <c r="L1270" s="7"/>
    </row>
    <row r="1271" spans="1:12" x14ac:dyDescent="0.25">
      <c r="A1271" t="s">
        <v>757</v>
      </c>
      <c r="B1271" s="5">
        <v>666307</v>
      </c>
      <c r="C1271" t="s">
        <v>298</v>
      </c>
      <c r="D1271" s="1" t="str">
        <f t="shared" si="46"/>
        <v>66291</v>
      </c>
      <c r="E1271" t="s">
        <v>10</v>
      </c>
      <c r="F1271" t="s">
        <v>758</v>
      </c>
      <c r="G1271" s="1" t="str">
        <f>"012"</f>
        <v>012</v>
      </c>
      <c r="H1271" s="1">
        <v>2008</v>
      </c>
      <c r="I1271" s="6">
        <v>31215600</v>
      </c>
      <c r="J1271" s="6">
        <v>11804500</v>
      </c>
      <c r="K1271" s="6">
        <v>19411100</v>
      </c>
      <c r="L1271" s="7"/>
    </row>
    <row r="1272" spans="1:12" x14ac:dyDescent="0.25">
      <c r="A1272" t="s">
        <v>757</v>
      </c>
      <c r="B1272" s="5">
        <v>666307</v>
      </c>
      <c r="C1272" t="s">
        <v>298</v>
      </c>
      <c r="D1272" s="1" t="str">
        <f t="shared" si="46"/>
        <v>66291</v>
      </c>
      <c r="E1272" t="s">
        <v>10</v>
      </c>
      <c r="F1272" t="s">
        <v>758</v>
      </c>
      <c r="G1272" s="1" t="str">
        <f>"013"</f>
        <v>013</v>
      </c>
      <c r="H1272" s="1">
        <v>2011</v>
      </c>
      <c r="I1272" s="6">
        <v>4547700</v>
      </c>
      <c r="J1272" s="6">
        <v>3634200</v>
      </c>
      <c r="K1272" s="6">
        <v>913500</v>
      </c>
      <c r="L1272" s="7"/>
    </row>
    <row r="1273" spans="1:12" x14ac:dyDescent="0.25">
      <c r="A1273" t="s">
        <v>759</v>
      </c>
      <c r="B1273" s="5">
        <v>56328</v>
      </c>
      <c r="C1273" t="s">
        <v>53</v>
      </c>
      <c r="D1273" s="1" t="str">
        <f>"05104"</f>
        <v>05104</v>
      </c>
      <c r="E1273" t="s">
        <v>15</v>
      </c>
      <c r="F1273" t="s">
        <v>54</v>
      </c>
      <c r="G1273" s="1" t="str">
        <f>"004"</f>
        <v>004</v>
      </c>
      <c r="H1273" s="1">
        <v>2008</v>
      </c>
      <c r="I1273" s="6">
        <v>50623800</v>
      </c>
      <c r="J1273" s="6">
        <v>14946700</v>
      </c>
      <c r="K1273" s="6">
        <v>35677100</v>
      </c>
      <c r="L1273" s="7"/>
    </row>
    <row r="1274" spans="1:12" x14ac:dyDescent="0.25">
      <c r="A1274" t="s">
        <v>759</v>
      </c>
      <c r="B1274" s="5">
        <v>56328</v>
      </c>
      <c r="C1274" t="s">
        <v>53</v>
      </c>
      <c r="D1274" s="1" t="str">
        <f t="shared" ref="D1274:D1280" si="47">"05216"</f>
        <v>05216</v>
      </c>
      <c r="E1274" t="s">
        <v>10</v>
      </c>
      <c r="F1274" t="s">
        <v>218</v>
      </c>
      <c r="G1274" s="1" t="str">
        <f>"005"</f>
        <v>005</v>
      </c>
      <c r="H1274" s="1">
        <v>1996</v>
      </c>
      <c r="I1274" s="6">
        <v>46212000</v>
      </c>
      <c r="J1274" s="6">
        <v>11540700</v>
      </c>
      <c r="K1274" s="6">
        <v>34671300</v>
      </c>
      <c r="L1274" s="7"/>
    </row>
    <row r="1275" spans="1:12" x14ac:dyDescent="0.25">
      <c r="A1275" t="s">
        <v>759</v>
      </c>
      <c r="B1275" s="5">
        <v>56328</v>
      </c>
      <c r="C1275" t="s">
        <v>53</v>
      </c>
      <c r="D1275" s="1" t="str">
        <f t="shared" si="47"/>
        <v>05216</v>
      </c>
      <c r="E1275" t="s">
        <v>10</v>
      </c>
      <c r="F1275" t="s">
        <v>218</v>
      </c>
      <c r="G1275" s="1" t="str">
        <f>"006"</f>
        <v>006</v>
      </c>
      <c r="H1275" s="1">
        <v>1998</v>
      </c>
      <c r="I1275" s="6">
        <v>94872200</v>
      </c>
      <c r="J1275" s="6">
        <v>7042900</v>
      </c>
      <c r="K1275" s="6">
        <v>87829300</v>
      </c>
      <c r="L1275" s="7"/>
    </row>
    <row r="1276" spans="1:12" x14ac:dyDescent="0.25">
      <c r="A1276" t="s">
        <v>759</v>
      </c>
      <c r="B1276" s="5">
        <v>56328</v>
      </c>
      <c r="C1276" t="s">
        <v>53</v>
      </c>
      <c r="D1276" s="1" t="str">
        <f t="shared" si="47"/>
        <v>05216</v>
      </c>
      <c r="E1276" t="s">
        <v>10</v>
      </c>
      <c r="F1276" t="s">
        <v>218</v>
      </c>
      <c r="G1276" s="1" t="str">
        <f>"008"</f>
        <v>008</v>
      </c>
      <c r="H1276" s="1">
        <v>2007</v>
      </c>
      <c r="I1276" s="6">
        <v>50891500</v>
      </c>
      <c r="J1276" s="6">
        <v>36633200</v>
      </c>
      <c r="K1276" s="6">
        <v>14258300</v>
      </c>
      <c r="L1276" s="7"/>
    </row>
    <row r="1277" spans="1:12" x14ac:dyDescent="0.25">
      <c r="A1277" t="s">
        <v>759</v>
      </c>
      <c r="B1277" s="5">
        <v>56328</v>
      </c>
      <c r="C1277" t="s">
        <v>53</v>
      </c>
      <c r="D1277" s="1" t="str">
        <f t="shared" si="47"/>
        <v>05216</v>
      </c>
      <c r="E1277" t="s">
        <v>10</v>
      </c>
      <c r="F1277" t="s">
        <v>218</v>
      </c>
      <c r="G1277" s="1" t="str">
        <f>"009"</f>
        <v>009</v>
      </c>
      <c r="H1277" s="1">
        <v>2012</v>
      </c>
      <c r="I1277" s="6">
        <v>16681800</v>
      </c>
      <c r="J1277" s="6">
        <v>14776100</v>
      </c>
      <c r="K1277" s="6">
        <v>1905700</v>
      </c>
      <c r="L1277" s="7"/>
    </row>
    <row r="1278" spans="1:12" x14ac:dyDescent="0.25">
      <c r="A1278" t="s">
        <v>759</v>
      </c>
      <c r="B1278" s="5">
        <v>56328</v>
      </c>
      <c r="C1278" t="s">
        <v>53</v>
      </c>
      <c r="D1278" s="1" t="str">
        <f t="shared" si="47"/>
        <v>05216</v>
      </c>
      <c r="E1278" t="s">
        <v>10</v>
      </c>
      <c r="F1278" t="s">
        <v>218</v>
      </c>
      <c r="G1278" s="1" t="str">
        <f>"011"</f>
        <v>011</v>
      </c>
      <c r="H1278" s="1">
        <v>2015</v>
      </c>
      <c r="I1278" s="6">
        <v>12511300</v>
      </c>
      <c r="J1278" s="6">
        <v>6079500</v>
      </c>
      <c r="K1278" s="6">
        <v>6431800</v>
      </c>
      <c r="L1278" s="7"/>
    </row>
    <row r="1279" spans="1:12" x14ac:dyDescent="0.25">
      <c r="A1279" t="s">
        <v>759</v>
      </c>
      <c r="B1279" s="5">
        <v>56328</v>
      </c>
      <c r="C1279" t="s">
        <v>53</v>
      </c>
      <c r="D1279" s="1" t="str">
        <f t="shared" si="47"/>
        <v>05216</v>
      </c>
      <c r="E1279" t="s">
        <v>10</v>
      </c>
      <c r="F1279" t="s">
        <v>218</v>
      </c>
      <c r="G1279" s="1" t="str">
        <f>"012"</f>
        <v>012</v>
      </c>
      <c r="H1279" s="1">
        <v>2015</v>
      </c>
      <c r="I1279" s="6">
        <v>123100</v>
      </c>
      <c r="J1279" s="6">
        <v>129100</v>
      </c>
      <c r="K1279" s="6">
        <v>-6000</v>
      </c>
      <c r="L1279" s="7"/>
    </row>
    <row r="1280" spans="1:12" x14ac:dyDescent="0.25">
      <c r="A1280" t="s">
        <v>759</v>
      </c>
      <c r="B1280" s="5">
        <v>56328</v>
      </c>
      <c r="C1280" t="s">
        <v>53</v>
      </c>
      <c r="D1280" s="1" t="str">
        <f t="shared" si="47"/>
        <v>05216</v>
      </c>
      <c r="E1280" t="s">
        <v>10</v>
      </c>
      <c r="F1280" t="s">
        <v>218</v>
      </c>
      <c r="G1280" s="1" t="str">
        <f>"013"</f>
        <v>013</v>
      </c>
      <c r="H1280" s="1">
        <v>2017</v>
      </c>
      <c r="I1280" s="6">
        <v>54405400</v>
      </c>
      <c r="J1280" s="6">
        <v>53361100</v>
      </c>
      <c r="K1280" s="6">
        <v>1044300</v>
      </c>
      <c r="L1280" s="7"/>
    </row>
    <row r="1281" spans="1:12" x14ac:dyDescent="0.25">
      <c r="A1281" t="s">
        <v>759</v>
      </c>
      <c r="B1281" s="5">
        <v>56328</v>
      </c>
      <c r="C1281" t="s">
        <v>53</v>
      </c>
      <c r="D1281" s="1" t="str">
        <f>"05126"</f>
        <v>05126</v>
      </c>
      <c r="E1281" t="s">
        <v>15</v>
      </c>
      <c r="F1281" t="s">
        <v>580</v>
      </c>
      <c r="G1281" s="1" t="str">
        <f>"002"</f>
        <v>002</v>
      </c>
      <c r="H1281" s="1">
        <v>2011</v>
      </c>
      <c r="I1281" s="6">
        <v>71643400</v>
      </c>
      <c r="J1281" s="6">
        <v>3285500</v>
      </c>
      <c r="K1281" s="6">
        <v>68357900</v>
      </c>
      <c r="L1281" s="7"/>
    </row>
    <row r="1282" spans="1:12" x14ac:dyDescent="0.25">
      <c r="A1282" t="s">
        <v>759</v>
      </c>
      <c r="B1282" s="5">
        <v>56328</v>
      </c>
      <c r="C1282" t="s">
        <v>53</v>
      </c>
      <c r="D1282" s="1" t="str">
        <f>"05024"</f>
        <v>05024</v>
      </c>
      <c r="E1282" t="s">
        <v>17</v>
      </c>
      <c r="F1282" t="s">
        <v>760</v>
      </c>
      <c r="G1282" s="1" t="str">
        <f>"001A"</f>
        <v>001A</v>
      </c>
      <c r="H1282" s="1">
        <v>2018</v>
      </c>
      <c r="I1282" s="6">
        <v>983600</v>
      </c>
      <c r="J1282" s="6">
        <v>212900</v>
      </c>
      <c r="K1282" s="6">
        <v>770700</v>
      </c>
      <c r="L1282" s="7"/>
    </row>
    <row r="1283" spans="1:12" x14ac:dyDescent="0.25">
      <c r="A1283" t="s">
        <v>759</v>
      </c>
      <c r="B1283" s="5">
        <v>56328</v>
      </c>
      <c r="C1283" t="s">
        <v>53</v>
      </c>
      <c r="D1283" s="1" t="str">
        <f>"05024"</f>
        <v>05024</v>
      </c>
      <c r="E1283" t="s">
        <v>17</v>
      </c>
      <c r="F1283" t="s">
        <v>760</v>
      </c>
      <c r="G1283" s="1" t="str">
        <f>"002A"</f>
        <v>002A</v>
      </c>
      <c r="H1283" s="1">
        <v>2018</v>
      </c>
      <c r="I1283" s="6">
        <v>5674600</v>
      </c>
      <c r="J1283" s="6">
        <v>1218900</v>
      </c>
      <c r="K1283" s="6">
        <v>4455700</v>
      </c>
      <c r="L1283" s="7"/>
    </row>
    <row r="1284" spans="1:12" x14ac:dyDescent="0.25">
      <c r="A1284" t="s">
        <v>761</v>
      </c>
      <c r="B1284" s="5">
        <v>326370</v>
      </c>
      <c r="C1284" t="s">
        <v>67</v>
      </c>
      <c r="D1284" s="1" t="str">
        <f>"32191"</f>
        <v>32191</v>
      </c>
      <c r="E1284" t="s">
        <v>15</v>
      </c>
      <c r="F1284" t="s">
        <v>762</v>
      </c>
      <c r="G1284" s="1" t="str">
        <f>"001"</f>
        <v>001</v>
      </c>
      <c r="H1284" s="1">
        <v>2007</v>
      </c>
      <c r="I1284" s="6">
        <v>18657300</v>
      </c>
      <c r="J1284" s="6">
        <v>4910800</v>
      </c>
      <c r="K1284" s="6">
        <v>13746500</v>
      </c>
      <c r="L1284" s="7"/>
    </row>
    <row r="1285" spans="1:12" x14ac:dyDescent="0.25">
      <c r="A1285" t="s">
        <v>763</v>
      </c>
      <c r="B1285" s="5">
        <v>626321</v>
      </c>
      <c r="C1285" t="s">
        <v>224</v>
      </c>
      <c r="D1285" s="1" t="str">
        <f>"62291"</f>
        <v>62291</v>
      </c>
      <c r="E1285" t="s">
        <v>10</v>
      </c>
      <c r="F1285" t="s">
        <v>764</v>
      </c>
      <c r="G1285" s="1" t="str">
        <f>"002"</f>
        <v>002</v>
      </c>
      <c r="H1285" s="1">
        <v>2007</v>
      </c>
      <c r="I1285" s="6">
        <v>12383300</v>
      </c>
      <c r="J1285" s="6">
        <v>6226700</v>
      </c>
      <c r="K1285" s="6">
        <v>6156600</v>
      </c>
      <c r="L1285" s="7"/>
    </row>
    <row r="1286" spans="1:12" x14ac:dyDescent="0.25">
      <c r="A1286" t="s">
        <v>763</v>
      </c>
      <c r="B1286" s="5">
        <v>626321</v>
      </c>
      <c r="C1286" t="s">
        <v>224</v>
      </c>
      <c r="D1286" s="1" t="str">
        <f>"62291"</f>
        <v>62291</v>
      </c>
      <c r="E1286" t="s">
        <v>10</v>
      </c>
      <c r="F1286" t="s">
        <v>764</v>
      </c>
      <c r="G1286" s="1" t="str">
        <f>"003"</f>
        <v>003</v>
      </c>
      <c r="H1286" s="1">
        <v>2008</v>
      </c>
      <c r="I1286" s="6">
        <v>13722800</v>
      </c>
      <c r="J1286" s="6">
        <v>6591700</v>
      </c>
      <c r="K1286" s="6">
        <v>7131100</v>
      </c>
      <c r="L1286" s="7"/>
    </row>
    <row r="1287" spans="1:12" x14ac:dyDescent="0.25">
      <c r="A1287" t="s">
        <v>765</v>
      </c>
      <c r="B1287" s="5">
        <v>396335</v>
      </c>
      <c r="C1287" t="s">
        <v>565</v>
      </c>
      <c r="D1287" s="1" t="str">
        <f>"39191"</f>
        <v>39191</v>
      </c>
      <c r="E1287" t="s">
        <v>15</v>
      </c>
      <c r="F1287" t="s">
        <v>766</v>
      </c>
      <c r="G1287" s="1" t="str">
        <f>"001"</f>
        <v>001</v>
      </c>
      <c r="H1287" s="1">
        <v>1993</v>
      </c>
      <c r="I1287" s="6">
        <v>12519100</v>
      </c>
      <c r="J1287" s="6">
        <v>2748500</v>
      </c>
      <c r="K1287" s="6">
        <v>9770600</v>
      </c>
      <c r="L1287" s="7"/>
    </row>
    <row r="1288" spans="1:12" x14ac:dyDescent="0.25">
      <c r="A1288" t="s">
        <v>765</v>
      </c>
      <c r="B1288" s="5">
        <v>396335</v>
      </c>
      <c r="C1288" t="s">
        <v>101</v>
      </c>
      <c r="D1288" s="1" t="str">
        <f>"69111"</f>
        <v>69111</v>
      </c>
      <c r="E1288" t="s">
        <v>15</v>
      </c>
      <c r="F1288" t="s">
        <v>767</v>
      </c>
      <c r="G1288" s="1" t="str">
        <f>"002"</f>
        <v>002</v>
      </c>
      <c r="H1288" s="1">
        <v>2005</v>
      </c>
      <c r="I1288" s="6">
        <v>3779500</v>
      </c>
      <c r="J1288" s="6">
        <v>1243100</v>
      </c>
      <c r="K1288" s="6">
        <v>2536400</v>
      </c>
      <c r="L1288" s="7"/>
    </row>
    <row r="1289" spans="1:12" x14ac:dyDescent="0.25">
      <c r="A1289" t="s">
        <v>768</v>
      </c>
      <c r="B1289" s="5">
        <v>686384</v>
      </c>
      <c r="C1289" t="s">
        <v>181</v>
      </c>
      <c r="D1289" s="1" t="str">
        <f>"68042"</f>
        <v>68042</v>
      </c>
      <c r="E1289" t="s">
        <v>17</v>
      </c>
      <c r="F1289" t="s">
        <v>769</v>
      </c>
      <c r="G1289" s="1" t="str">
        <f>"001T"</f>
        <v>001T</v>
      </c>
      <c r="H1289" s="1">
        <v>2005</v>
      </c>
      <c r="I1289" s="6">
        <v>7025200</v>
      </c>
      <c r="J1289" s="6">
        <v>1668700</v>
      </c>
      <c r="K1289" s="6">
        <v>5356500</v>
      </c>
      <c r="L1289" s="7"/>
    </row>
    <row r="1290" spans="1:12" x14ac:dyDescent="0.25">
      <c r="A1290" t="s">
        <v>768</v>
      </c>
      <c r="B1290" s="5">
        <v>686384</v>
      </c>
      <c r="C1290" t="s">
        <v>181</v>
      </c>
      <c r="D1290" s="1" t="str">
        <f>"68292"</f>
        <v>68292</v>
      </c>
      <c r="E1290" t="s">
        <v>10</v>
      </c>
      <c r="F1290" t="s">
        <v>769</v>
      </c>
      <c r="G1290" s="1" t="str">
        <f>"004"</f>
        <v>004</v>
      </c>
      <c r="H1290" s="1">
        <v>2001</v>
      </c>
      <c r="I1290" s="6">
        <v>4787100</v>
      </c>
      <c r="J1290" s="6">
        <v>458800</v>
      </c>
      <c r="K1290" s="6">
        <v>4328300</v>
      </c>
      <c r="L1290" s="7"/>
    </row>
    <row r="1291" spans="1:12" x14ac:dyDescent="0.25">
      <c r="A1291" t="s">
        <v>768</v>
      </c>
      <c r="B1291" s="5">
        <v>686384</v>
      </c>
      <c r="C1291" t="s">
        <v>181</v>
      </c>
      <c r="D1291" s="1" t="str">
        <f>"68292"</f>
        <v>68292</v>
      </c>
      <c r="E1291" t="s">
        <v>10</v>
      </c>
      <c r="F1291" t="s">
        <v>769</v>
      </c>
      <c r="G1291" s="1" t="str">
        <f>"005"</f>
        <v>005</v>
      </c>
      <c r="H1291" s="1">
        <v>2007</v>
      </c>
      <c r="I1291" s="6">
        <v>2264000</v>
      </c>
      <c r="J1291" s="6">
        <v>1858800</v>
      </c>
      <c r="K1291" s="6">
        <v>405200</v>
      </c>
      <c r="L1291" s="7"/>
    </row>
    <row r="1292" spans="1:12" x14ac:dyDescent="0.25">
      <c r="A1292" t="s">
        <v>768</v>
      </c>
      <c r="B1292" s="5">
        <v>686384</v>
      </c>
      <c r="C1292" t="s">
        <v>181</v>
      </c>
      <c r="D1292" s="1" t="str">
        <f>"68292"</f>
        <v>68292</v>
      </c>
      <c r="E1292" t="s">
        <v>10</v>
      </c>
      <c r="F1292" t="s">
        <v>769</v>
      </c>
      <c r="G1292" s="1" t="str">
        <f>"006"</f>
        <v>006</v>
      </c>
      <c r="H1292" s="1">
        <v>2015</v>
      </c>
      <c r="I1292" s="6">
        <v>10590600</v>
      </c>
      <c r="J1292" s="6">
        <v>6611000</v>
      </c>
      <c r="K1292" s="6">
        <v>3979600</v>
      </c>
      <c r="L1292" s="7"/>
    </row>
    <row r="1293" spans="1:12" x14ac:dyDescent="0.25">
      <c r="A1293" t="s">
        <v>768</v>
      </c>
      <c r="B1293" s="5">
        <v>686384</v>
      </c>
      <c r="C1293" t="s">
        <v>181</v>
      </c>
      <c r="D1293" s="1" t="str">
        <f>"68292"</f>
        <v>68292</v>
      </c>
      <c r="E1293" t="s">
        <v>10</v>
      </c>
      <c r="F1293" t="s">
        <v>769</v>
      </c>
      <c r="G1293" s="1" t="str">
        <f>"007"</f>
        <v>007</v>
      </c>
      <c r="H1293" s="1">
        <v>2015</v>
      </c>
      <c r="I1293" s="6">
        <v>1408100</v>
      </c>
      <c r="J1293" s="6">
        <v>749700</v>
      </c>
      <c r="K1293" s="6">
        <v>658400</v>
      </c>
      <c r="L1293" s="7"/>
    </row>
    <row r="1294" spans="1:12" x14ac:dyDescent="0.25">
      <c r="A1294" t="s">
        <v>770</v>
      </c>
      <c r="B1294" s="5">
        <v>406419</v>
      </c>
      <c r="C1294" t="s">
        <v>134</v>
      </c>
      <c r="D1294" s="1" t="str">
        <f>"40181"</f>
        <v>40181</v>
      </c>
      <c r="E1294" t="s">
        <v>15</v>
      </c>
      <c r="F1294" t="s">
        <v>649</v>
      </c>
      <c r="G1294" s="1" t="str">
        <f>"001"</f>
        <v>001</v>
      </c>
      <c r="H1294" s="1">
        <v>1995</v>
      </c>
      <c r="I1294" s="6">
        <v>3077600</v>
      </c>
      <c r="J1294" s="6">
        <v>436700</v>
      </c>
      <c r="K1294" s="6">
        <v>2640900</v>
      </c>
      <c r="L1294" s="7"/>
    </row>
    <row r="1295" spans="1:12" x14ac:dyDescent="0.25">
      <c r="A1295" t="s">
        <v>770</v>
      </c>
      <c r="B1295" s="5">
        <v>406419</v>
      </c>
      <c r="C1295" t="s">
        <v>134</v>
      </c>
      <c r="D1295" s="1" t="str">
        <f>"40192"</f>
        <v>40192</v>
      </c>
      <c r="E1295" t="s">
        <v>15</v>
      </c>
      <c r="F1295" t="s">
        <v>771</v>
      </c>
      <c r="G1295" s="1" t="str">
        <f>"001"</f>
        <v>001</v>
      </c>
      <c r="H1295" s="1">
        <v>2004</v>
      </c>
      <c r="I1295" s="6">
        <v>61604300</v>
      </c>
      <c r="J1295" s="6">
        <v>38403700</v>
      </c>
      <c r="K1295" s="6">
        <v>23200600</v>
      </c>
      <c r="L1295" s="7"/>
    </row>
    <row r="1296" spans="1:12" x14ac:dyDescent="0.25">
      <c r="A1296" t="s">
        <v>770</v>
      </c>
      <c r="B1296" s="5">
        <v>406419</v>
      </c>
      <c r="C1296" t="s">
        <v>134</v>
      </c>
      <c r="D1296" s="1" t="str">
        <f>"40192"</f>
        <v>40192</v>
      </c>
      <c r="E1296" t="s">
        <v>15</v>
      </c>
      <c r="F1296" t="s">
        <v>771</v>
      </c>
      <c r="G1296" s="1" t="str">
        <f>"002"</f>
        <v>002</v>
      </c>
      <c r="H1296" s="1">
        <v>2013</v>
      </c>
      <c r="I1296" s="6">
        <v>16522100</v>
      </c>
      <c r="J1296" s="6">
        <v>405600</v>
      </c>
      <c r="K1296" s="6">
        <v>16116500</v>
      </c>
      <c r="L1296" s="7"/>
    </row>
    <row r="1297" spans="1:12" x14ac:dyDescent="0.25">
      <c r="A1297" t="s">
        <v>772</v>
      </c>
      <c r="B1297" s="5">
        <v>616426</v>
      </c>
      <c r="C1297" t="s">
        <v>45</v>
      </c>
      <c r="D1297" s="1" t="str">
        <f>"61291"</f>
        <v>61291</v>
      </c>
      <c r="E1297" t="s">
        <v>10</v>
      </c>
      <c r="F1297" t="s">
        <v>365</v>
      </c>
      <c r="G1297" s="1" t="str">
        <f>"002"</f>
        <v>002</v>
      </c>
      <c r="H1297" s="1">
        <v>2006</v>
      </c>
      <c r="I1297" s="6">
        <v>5916600</v>
      </c>
      <c r="J1297" s="6">
        <v>989100</v>
      </c>
      <c r="K1297" s="6">
        <v>4927500</v>
      </c>
      <c r="L1297" s="7"/>
    </row>
    <row r="1298" spans="1:12" x14ac:dyDescent="0.25">
      <c r="A1298" t="s">
        <v>772</v>
      </c>
      <c r="B1298" s="5">
        <v>616426</v>
      </c>
      <c r="C1298" t="s">
        <v>45</v>
      </c>
      <c r="D1298" s="1" t="str">
        <f>"61291"</f>
        <v>61291</v>
      </c>
      <c r="E1298" t="s">
        <v>10</v>
      </c>
      <c r="F1298" t="s">
        <v>365</v>
      </c>
      <c r="G1298" s="1" t="str">
        <f>"003"</f>
        <v>003</v>
      </c>
      <c r="H1298" s="1">
        <v>2006</v>
      </c>
      <c r="I1298" s="6">
        <v>22423300</v>
      </c>
      <c r="J1298" s="6">
        <v>7349200</v>
      </c>
      <c r="K1298" s="6">
        <v>15074100</v>
      </c>
      <c r="L1298" s="7"/>
    </row>
    <row r="1299" spans="1:12" x14ac:dyDescent="0.25">
      <c r="A1299" t="s">
        <v>773</v>
      </c>
      <c r="B1299" s="5">
        <v>646461</v>
      </c>
      <c r="C1299" t="s">
        <v>287</v>
      </c>
      <c r="D1299" s="1" t="str">
        <f>"28292"</f>
        <v>28292</v>
      </c>
      <c r="E1299" t="s">
        <v>10</v>
      </c>
      <c r="F1299" t="s">
        <v>774</v>
      </c>
      <c r="G1299" s="1" t="str">
        <f>"004"</f>
        <v>004</v>
      </c>
      <c r="H1299" s="1">
        <v>1990</v>
      </c>
      <c r="I1299" s="6">
        <v>30932400</v>
      </c>
      <c r="J1299" s="6">
        <v>968200</v>
      </c>
      <c r="K1299" s="6">
        <v>29964200</v>
      </c>
      <c r="L1299" s="7"/>
    </row>
    <row r="1300" spans="1:12" x14ac:dyDescent="0.25">
      <c r="A1300" t="s">
        <v>773</v>
      </c>
      <c r="B1300" s="5">
        <v>646461</v>
      </c>
      <c r="C1300" t="s">
        <v>287</v>
      </c>
      <c r="D1300" s="1" t="str">
        <f>"28292"</f>
        <v>28292</v>
      </c>
      <c r="E1300" t="s">
        <v>10</v>
      </c>
      <c r="F1300" t="s">
        <v>774</v>
      </c>
      <c r="G1300" s="1" t="str">
        <f>"005"</f>
        <v>005</v>
      </c>
      <c r="H1300" s="1">
        <v>2007</v>
      </c>
      <c r="I1300" s="6">
        <v>13900</v>
      </c>
      <c r="J1300" s="6">
        <v>14500</v>
      </c>
      <c r="K1300" s="6">
        <v>-600</v>
      </c>
      <c r="L1300" s="7"/>
    </row>
    <row r="1301" spans="1:12" x14ac:dyDescent="0.25">
      <c r="A1301" t="s">
        <v>773</v>
      </c>
      <c r="B1301" s="5">
        <v>646461</v>
      </c>
      <c r="C1301" t="s">
        <v>287</v>
      </c>
      <c r="D1301" s="1" t="str">
        <f>"28292"</f>
        <v>28292</v>
      </c>
      <c r="E1301" t="s">
        <v>10</v>
      </c>
      <c r="F1301" t="s">
        <v>774</v>
      </c>
      <c r="G1301" s="1" t="str">
        <f>"008"</f>
        <v>008</v>
      </c>
      <c r="H1301" s="1">
        <v>2007</v>
      </c>
      <c r="I1301" s="6">
        <v>575100</v>
      </c>
      <c r="J1301" s="6">
        <v>503700</v>
      </c>
      <c r="K1301" s="6">
        <v>71400</v>
      </c>
      <c r="L1301" s="7"/>
    </row>
    <row r="1302" spans="1:12" x14ac:dyDescent="0.25">
      <c r="A1302" t="s">
        <v>773</v>
      </c>
      <c r="B1302" s="5">
        <v>646461</v>
      </c>
      <c r="C1302" t="s">
        <v>140</v>
      </c>
      <c r="D1302" s="1" t="str">
        <f>"64291"</f>
        <v>64291</v>
      </c>
      <c r="E1302" t="s">
        <v>10</v>
      </c>
      <c r="F1302" t="s">
        <v>774</v>
      </c>
      <c r="G1302" s="1" t="str">
        <f>"004"</f>
        <v>004</v>
      </c>
      <c r="H1302" s="1">
        <v>1990</v>
      </c>
      <c r="I1302" s="6">
        <v>80629500</v>
      </c>
      <c r="J1302" s="6">
        <v>21477100</v>
      </c>
      <c r="K1302" s="6">
        <v>59152400</v>
      </c>
      <c r="L1302" s="7"/>
    </row>
    <row r="1303" spans="1:12" x14ac:dyDescent="0.25">
      <c r="A1303" t="s">
        <v>773</v>
      </c>
      <c r="B1303" s="5">
        <v>646461</v>
      </c>
      <c r="C1303" t="s">
        <v>140</v>
      </c>
      <c r="D1303" s="1" t="str">
        <f>"64291"</f>
        <v>64291</v>
      </c>
      <c r="E1303" t="s">
        <v>10</v>
      </c>
      <c r="F1303" t="s">
        <v>774</v>
      </c>
      <c r="G1303" s="1" t="str">
        <f>"005"</f>
        <v>005</v>
      </c>
      <c r="H1303" s="1">
        <v>2007</v>
      </c>
      <c r="I1303" s="6">
        <v>3847700</v>
      </c>
      <c r="J1303" s="6">
        <v>3313200</v>
      </c>
      <c r="K1303" s="6">
        <v>534500</v>
      </c>
      <c r="L1303" s="7"/>
    </row>
    <row r="1304" spans="1:12" x14ac:dyDescent="0.25">
      <c r="A1304" t="s">
        <v>773</v>
      </c>
      <c r="B1304" s="5">
        <v>646461</v>
      </c>
      <c r="C1304" t="s">
        <v>140</v>
      </c>
      <c r="D1304" s="1" t="str">
        <f>"64291"</f>
        <v>64291</v>
      </c>
      <c r="E1304" t="s">
        <v>10</v>
      </c>
      <c r="F1304" t="s">
        <v>774</v>
      </c>
      <c r="G1304" s="1" t="str">
        <f>"006"</f>
        <v>006</v>
      </c>
      <c r="H1304" s="1">
        <v>2007</v>
      </c>
      <c r="I1304" s="6">
        <v>5807800</v>
      </c>
      <c r="J1304" s="6">
        <v>2623100</v>
      </c>
      <c r="K1304" s="6">
        <v>3184700</v>
      </c>
      <c r="L1304" s="7"/>
    </row>
    <row r="1305" spans="1:12" x14ac:dyDescent="0.25">
      <c r="A1305" t="s">
        <v>773</v>
      </c>
      <c r="B1305" s="5">
        <v>646461</v>
      </c>
      <c r="C1305" t="s">
        <v>140</v>
      </c>
      <c r="D1305" s="1" t="str">
        <f>"64291"</f>
        <v>64291</v>
      </c>
      <c r="E1305" t="s">
        <v>10</v>
      </c>
      <c r="F1305" t="s">
        <v>774</v>
      </c>
      <c r="G1305" s="1" t="str">
        <f>"007"</f>
        <v>007</v>
      </c>
      <c r="H1305" s="1">
        <v>2007</v>
      </c>
      <c r="I1305" s="6">
        <v>309400</v>
      </c>
      <c r="J1305" s="6">
        <v>646700</v>
      </c>
      <c r="K1305" s="6">
        <v>-337300</v>
      </c>
      <c r="L1305" s="7"/>
    </row>
    <row r="1306" spans="1:12" x14ac:dyDescent="0.25">
      <c r="A1306" t="s">
        <v>773</v>
      </c>
      <c r="B1306" s="5">
        <v>646461</v>
      </c>
      <c r="C1306" t="s">
        <v>140</v>
      </c>
      <c r="D1306" s="1" t="str">
        <f>"64291"</f>
        <v>64291</v>
      </c>
      <c r="E1306" t="s">
        <v>10</v>
      </c>
      <c r="F1306" t="s">
        <v>774</v>
      </c>
      <c r="G1306" s="1" t="str">
        <f>"009"</f>
        <v>009</v>
      </c>
      <c r="H1306" s="1">
        <v>2007</v>
      </c>
      <c r="I1306" s="6">
        <v>63900</v>
      </c>
      <c r="J1306" s="6">
        <v>38700</v>
      </c>
      <c r="K1306" s="6">
        <v>25200</v>
      </c>
      <c r="L1306" s="7"/>
    </row>
    <row r="1307" spans="1:12" x14ac:dyDescent="0.25">
      <c r="A1307" t="s">
        <v>775</v>
      </c>
      <c r="B1307" s="5">
        <v>406470</v>
      </c>
      <c r="C1307" t="s">
        <v>134</v>
      </c>
      <c r="D1307" s="1" t="str">
        <f>"40236"</f>
        <v>40236</v>
      </c>
      <c r="E1307" t="s">
        <v>10</v>
      </c>
      <c r="F1307" t="s">
        <v>323</v>
      </c>
      <c r="G1307" s="1" t="str">
        <f>"002"</f>
        <v>002</v>
      </c>
      <c r="H1307" s="1">
        <v>2007</v>
      </c>
      <c r="I1307" s="6">
        <v>63968700</v>
      </c>
      <c r="J1307" s="6">
        <v>14974600</v>
      </c>
      <c r="K1307" s="6">
        <v>48994100</v>
      </c>
      <c r="L1307" s="7"/>
    </row>
    <row r="1308" spans="1:12" x14ac:dyDescent="0.25">
      <c r="A1308" t="s">
        <v>775</v>
      </c>
      <c r="B1308" s="5">
        <v>406470</v>
      </c>
      <c r="C1308" t="s">
        <v>134</v>
      </c>
      <c r="D1308" s="1" t="str">
        <f>"40136"</f>
        <v>40136</v>
      </c>
      <c r="E1308" t="s">
        <v>15</v>
      </c>
      <c r="F1308" t="s">
        <v>776</v>
      </c>
      <c r="G1308" s="1" t="str">
        <f>"003"</f>
        <v>003</v>
      </c>
      <c r="H1308" s="1">
        <v>2008</v>
      </c>
      <c r="I1308" s="6">
        <v>10014400</v>
      </c>
      <c r="J1308" s="6">
        <v>6149800</v>
      </c>
      <c r="K1308" s="6">
        <v>3864600</v>
      </c>
      <c r="L1308" s="7"/>
    </row>
    <row r="1309" spans="1:12" x14ac:dyDescent="0.25">
      <c r="A1309" t="s">
        <v>775</v>
      </c>
      <c r="B1309" s="5">
        <v>406470</v>
      </c>
      <c r="C1309" t="s">
        <v>134</v>
      </c>
      <c r="D1309" s="1" t="str">
        <f>"40136"</f>
        <v>40136</v>
      </c>
      <c r="E1309" t="s">
        <v>15</v>
      </c>
      <c r="F1309" t="s">
        <v>776</v>
      </c>
      <c r="G1309" s="1" t="str">
        <f>"004"</f>
        <v>004</v>
      </c>
      <c r="H1309" s="1">
        <v>2016</v>
      </c>
      <c r="I1309" s="6">
        <v>16225000</v>
      </c>
      <c r="J1309" s="6">
        <v>11977200</v>
      </c>
      <c r="K1309" s="6">
        <v>4247800</v>
      </c>
      <c r="L1309" s="7"/>
    </row>
    <row r="1310" spans="1:12" x14ac:dyDescent="0.25">
      <c r="A1310" t="s">
        <v>777</v>
      </c>
      <c r="B1310" s="5">
        <v>696475</v>
      </c>
      <c r="C1310" t="s">
        <v>101</v>
      </c>
      <c r="D1310" s="1" t="str">
        <f>"69191"</f>
        <v>69191</v>
      </c>
      <c r="E1310" t="s">
        <v>15</v>
      </c>
      <c r="F1310" t="s">
        <v>778</v>
      </c>
      <c r="G1310" s="1" t="str">
        <f>"002"</f>
        <v>002</v>
      </c>
      <c r="H1310" s="1">
        <v>2000</v>
      </c>
      <c r="I1310" s="6">
        <v>2181500</v>
      </c>
      <c r="J1310" s="6">
        <v>1005000</v>
      </c>
      <c r="K1310" s="6">
        <v>1176500</v>
      </c>
      <c r="L1310" s="7"/>
    </row>
    <row r="1311" spans="1:12" x14ac:dyDescent="0.25">
      <c r="A1311" t="s">
        <v>777</v>
      </c>
      <c r="B1311" s="5">
        <v>696475</v>
      </c>
      <c r="C1311" t="s">
        <v>101</v>
      </c>
      <c r="D1311" s="1" t="str">
        <f>"69191"</f>
        <v>69191</v>
      </c>
      <c r="E1311" t="s">
        <v>15</v>
      </c>
      <c r="F1311" t="s">
        <v>778</v>
      </c>
      <c r="G1311" s="1" t="str">
        <f>"003"</f>
        <v>003</v>
      </c>
      <c r="H1311" s="1">
        <v>2006</v>
      </c>
      <c r="I1311" s="6">
        <v>2359000</v>
      </c>
      <c r="J1311" s="6">
        <v>835600</v>
      </c>
      <c r="K1311" s="6">
        <v>1523400</v>
      </c>
      <c r="L1311" s="7"/>
    </row>
    <row r="1312" spans="1:12" x14ac:dyDescent="0.25">
      <c r="A1312" t="s">
        <v>779</v>
      </c>
      <c r="B1312" s="5">
        <v>706608</v>
      </c>
      <c r="C1312" t="s">
        <v>444</v>
      </c>
      <c r="D1312" s="1" t="str">
        <f>"70191"</f>
        <v>70191</v>
      </c>
      <c r="E1312" t="s">
        <v>15</v>
      </c>
      <c r="F1312" t="s">
        <v>780</v>
      </c>
      <c r="G1312" s="1" t="str">
        <f>"003"</f>
        <v>003</v>
      </c>
      <c r="H1312" s="1">
        <v>1996</v>
      </c>
      <c r="I1312" s="6">
        <v>6317800</v>
      </c>
      <c r="J1312" s="6">
        <v>4646300</v>
      </c>
      <c r="K1312" s="6">
        <v>1671500</v>
      </c>
      <c r="L1312" s="7"/>
    </row>
    <row r="1313" spans="1:12" x14ac:dyDescent="0.25">
      <c r="A1313" t="s">
        <v>779</v>
      </c>
      <c r="B1313" s="5">
        <v>706608</v>
      </c>
      <c r="C1313" t="s">
        <v>444</v>
      </c>
      <c r="D1313" s="1" t="str">
        <f>"70191"</f>
        <v>70191</v>
      </c>
      <c r="E1313" t="s">
        <v>15</v>
      </c>
      <c r="F1313" t="s">
        <v>780</v>
      </c>
      <c r="G1313" s="1" t="str">
        <f>"005"</f>
        <v>005</v>
      </c>
      <c r="H1313" s="1">
        <v>2000</v>
      </c>
      <c r="I1313" s="6">
        <v>12633300</v>
      </c>
      <c r="J1313" s="6">
        <v>4751600</v>
      </c>
      <c r="K1313" s="6">
        <v>7881700</v>
      </c>
      <c r="L1313" s="7"/>
    </row>
    <row r="1314" spans="1:12" x14ac:dyDescent="0.25">
      <c r="A1314" t="s">
        <v>779</v>
      </c>
      <c r="B1314" s="5">
        <v>706608</v>
      </c>
      <c r="C1314" t="s">
        <v>444</v>
      </c>
      <c r="D1314" s="1" t="str">
        <f>"70191"</f>
        <v>70191</v>
      </c>
      <c r="E1314" t="s">
        <v>15</v>
      </c>
      <c r="F1314" t="s">
        <v>780</v>
      </c>
      <c r="G1314" s="1" t="str">
        <f>"006"</f>
        <v>006</v>
      </c>
      <c r="H1314" s="1">
        <v>2000</v>
      </c>
      <c r="I1314" s="6">
        <v>4882500</v>
      </c>
      <c r="J1314" s="6">
        <v>829500</v>
      </c>
      <c r="K1314" s="6">
        <v>4053000</v>
      </c>
      <c r="L1314" s="7"/>
    </row>
    <row r="1315" spans="1:12" x14ac:dyDescent="0.25">
      <c r="A1315" t="s">
        <v>779</v>
      </c>
      <c r="B1315" s="5">
        <v>706608</v>
      </c>
      <c r="C1315" t="s">
        <v>444</v>
      </c>
      <c r="D1315" s="1" t="str">
        <f>"70191"</f>
        <v>70191</v>
      </c>
      <c r="E1315" t="s">
        <v>15</v>
      </c>
      <c r="F1315" t="s">
        <v>780</v>
      </c>
      <c r="G1315" s="1" t="str">
        <f>"007"</f>
        <v>007</v>
      </c>
      <c r="H1315" s="1">
        <v>2002</v>
      </c>
      <c r="I1315" s="6">
        <v>7525700</v>
      </c>
      <c r="J1315" s="6">
        <v>2070300</v>
      </c>
      <c r="K1315" s="6">
        <v>5455400</v>
      </c>
      <c r="L1315" s="7"/>
    </row>
    <row r="1316" spans="1:12" x14ac:dyDescent="0.25">
      <c r="A1316" t="s">
        <v>779</v>
      </c>
      <c r="B1316" s="5">
        <v>706608</v>
      </c>
      <c r="C1316" t="s">
        <v>444</v>
      </c>
      <c r="D1316" s="1" t="str">
        <f>"70191"</f>
        <v>70191</v>
      </c>
      <c r="E1316" t="s">
        <v>15</v>
      </c>
      <c r="F1316" t="s">
        <v>780</v>
      </c>
      <c r="G1316" s="1" t="str">
        <f>"008"</f>
        <v>008</v>
      </c>
      <c r="H1316" s="1">
        <v>2011</v>
      </c>
      <c r="I1316" s="6">
        <v>1851400</v>
      </c>
      <c r="J1316" s="6">
        <v>0</v>
      </c>
      <c r="K1316" s="6">
        <v>1851400</v>
      </c>
      <c r="L1316" s="7"/>
    </row>
    <row r="1317" spans="1:12" x14ac:dyDescent="0.25">
      <c r="A1317" t="s">
        <v>781</v>
      </c>
      <c r="B1317" s="5">
        <v>566678</v>
      </c>
      <c r="C1317" t="s">
        <v>14</v>
      </c>
      <c r="D1317" s="1" t="str">
        <f>"01291"</f>
        <v>01291</v>
      </c>
      <c r="E1317" t="s">
        <v>10</v>
      </c>
      <c r="F1317" t="s">
        <v>782</v>
      </c>
      <c r="G1317" s="1" t="str">
        <f>"003"</f>
        <v>003</v>
      </c>
      <c r="H1317" s="1">
        <v>2005</v>
      </c>
      <c r="I1317" s="6">
        <v>65905000</v>
      </c>
      <c r="J1317" s="6">
        <v>2149200</v>
      </c>
      <c r="K1317" s="6">
        <v>63755800</v>
      </c>
      <c r="L1317" s="7"/>
    </row>
    <row r="1318" spans="1:12" x14ac:dyDescent="0.25">
      <c r="A1318" t="s">
        <v>781</v>
      </c>
      <c r="B1318" s="5">
        <v>566678</v>
      </c>
      <c r="C1318" t="s">
        <v>145</v>
      </c>
      <c r="D1318" s="1" t="str">
        <f>"11291"</f>
        <v>11291</v>
      </c>
      <c r="E1318" t="s">
        <v>10</v>
      </c>
      <c r="F1318" t="s">
        <v>782</v>
      </c>
      <c r="G1318" s="1" t="str">
        <f>"003"</f>
        <v>003</v>
      </c>
      <c r="H1318" s="1">
        <v>2006</v>
      </c>
      <c r="I1318" s="6">
        <v>19896900</v>
      </c>
      <c r="J1318" s="6">
        <v>15355400</v>
      </c>
      <c r="K1318" s="6">
        <v>4541500</v>
      </c>
      <c r="L1318" s="7"/>
    </row>
    <row r="1319" spans="1:12" x14ac:dyDescent="0.25">
      <c r="A1319" t="s">
        <v>781</v>
      </c>
      <c r="B1319" s="5">
        <v>566678</v>
      </c>
      <c r="C1319" t="s">
        <v>237</v>
      </c>
      <c r="D1319" s="1" t="str">
        <f>"29291"</f>
        <v>29291</v>
      </c>
      <c r="E1319" t="s">
        <v>10</v>
      </c>
      <c r="F1319" t="s">
        <v>782</v>
      </c>
      <c r="G1319" s="1" t="str">
        <f>"004"</f>
        <v>004</v>
      </c>
      <c r="H1319" s="1">
        <v>2006</v>
      </c>
      <c r="I1319" s="6">
        <v>473000</v>
      </c>
      <c r="J1319" s="6">
        <v>549700</v>
      </c>
      <c r="K1319" s="6">
        <v>-76700</v>
      </c>
      <c r="L1319" s="7"/>
    </row>
    <row r="1320" spans="1:12" x14ac:dyDescent="0.25">
      <c r="A1320" t="s">
        <v>781</v>
      </c>
      <c r="B1320" s="5">
        <v>566678</v>
      </c>
      <c r="C1320" t="s">
        <v>72</v>
      </c>
      <c r="D1320" s="1" t="str">
        <f>"56146"</f>
        <v>56146</v>
      </c>
      <c r="E1320" t="s">
        <v>15</v>
      </c>
      <c r="F1320" t="s">
        <v>783</v>
      </c>
      <c r="G1320" s="1" t="str">
        <f>"002"</f>
        <v>002</v>
      </c>
      <c r="H1320" s="1">
        <v>2000</v>
      </c>
      <c r="I1320" s="6">
        <v>97752600</v>
      </c>
      <c r="J1320" s="6">
        <v>36368600</v>
      </c>
      <c r="K1320" s="6">
        <v>61384000</v>
      </c>
      <c r="L1320" s="7"/>
    </row>
    <row r="1321" spans="1:12" x14ac:dyDescent="0.25">
      <c r="A1321" t="s">
        <v>781</v>
      </c>
      <c r="B1321" s="5">
        <v>566678</v>
      </c>
      <c r="C1321" t="s">
        <v>72</v>
      </c>
      <c r="D1321" s="1" t="str">
        <f>"56146"</f>
        <v>56146</v>
      </c>
      <c r="E1321" t="s">
        <v>15</v>
      </c>
      <c r="F1321" t="s">
        <v>783</v>
      </c>
      <c r="G1321" s="1" t="str">
        <f>"003"</f>
        <v>003</v>
      </c>
      <c r="H1321" s="1">
        <v>2005</v>
      </c>
      <c r="I1321" s="6">
        <v>347044500</v>
      </c>
      <c r="J1321" s="6">
        <v>43963700</v>
      </c>
      <c r="K1321" s="6">
        <v>303080800</v>
      </c>
      <c r="L1321" s="7"/>
    </row>
    <row r="1322" spans="1:12" x14ac:dyDescent="0.25">
      <c r="A1322" t="s">
        <v>781</v>
      </c>
      <c r="B1322" s="5">
        <v>566678</v>
      </c>
      <c r="C1322" t="s">
        <v>72</v>
      </c>
      <c r="D1322" s="1" t="str">
        <f>"56146"</f>
        <v>56146</v>
      </c>
      <c r="E1322" t="s">
        <v>15</v>
      </c>
      <c r="F1322" t="s">
        <v>783</v>
      </c>
      <c r="G1322" s="1" t="str">
        <f>"004"</f>
        <v>004</v>
      </c>
      <c r="H1322" s="1">
        <v>2007</v>
      </c>
      <c r="I1322" s="6">
        <v>57393100</v>
      </c>
      <c r="J1322" s="6">
        <v>31741000</v>
      </c>
      <c r="K1322" s="6">
        <v>25652100</v>
      </c>
      <c r="L1322" s="7"/>
    </row>
    <row r="1323" spans="1:12" x14ac:dyDescent="0.25">
      <c r="A1323" t="s">
        <v>781</v>
      </c>
      <c r="B1323" s="5">
        <v>566678</v>
      </c>
      <c r="C1323" t="s">
        <v>72</v>
      </c>
      <c r="D1323" s="1" t="str">
        <f>"56291"</f>
        <v>56291</v>
      </c>
      <c r="E1323" t="s">
        <v>10</v>
      </c>
      <c r="F1323" t="s">
        <v>782</v>
      </c>
      <c r="G1323" s="1" t="str">
        <f>"002"</f>
        <v>002</v>
      </c>
      <c r="H1323" s="1">
        <v>2001</v>
      </c>
      <c r="I1323" s="6">
        <v>35020600</v>
      </c>
      <c r="J1323" s="6">
        <v>15582600</v>
      </c>
      <c r="K1323" s="6">
        <v>19438000</v>
      </c>
      <c r="L1323" s="7"/>
    </row>
    <row r="1324" spans="1:12" x14ac:dyDescent="0.25">
      <c r="A1324" t="s">
        <v>781</v>
      </c>
      <c r="B1324" s="5">
        <v>566678</v>
      </c>
      <c r="C1324" t="s">
        <v>72</v>
      </c>
      <c r="D1324" s="1" t="str">
        <f>"56291"</f>
        <v>56291</v>
      </c>
      <c r="E1324" t="s">
        <v>10</v>
      </c>
      <c r="F1324" t="s">
        <v>782</v>
      </c>
      <c r="G1324" s="1" t="str">
        <f>"003"</f>
        <v>003</v>
      </c>
      <c r="H1324" s="1">
        <v>2006</v>
      </c>
      <c r="I1324" s="6">
        <v>3625700</v>
      </c>
      <c r="J1324" s="6">
        <v>1965200</v>
      </c>
      <c r="K1324" s="6">
        <v>1660500</v>
      </c>
      <c r="L1324" s="7"/>
    </row>
    <row r="1325" spans="1:12" x14ac:dyDescent="0.25">
      <c r="A1325" t="s">
        <v>781</v>
      </c>
      <c r="B1325" s="5">
        <v>566678</v>
      </c>
      <c r="C1325" t="s">
        <v>72</v>
      </c>
      <c r="D1325" s="1" t="str">
        <f>"56291"</f>
        <v>56291</v>
      </c>
      <c r="E1325" t="s">
        <v>10</v>
      </c>
      <c r="F1325" t="s">
        <v>782</v>
      </c>
      <c r="G1325" s="1" t="str">
        <f>"004"</f>
        <v>004</v>
      </c>
      <c r="H1325" s="1">
        <v>2006</v>
      </c>
      <c r="I1325" s="6">
        <v>3668400</v>
      </c>
      <c r="J1325" s="6">
        <v>1464100</v>
      </c>
      <c r="K1325" s="6">
        <v>2204300</v>
      </c>
      <c r="L1325" s="7"/>
    </row>
    <row r="1326" spans="1:12" x14ac:dyDescent="0.25">
      <c r="A1326" t="s">
        <v>784</v>
      </c>
      <c r="B1326" s="5">
        <v>130469</v>
      </c>
      <c r="C1326" t="s">
        <v>89</v>
      </c>
      <c r="D1326" s="1" t="str">
        <f>"13107"</f>
        <v>13107</v>
      </c>
      <c r="E1326" t="s">
        <v>15</v>
      </c>
      <c r="F1326" t="s">
        <v>785</v>
      </c>
      <c r="G1326" s="1" t="str">
        <f>"003"</f>
        <v>003</v>
      </c>
      <c r="H1326" s="1">
        <v>2009</v>
      </c>
      <c r="I1326" s="6">
        <v>5171700</v>
      </c>
      <c r="J1326" s="6">
        <v>3089300</v>
      </c>
      <c r="K1326" s="6">
        <v>2082400</v>
      </c>
      <c r="L1326" s="7"/>
    </row>
    <row r="1327" spans="1:12" x14ac:dyDescent="0.25">
      <c r="A1327" t="s">
        <v>784</v>
      </c>
      <c r="B1327" s="5">
        <v>130469</v>
      </c>
      <c r="C1327" t="s">
        <v>89</v>
      </c>
      <c r="D1327" s="1" t="str">
        <f>"13107"</f>
        <v>13107</v>
      </c>
      <c r="E1327" t="s">
        <v>15</v>
      </c>
      <c r="F1327" t="s">
        <v>785</v>
      </c>
      <c r="G1327" s="1" t="str">
        <f>"005"</f>
        <v>005</v>
      </c>
      <c r="H1327" s="1">
        <v>2018</v>
      </c>
      <c r="I1327" s="6">
        <v>6253500</v>
      </c>
      <c r="J1327" s="6">
        <v>5748600</v>
      </c>
      <c r="K1327" s="6">
        <v>504900</v>
      </c>
      <c r="L1327" s="7"/>
    </row>
    <row r="1328" spans="1:12" x14ac:dyDescent="0.25">
      <c r="A1328" t="s">
        <v>784</v>
      </c>
      <c r="B1328" s="5">
        <v>130469</v>
      </c>
      <c r="C1328" t="s">
        <v>89</v>
      </c>
      <c r="D1328" s="1" t="str">
        <f>"13153"</f>
        <v>13153</v>
      </c>
      <c r="E1328" t="s">
        <v>15</v>
      </c>
      <c r="F1328" t="s">
        <v>786</v>
      </c>
      <c r="G1328" s="1" t="str">
        <f>"004"</f>
        <v>004</v>
      </c>
      <c r="H1328" s="1">
        <v>2005</v>
      </c>
      <c r="I1328" s="6">
        <v>17604800</v>
      </c>
      <c r="J1328" s="6">
        <v>5583500</v>
      </c>
      <c r="K1328" s="6">
        <v>12021300</v>
      </c>
      <c r="L1328" s="7"/>
    </row>
    <row r="1329" spans="1:12" x14ac:dyDescent="0.25">
      <c r="A1329" t="s">
        <v>784</v>
      </c>
      <c r="B1329" s="5">
        <v>130469</v>
      </c>
      <c r="C1329" t="s">
        <v>89</v>
      </c>
      <c r="D1329" s="1" t="str">
        <f>"13153"</f>
        <v>13153</v>
      </c>
      <c r="E1329" t="s">
        <v>15</v>
      </c>
      <c r="F1329" t="s">
        <v>786</v>
      </c>
      <c r="G1329" s="1" t="str">
        <f>"005"</f>
        <v>005</v>
      </c>
      <c r="H1329" s="1">
        <v>2005</v>
      </c>
      <c r="I1329" s="6">
        <v>5394200</v>
      </c>
      <c r="J1329" s="6">
        <v>4594600</v>
      </c>
      <c r="K1329" s="6">
        <v>799600</v>
      </c>
      <c r="L1329" s="7"/>
    </row>
    <row r="1330" spans="1:12" x14ac:dyDescent="0.25">
      <c r="A1330" t="s">
        <v>787</v>
      </c>
      <c r="B1330" s="5">
        <v>716685</v>
      </c>
      <c r="C1330" t="s">
        <v>58</v>
      </c>
      <c r="D1330" s="1" t="str">
        <f>"71106"</f>
        <v>71106</v>
      </c>
      <c r="E1330" t="s">
        <v>15</v>
      </c>
      <c r="F1330" t="s">
        <v>788</v>
      </c>
      <c r="G1330" s="1" t="str">
        <f>"001"</f>
        <v>001</v>
      </c>
      <c r="H1330" s="1">
        <v>2006</v>
      </c>
      <c r="I1330" s="6">
        <v>4738300</v>
      </c>
      <c r="J1330" s="6">
        <v>3500700</v>
      </c>
      <c r="K1330" s="6">
        <v>1237600</v>
      </c>
      <c r="L1330" s="7"/>
    </row>
    <row r="1331" spans="1:12" x14ac:dyDescent="0.25">
      <c r="A1331" t="s">
        <v>787</v>
      </c>
      <c r="B1331" s="5">
        <v>716685</v>
      </c>
      <c r="C1331" t="s">
        <v>58</v>
      </c>
      <c r="D1331" s="1" t="str">
        <f>"71106"</f>
        <v>71106</v>
      </c>
      <c r="E1331" t="s">
        <v>15</v>
      </c>
      <c r="F1331" t="s">
        <v>788</v>
      </c>
      <c r="G1331" s="1" t="str">
        <f>"002"</f>
        <v>002</v>
      </c>
      <c r="H1331" s="1">
        <v>2006</v>
      </c>
      <c r="I1331" s="6">
        <v>34954300</v>
      </c>
      <c r="J1331" s="6">
        <v>5111000</v>
      </c>
      <c r="K1331" s="6">
        <v>29843300</v>
      </c>
      <c r="L1331" s="7"/>
    </row>
    <row r="1332" spans="1:12" x14ac:dyDescent="0.25">
      <c r="A1332" t="s">
        <v>787</v>
      </c>
      <c r="B1332" s="5">
        <v>716685</v>
      </c>
      <c r="C1332" t="s">
        <v>58</v>
      </c>
      <c r="D1332" s="1" t="str">
        <f>"71106"</f>
        <v>71106</v>
      </c>
      <c r="E1332" t="s">
        <v>15</v>
      </c>
      <c r="F1332" t="s">
        <v>788</v>
      </c>
      <c r="G1332" s="1" t="str">
        <f>"003"</f>
        <v>003</v>
      </c>
      <c r="H1332" s="1">
        <v>2009</v>
      </c>
      <c r="I1332" s="6">
        <v>5921400</v>
      </c>
      <c r="J1332" s="6">
        <v>3897200</v>
      </c>
      <c r="K1332" s="6">
        <v>2024200</v>
      </c>
      <c r="L1332" s="7"/>
    </row>
    <row r="1333" spans="1:12" x14ac:dyDescent="0.25">
      <c r="A1333" t="s">
        <v>787</v>
      </c>
      <c r="B1333" s="5">
        <v>716685</v>
      </c>
      <c r="C1333" t="s">
        <v>58</v>
      </c>
      <c r="D1333" s="1" t="str">
        <f>"71186"</f>
        <v>71186</v>
      </c>
      <c r="E1333" t="s">
        <v>15</v>
      </c>
      <c r="F1333" t="s">
        <v>789</v>
      </c>
      <c r="G1333" s="1" t="str">
        <f>"001"</f>
        <v>001</v>
      </c>
      <c r="H1333" s="1">
        <v>2006</v>
      </c>
      <c r="I1333" s="6">
        <v>3409500</v>
      </c>
      <c r="J1333" s="6">
        <v>2637300</v>
      </c>
      <c r="K1333" s="6">
        <v>772200</v>
      </c>
      <c r="L1333" s="7"/>
    </row>
    <row r="1334" spans="1:12" x14ac:dyDescent="0.25">
      <c r="A1334" t="s">
        <v>787</v>
      </c>
      <c r="B1334" s="5">
        <v>716685</v>
      </c>
      <c r="C1334" t="s">
        <v>58</v>
      </c>
      <c r="D1334" s="1" t="str">
        <f>"71291"</f>
        <v>71291</v>
      </c>
      <c r="E1334" t="s">
        <v>10</v>
      </c>
      <c r="F1334" t="s">
        <v>790</v>
      </c>
      <c r="G1334" s="1" t="str">
        <f>"006"</f>
        <v>006</v>
      </c>
      <c r="H1334" s="1">
        <v>2004</v>
      </c>
      <c r="I1334" s="6">
        <v>15002500</v>
      </c>
      <c r="J1334" s="6">
        <v>3915100</v>
      </c>
      <c r="K1334" s="6">
        <v>11087400</v>
      </c>
      <c r="L1334" s="7"/>
    </row>
    <row r="1335" spans="1:12" x14ac:dyDescent="0.25">
      <c r="A1335" t="s">
        <v>787</v>
      </c>
      <c r="B1335" s="5">
        <v>716685</v>
      </c>
      <c r="C1335" t="s">
        <v>58</v>
      </c>
      <c r="D1335" s="1" t="str">
        <f>"71291"</f>
        <v>71291</v>
      </c>
      <c r="E1335" t="s">
        <v>10</v>
      </c>
      <c r="F1335" t="s">
        <v>790</v>
      </c>
      <c r="G1335" s="1" t="str">
        <f>"007"</f>
        <v>007</v>
      </c>
      <c r="H1335" s="1">
        <v>2005</v>
      </c>
      <c r="I1335" s="6">
        <v>35406600</v>
      </c>
      <c r="J1335" s="6">
        <v>34949700</v>
      </c>
      <c r="K1335" s="6">
        <v>456900</v>
      </c>
      <c r="L1335" s="7"/>
    </row>
    <row r="1336" spans="1:12" x14ac:dyDescent="0.25">
      <c r="A1336" t="s">
        <v>791</v>
      </c>
      <c r="B1336" s="5">
        <v>586692</v>
      </c>
      <c r="C1336" t="s">
        <v>117</v>
      </c>
      <c r="D1336" s="1" t="str">
        <f>"58106"</f>
        <v>58106</v>
      </c>
      <c r="E1336" t="s">
        <v>15</v>
      </c>
      <c r="F1336" t="s">
        <v>792</v>
      </c>
      <c r="G1336" s="1" t="str">
        <f>"001"</f>
        <v>001</v>
      </c>
      <c r="H1336" s="1">
        <v>1997</v>
      </c>
      <c r="I1336" s="6">
        <v>24529200</v>
      </c>
      <c r="J1336" s="6">
        <v>13300900</v>
      </c>
      <c r="K1336" s="6">
        <v>11228300</v>
      </c>
      <c r="L1336" s="7"/>
    </row>
    <row r="1337" spans="1:12" x14ac:dyDescent="0.25">
      <c r="A1337" t="s">
        <v>791</v>
      </c>
      <c r="B1337" s="5">
        <v>586692</v>
      </c>
      <c r="C1337" t="s">
        <v>117</v>
      </c>
      <c r="D1337" s="1" t="str">
        <f>"58191"</f>
        <v>58191</v>
      </c>
      <c r="E1337" t="s">
        <v>15</v>
      </c>
      <c r="F1337" t="s">
        <v>793</v>
      </c>
      <c r="G1337" s="1" t="str">
        <f>"001"</f>
        <v>001</v>
      </c>
      <c r="H1337" s="1">
        <v>2000</v>
      </c>
      <c r="I1337" s="6">
        <v>6999600</v>
      </c>
      <c r="J1337" s="6">
        <v>201400</v>
      </c>
      <c r="K1337" s="6">
        <v>6798200</v>
      </c>
      <c r="L1337" s="7"/>
    </row>
    <row r="1338" spans="1:12" x14ac:dyDescent="0.25">
      <c r="A1338" t="s">
        <v>791</v>
      </c>
      <c r="B1338" s="5">
        <v>586692</v>
      </c>
      <c r="C1338" t="s">
        <v>117</v>
      </c>
      <c r="D1338" s="1" t="str">
        <f>"58191"</f>
        <v>58191</v>
      </c>
      <c r="E1338" t="s">
        <v>15</v>
      </c>
      <c r="F1338" t="s">
        <v>793</v>
      </c>
      <c r="G1338" s="1" t="str">
        <f>"002"</f>
        <v>002</v>
      </c>
      <c r="H1338" s="1">
        <v>2011</v>
      </c>
      <c r="I1338" s="6">
        <v>2542500</v>
      </c>
      <c r="J1338" s="6">
        <v>1407900</v>
      </c>
      <c r="K1338" s="6">
        <v>1134600</v>
      </c>
      <c r="L1338" s="7"/>
    </row>
    <row r="1339" spans="1:12" x14ac:dyDescent="0.25">
      <c r="A1339" t="s">
        <v>791</v>
      </c>
      <c r="B1339" s="5">
        <v>586692</v>
      </c>
      <c r="C1339" t="s">
        <v>117</v>
      </c>
      <c r="D1339" s="1" t="str">
        <f>"58191"</f>
        <v>58191</v>
      </c>
      <c r="E1339" t="s">
        <v>15</v>
      </c>
      <c r="F1339" t="s">
        <v>793</v>
      </c>
      <c r="G1339" s="1" t="str">
        <f>"003"</f>
        <v>003</v>
      </c>
      <c r="H1339" s="1">
        <v>2015</v>
      </c>
      <c r="I1339" s="6">
        <v>6961800</v>
      </c>
      <c r="J1339" s="6">
        <v>3300</v>
      </c>
      <c r="K1339" s="6">
        <v>6958500</v>
      </c>
      <c r="L1339" s="7"/>
    </row>
    <row r="1340" spans="1:12" x14ac:dyDescent="0.25">
      <c r="A1340" t="s">
        <v>794</v>
      </c>
      <c r="B1340" s="5">
        <v>56734</v>
      </c>
      <c r="C1340" t="s">
        <v>53</v>
      </c>
      <c r="D1340" s="1" t="str">
        <f>"05191"</f>
        <v>05191</v>
      </c>
      <c r="E1340" t="s">
        <v>15</v>
      </c>
      <c r="F1340" t="s">
        <v>795</v>
      </c>
      <c r="G1340" s="1" t="str">
        <f>"003"</f>
        <v>003</v>
      </c>
      <c r="H1340" s="1">
        <v>2015</v>
      </c>
      <c r="I1340" s="6">
        <v>8332200</v>
      </c>
      <c r="J1340" s="6">
        <v>8774500</v>
      </c>
      <c r="K1340" s="6">
        <v>-442300</v>
      </c>
      <c r="L1340" s="7"/>
    </row>
    <row r="1341" spans="1:12" x14ac:dyDescent="0.25">
      <c r="A1341" t="s">
        <v>794</v>
      </c>
      <c r="B1341" s="5">
        <v>56734</v>
      </c>
      <c r="C1341" t="s">
        <v>53</v>
      </c>
      <c r="D1341" s="1" t="str">
        <f>"05191"</f>
        <v>05191</v>
      </c>
      <c r="E1341" t="s">
        <v>15</v>
      </c>
      <c r="F1341" t="s">
        <v>795</v>
      </c>
      <c r="G1341" s="1" t="str">
        <f>"004"</f>
        <v>004</v>
      </c>
      <c r="H1341" s="1">
        <v>2016</v>
      </c>
      <c r="I1341" s="6">
        <v>13638700</v>
      </c>
      <c r="J1341" s="6">
        <v>8400</v>
      </c>
      <c r="K1341" s="6">
        <v>13630300</v>
      </c>
      <c r="L1341" s="7"/>
    </row>
    <row r="1342" spans="1:12" x14ac:dyDescent="0.25">
      <c r="A1342" t="s">
        <v>794</v>
      </c>
      <c r="B1342" s="5">
        <v>56734</v>
      </c>
      <c r="C1342" t="s">
        <v>53</v>
      </c>
      <c r="D1342" s="1" t="str">
        <f>"05191"</f>
        <v>05191</v>
      </c>
      <c r="E1342" t="s">
        <v>15</v>
      </c>
      <c r="F1342" t="s">
        <v>795</v>
      </c>
      <c r="G1342" s="1" t="str">
        <f>"005"</f>
        <v>005</v>
      </c>
      <c r="H1342" s="1">
        <v>2018</v>
      </c>
      <c r="I1342" s="6">
        <v>5430100</v>
      </c>
      <c r="J1342" s="6">
        <v>5315100</v>
      </c>
      <c r="K1342" s="6">
        <v>115000</v>
      </c>
      <c r="L1342" s="7"/>
    </row>
    <row r="1343" spans="1:12" x14ac:dyDescent="0.25">
      <c r="A1343" t="s">
        <v>794</v>
      </c>
      <c r="B1343" s="5">
        <v>56734</v>
      </c>
      <c r="C1343" t="s">
        <v>40</v>
      </c>
      <c r="D1343" s="1" t="str">
        <f>"44191"</f>
        <v>44191</v>
      </c>
      <c r="E1343" t="s">
        <v>15</v>
      </c>
      <c r="F1343" t="s">
        <v>795</v>
      </c>
      <c r="G1343" s="1" t="str">
        <f>"003"</f>
        <v>003</v>
      </c>
      <c r="H1343" s="1">
        <v>2015</v>
      </c>
      <c r="I1343" s="6">
        <v>20505500</v>
      </c>
      <c r="J1343" s="6">
        <v>1794100</v>
      </c>
      <c r="K1343" s="6">
        <v>18711400</v>
      </c>
      <c r="L1343" s="7"/>
    </row>
    <row r="1344" spans="1:12" x14ac:dyDescent="0.25">
      <c r="A1344" t="s">
        <v>794</v>
      </c>
      <c r="B1344" s="5">
        <v>56734</v>
      </c>
      <c r="C1344" t="s">
        <v>40</v>
      </c>
      <c r="D1344" s="1" t="str">
        <f>"44191"</f>
        <v>44191</v>
      </c>
      <c r="E1344" t="s">
        <v>15</v>
      </c>
      <c r="F1344" t="s">
        <v>795</v>
      </c>
      <c r="G1344" s="1" t="str">
        <f>"004"</f>
        <v>004</v>
      </c>
      <c r="H1344" s="1">
        <v>2016</v>
      </c>
      <c r="I1344" s="6">
        <v>583900</v>
      </c>
      <c r="J1344" s="6">
        <v>1087500</v>
      </c>
      <c r="K1344" s="6">
        <v>-503600</v>
      </c>
      <c r="L1344" s="7"/>
    </row>
    <row r="1345" spans="1:12" x14ac:dyDescent="0.25">
      <c r="A1345" t="s">
        <v>796</v>
      </c>
      <c r="B1345" s="5">
        <v>672450</v>
      </c>
      <c r="C1345" t="s">
        <v>268</v>
      </c>
      <c r="D1345" s="1" t="str">
        <f>"67136"</f>
        <v>67136</v>
      </c>
      <c r="E1345" t="s">
        <v>15</v>
      </c>
      <c r="F1345" t="s">
        <v>334</v>
      </c>
      <c r="G1345" s="1" t="str">
        <f>"004"</f>
        <v>004</v>
      </c>
      <c r="H1345" s="1">
        <v>2008</v>
      </c>
      <c r="I1345" s="6">
        <v>2873500</v>
      </c>
      <c r="J1345" s="6">
        <v>1018300</v>
      </c>
      <c r="K1345" s="6">
        <v>1855200</v>
      </c>
      <c r="L1345" s="7"/>
    </row>
    <row r="1346" spans="1:12" x14ac:dyDescent="0.25">
      <c r="A1346" t="s">
        <v>796</v>
      </c>
      <c r="B1346" s="5">
        <v>672450</v>
      </c>
      <c r="C1346" t="s">
        <v>268</v>
      </c>
      <c r="D1346" s="1" t="str">
        <f>"67136"</f>
        <v>67136</v>
      </c>
      <c r="E1346" t="s">
        <v>15</v>
      </c>
      <c r="F1346" t="s">
        <v>334</v>
      </c>
      <c r="G1346" s="1" t="str">
        <f>"005"</f>
        <v>005</v>
      </c>
      <c r="H1346" s="1">
        <v>2011</v>
      </c>
      <c r="I1346" s="6">
        <v>1625100</v>
      </c>
      <c r="J1346" s="6">
        <v>353800</v>
      </c>
      <c r="K1346" s="6">
        <v>1271300</v>
      </c>
      <c r="L1346" s="7"/>
    </row>
    <row r="1347" spans="1:12" x14ac:dyDescent="0.25">
      <c r="A1347" t="s">
        <v>796</v>
      </c>
      <c r="B1347" s="5">
        <v>672450</v>
      </c>
      <c r="C1347" t="s">
        <v>268</v>
      </c>
      <c r="D1347" s="1" t="str">
        <f>"67136"</f>
        <v>67136</v>
      </c>
      <c r="E1347" t="s">
        <v>15</v>
      </c>
      <c r="F1347" t="s">
        <v>334</v>
      </c>
      <c r="G1347" s="1" t="str">
        <f>"006"</f>
        <v>006</v>
      </c>
      <c r="H1347" s="1">
        <v>2015</v>
      </c>
      <c r="I1347" s="6">
        <v>13891700</v>
      </c>
      <c r="J1347" s="6">
        <v>1330300</v>
      </c>
      <c r="K1347" s="6">
        <v>12561400</v>
      </c>
      <c r="L1347" s="7"/>
    </row>
    <row r="1348" spans="1:12" x14ac:dyDescent="0.25">
      <c r="A1348" t="s">
        <v>796</v>
      </c>
      <c r="B1348" s="5">
        <v>672450</v>
      </c>
      <c r="C1348" t="s">
        <v>268</v>
      </c>
      <c r="D1348" s="1" t="str">
        <f>"67181"</f>
        <v>67181</v>
      </c>
      <c r="E1348" t="s">
        <v>15</v>
      </c>
      <c r="F1348" t="s">
        <v>330</v>
      </c>
      <c r="G1348" s="1" t="str">
        <f>"007"</f>
        <v>007</v>
      </c>
      <c r="H1348" s="1">
        <v>2018</v>
      </c>
      <c r="I1348" s="6">
        <v>232800</v>
      </c>
      <c r="J1348" s="6">
        <v>240600</v>
      </c>
      <c r="K1348" s="6">
        <v>-7800</v>
      </c>
      <c r="L1348" s="7"/>
    </row>
    <row r="1349" spans="1:12" x14ac:dyDescent="0.25">
      <c r="A1349" t="s">
        <v>797</v>
      </c>
      <c r="B1349" s="5">
        <v>646013</v>
      </c>
      <c r="C1349" t="s">
        <v>140</v>
      </c>
      <c r="D1349" s="1" t="str">
        <f>"64126"</f>
        <v>64126</v>
      </c>
      <c r="E1349" t="s">
        <v>15</v>
      </c>
      <c r="F1349" t="s">
        <v>285</v>
      </c>
      <c r="G1349" s="1" t="str">
        <f>"001"</f>
        <v>001</v>
      </c>
      <c r="H1349" s="1">
        <v>2001</v>
      </c>
      <c r="I1349" s="6">
        <v>107212100</v>
      </c>
      <c r="J1349" s="6">
        <v>30220400</v>
      </c>
      <c r="K1349" s="6">
        <v>76991700</v>
      </c>
      <c r="L1349" s="7"/>
    </row>
    <row r="1350" spans="1:12" x14ac:dyDescent="0.25">
      <c r="A1350" t="s">
        <v>797</v>
      </c>
      <c r="B1350" s="5">
        <v>646013</v>
      </c>
      <c r="C1350" t="s">
        <v>140</v>
      </c>
      <c r="D1350" s="1" t="str">
        <f>"64181"</f>
        <v>64181</v>
      </c>
      <c r="E1350" t="s">
        <v>15</v>
      </c>
      <c r="F1350" t="s">
        <v>641</v>
      </c>
      <c r="G1350" s="1" t="str">
        <f>"004"</f>
        <v>004</v>
      </c>
      <c r="H1350" s="1">
        <v>2007</v>
      </c>
      <c r="I1350" s="6">
        <v>1002800</v>
      </c>
      <c r="J1350" s="6">
        <v>1067100</v>
      </c>
      <c r="K1350" s="6">
        <v>-64300</v>
      </c>
      <c r="L1350" s="7"/>
    </row>
    <row r="1351" spans="1:12" x14ac:dyDescent="0.25">
      <c r="A1351" t="s">
        <v>797</v>
      </c>
      <c r="B1351" s="5">
        <v>646013</v>
      </c>
      <c r="C1351" t="s">
        <v>140</v>
      </c>
      <c r="D1351" s="1" t="str">
        <f>"64191"</f>
        <v>64191</v>
      </c>
      <c r="E1351" t="s">
        <v>15</v>
      </c>
      <c r="F1351" t="s">
        <v>140</v>
      </c>
      <c r="G1351" s="1" t="str">
        <f>"001"</f>
        <v>001</v>
      </c>
      <c r="H1351" s="1">
        <v>2011</v>
      </c>
      <c r="I1351" s="6">
        <v>8317800</v>
      </c>
      <c r="J1351" s="6">
        <v>6963900</v>
      </c>
      <c r="K1351" s="6">
        <v>1353900</v>
      </c>
      <c r="L1351" s="7"/>
    </row>
    <row r="1352" spans="1:12" x14ac:dyDescent="0.25">
      <c r="A1352" t="s">
        <v>798</v>
      </c>
      <c r="B1352" s="5">
        <v>305054</v>
      </c>
      <c r="C1352" t="s">
        <v>129</v>
      </c>
      <c r="D1352" s="1" t="str">
        <f>"30241"</f>
        <v>30241</v>
      </c>
      <c r="E1352" t="s">
        <v>10</v>
      </c>
      <c r="F1352" t="s">
        <v>129</v>
      </c>
      <c r="G1352" s="1" t="str">
        <f>"021"</f>
        <v>021</v>
      </c>
      <c r="H1352" s="1">
        <v>2017</v>
      </c>
      <c r="I1352" s="6">
        <v>12111900</v>
      </c>
      <c r="J1352" s="6">
        <v>19400</v>
      </c>
      <c r="K1352" s="6">
        <v>12092500</v>
      </c>
      <c r="L1352" s="7"/>
    </row>
    <row r="1353" spans="1:12" x14ac:dyDescent="0.25">
      <c r="A1353" t="s">
        <v>798</v>
      </c>
      <c r="B1353" s="5">
        <v>305054</v>
      </c>
      <c r="C1353" t="s">
        <v>129</v>
      </c>
      <c r="D1353" s="1" t="str">
        <f>"30171"</f>
        <v>30171</v>
      </c>
      <c r="E1353" t="s">
        <v>15</v>
      </c>
      <c r="F1353" t="s">
        <v>633</v>
      </c>
      <c r="G1353" s="1" t="str">
        <f>"001"</f>
        <v>001</v>
      </c>
      <c r="H1353" s="1">
        <v>2012</v>
      </c>
      <c r="I1353" s="6">
        <v>16566300</v>
      </c>
      <c r="J1353" s="6">
        <v>14133700</v>
      </c>
      <c r="K1353" s="6">
        <v>2432600</v>
      </c>
      <c r="L1353" s="7"/>
    </row>
    <row r="1354" spans="1:12" x14ac:dyDescent="0.25">
      <c r="A1354" t="s">
        <v>798</v>
      </c>
      <c r="B1354" s="5">
        <v>305054</v>
      </c>
      <c r="C1354" t="s">
        <v>129</v>
      </c>
      <c r="D1354" s="1" t="str">
        <f>"30171"</f>
        <v>30171</v>
      </c>
      <c r="E1354" t="s">
        <v>15</v>
      </c>
      <c r="F1354" t="s">
        <v>633</v>
      </c>
      <c r="G1354" s="1" t="str">
        <f>"002"</f>
        <v>002</v>
      </c>
      <c r="H1354" s="1">
        <v>2017</v>
      </c>
      <c r="I1354" s="6">
        <v>15091100</v>
      </c>
      <c r="J1354" s="6">
        <v>14925300</v>
      </c>
      <c r="K1354" s="6">
        <v>165800</v>
      </c>
      <c r="L1354" s="7"/>
    </row>
    <row r="1355" spans="1:12" x14ac:dyDescent="0.25">
      <c r="A1355" t="s">
        <v>798</v>
      </c>
      <c r="B1355" s="5">
        <v>305054</v>
      </c>
      <c r="C1355" t="s">
        <v>129</v>
      </c>
      <c r="D1355" s="1" t="str">
        <f>"30174"</f>
        <v>30174</v>
      </c>
      <c r="E1355" t="s">
        <v>15</v>
      </c>
      <c r="F1355" t="s">
        <v>130</v>
      </c>
      <c r="G1355" s="1" t="str">
        <f>"002"</f>
        <v>002</v>
      </c>
      <c r="H1355" s="1">
        <v>1999</v>
      </c>
      <c r="I1355" s="6">
        <v>233197700</v>
      </c>
      <c r="J1355" s="6">
        <v>6022100</v>
      </c>
      <c r="K1355" s="6">
        <v>227175600</v>
      </c>
      <c r="L1355" s="7"/>
    </row>
    <row r="1356" spans="1:12" x14ac:dyDescent="0.25">
      <c r="A1356" t="s">
        <v>798</v>
      </c>
      <c r="B1356" s="5">
        <v>305054</v>
      </c>
      <c r="C1356" t="s">
        <v>129</v>
      </c>
      <c r="D1356" s="1" t="str">
        <f>"30174"</f>
        <v>30174</v>
      </c>
      <c r="E1356" t="s">
        <v>15</v>
      </c>
      <c r="F1356" t="s">
        <v>130</v>
      </c>
      <c r="G1356" s="1" t="str">
        <f>"005"</f>
        <v>005</v>
      </c>
      <c r="H1356" s="1">
        <v>2017</v>
      </c>
      <c r="I1356" s="6">
        <v>59281800</v>
      </c>
      <c r="J1356" s="6">
        <v>14372700</v>
      </c>
      <c r="K1356" s="6">
        <v>44909100</v>
      </c>
      <c r="L1356" s="7"/>
    </row>
    <row r="1357" spans="1:12" x14ac:dyDescent="0.25">
      <c r="A1357" t="s">
        <v>799</v>
      </c>
      <c r="B1357" s="5">
        <v>662436</v>
      </c>
      <c r="C1357" t="s">
        <v>86</v>
      </c>
      <c r="D1357" s="1" t="str">
        <f>"14230"</f>
        <v>14230</v>
      </c>
      <c r="E1357" t="s">
        <v>10</v>
      </c>
      <c r="F1357" t="s">
        <v>332</v>
      </c>
      <c r="G1357" s="1" t="str">
        <f>"007"</f>
        <v>007</v>
      </c>
      <c r="H1357" s="1">
        <v>2011</v>
      </c>
      <c r="I1357" s="6">
        <v>6273100</v>
      </c>
      <c r="J1357" s="6">
        <v>13800</v>
      </c>
      <c r="K1357" s="6">
        <v>6259300</v>
      </c>
      <c r="L1357" s="7"/>
    </row>
    <row r="1358" spans="1:12" x14ac:dyDescent="0.25">
      <c r="A1358" t="s">
        <v>799</v>
      </c>
      <c r="B1358" s="5">
        <v>662436</v>
      </c>
      <c r="C1358" t="s">
        <v>86</v>
      </c>
      <c r="D1358" s="1" t="str">
        <f>"14230"</f>
        <v>14230</v>
      </c>
      <c r="E1358" t="s">
        <v>10</v>
      </c>
      <c r="F1358" t="s">
        <v>332</v>
      </c>
      <c r="G1358" s="1" t="str">
        <f>"009"</f>
        <v>009</v>
      </c>
      <c r="H1358" s="1">
        <v>2015</v>
      </c>
      <c r="I1358" s="6">
        <v>9828600</v>
      </c>
      <c r="J1358" s="6">
        <v>4428900</v>
      </c>
      <c r="K1358" s="6">
        <v>5399700</v>
      </c>
      <c r="L1358" s="7"/>
    </row>
    <row r="1359" spans="1:12" x14ac:dyDescent="0.25">
      <c r="A1359" t="s">
        <v>799</v>
      </c>
      <c r="B1359" s="5">
        <v>662436</v>
      </c>
      <c r="C1359" t="s">
        <v>298</v>
      </c>
      <c r="D1359" s="1" t="str">
        <f>"66236"</f>
        <v>66236</v>
      </c>
      <c r="E1359" t="s">
        <v>10</v>
      </c>
      <c r="F1359" t="s">
        <v>332</v>
      </c>
      <c r="G1359" s="1" t="str">
        <f>"006"</f>
        <v>006</v>
      </c>
      <c r="H1359" s="1">
        <v>2008</v>
      </c>
      <c r="I1359" s="6">
        <v>1812400</v>
      </c>
      <c r="J1359" s="6">
        <v>1100000</v>
      </c>
      <c r="K1359" s="6">
        <v>712400</v>
      </c>
      <c r="L1359" s="7"/>
    </row>
    <row r="1360" spans="1:12" x14ac:dyDescent="0.25">
      <c r="A1360" t="s">
        <v>799</v>
      </c>
      <c r="B1360" s="5">
        <v>662436</v>
      </c>
      <c r="C1360" t="s">
        <v>298</v>
      </c>
      <c r="D1360" s="1" t="str">
        <f>"66236"</f>
        <v>66236</v>
      </c>
      <c r="E1360" t="s">
        <v>10</v>
      </c>
      <c r="F1360" t="s">
        <v>332</v>
      </c>
      <c r="G1360" s="1" t="str">
        <f>"007"</f>
        <v>007</v>
      </c>
      <c r="H1360" s="1">
        <v>2011</v>
      </c>
      <c r="I1360" s="6">
        <v>2647000</v>
      </c>
      <c r="J1360" s="6">
        <v>3600</v>
      </c>
      <c r="K1360" s="6">
        <v>2643400</v>
      </c>
      <c r="L1360" s="7"/>
    </row>
    <row r="1361" spans="1:12" x14ac:dyDescent="0.25">
      <c r="A1361" t="s">
        <v>799</v>
      </c>
      <c r="B1361" s="5">
        <v>662436</v>
      </c>
      <c r="C1361" t="s">
        <v>298</v>
      </c>
      <c r="D1361" s="1" t="str">
        <f>"66236"</f>
        <v>66236</v>
      </c>
      <c r="E1361" t="s">
        <v>10</v>
      </c>
      <c r="F1361" t="s">
        <v>332</v>
      </c>
      <c r="G1361" s="1" t="str">
        <f>"008"</f>
        <v>008</v>
      </c>
      <c r="H1361" s="1">
        <v>2013</v>
      </c>
      <c r="I1361" s="6">
        <v>9117200</v>
      </c>
      <c r="J1361" s="6">
        <v>6047400</v>
      </c>
      <c r="K1361" s="6">
        <v>3069800</v>
      </c>
      <c r="L1361" s="7"/>
    </row>
    <row r="1362" spans="1:12" x14ac:dyDescent="0.25">
      <c r="A1362" t="s">
        <v>799</v>
      </c>
      <c r="B1362" s="5">
        <v>662436</v>
      </c>
      <c r="C1362" t="s">
        <v>298</v>
      </c>
      <c r="D1362" s="1" t="str">
        <f>"66236"</f>
        <v>66236</v>
      </c>
      <c r="E1362" t="s">
        <v>10</v>
      </c>
      <c r="F1362" t="s">
        <v>332</v>
      </c>
      <c r="G1362" s="1" t="str">
        <f>"010"</f>
        <v>010</v>
      </c>
      <c r="H1362" s="1">
        <v>2017</v>
      </c>
      <c r="I1362" s="6">
        <v>9766100</v>
      </c>
      <c r="J1362" s="6">
        <v>4791600</v>
      </c>
      <c r="K1362" s="6">
        <v>4974500</v>
      </c>
      <c r="L1362" s="7"/>
    </row>
    <row r="1363" spans="1:12" x14ac:dyDescent="0.25">
      <c r="A1363" t="s">
        <v>799</v>
      </c>
      <c r="B1363" s="5">
        <v>662436</v>
      </c>
      <c r="C1363" t="s">
        <v>298</v>
      </c>
      <c r="D1363" s="1" t="str">
        <f>"66236"</f>
        <v>66236</v>
      </c>
      <c r="E1363" t="s">
        <v>10</v>
      </c>
      <c r="F1363" t="s">
        <v>332</v>
      </c>
      <c r="G1363" s="1" t="str">
        <f>"011"</f>
        <v>011</v>
      </c>
      <c r="H1363" s="1">
        <v>2017</v>
      </c>
      <c r="I1363" s="6">
        <v>15784900</v>
      </c>
      <c r="J1363" s="6">
        <v>11588700</v>
      </c>
      <c r="K1363" s="6">
        <v>4196200</v>
      </c>
      <c r="L1363" s="7"/>
    </row>
    <row r="1364" spans="1:12" x14ac:dyDescent="0.25">
      <c r="A1364" t="s">
        <v>800</v>
      </c>
      <c r="B1364" s="5">
        <v>402177</v>
      </c>
      <c r="C1364" t="s">
        <v>134</v>
      </c>
      <c r="D1364" s="1" t="str">
        <f>"40231"</f>
        <v>40231</v>
      </c>
      <c r="E1364" t="s">
        <v>10</v>
      </c>
      <c r="F1364" t="s">
        <v>307</v>
      </c>
      <c r="G1364" s="1" t="str">
        <f>"007"</f>
        <v>007</v>
      </c>
      <c r="H1364" s="1">
        <v>1996</v>
      </c>
      <c r="I1364" s="6">
        <v>91568500</v>
      </c>
      <c r="J1364" s="6">
        <v>14036000</v>
      </c>
      <c r="K1364" s="6">
        <v>77532500</v>
      </c>
      <c r="L1364" s="7"/>
    </row>
    <row r="1365" spans="1:12" x14ac:dyDescent="0.25">
      <c r="A1365" t="s">
        <v>800</v>
      </c>
      <c r="B1365" s="5">
        <v>402177</v>
      </c>
      <c r="C1365" t="s">
        <v>134</v>
      </c>
      <c r="D1365" s="1" t="str">
        <f>"40231"</f>
        <v>40231</v>
      </c>
      <c r="E1365" t="s">
        <v>10</v>
      </c>
      <c r="F1365" t="s">
        <v>307</v>
      </c>
      <c r="G1365" s="1" t="str">
        <f>"008"</f>
        <v>008</v>
      </c>
      <c r="H1365" s="1">
        <v>2002</v>
      </c>
      <c r="I1365" s="6">
        <v>89502000</v>
      </c>
      <c r="J1365" s="6">
        <v>73733700</v>
      </c>
      <c r="K1365" s="6">
        <v>15768300</v>
      </c>
      <c r="L1365" s="7"/>
    </row>
    <row r="1366" spans="1:12" x14ac:dyDescent="0.25">
      <c r="A1366" t="s">
        <v>801</v>
      </c>
      <c r="B1366" s="5">
        <v>515852</v>
      </c>
      <c r="C1366" t="s">
        <v>583</v>
      </c>
      <c r="D1366" s="1" t="str">
        <f>"51186"</f>
        <v>51186</v>
      </c>
      <c r="E1366" t="s">
        <v>15</v>
      </c>
      <c r="F1366" t="s">
        <v>715</v>
      </c>
      <c r="G1366" s="1" t="str">
        <f>"003"</f>
        <v>003</v>
      </c>
      <c r="H1366" s="1">
        <v>2001</v>
      </c>
      <c r="I1366" s="6">
        <v>22140400</v>
      </c>
      <c r="J1366" s="6">
        <v>3485200</v>
      </c>
      <c r="K1366" s="6">
        <v>18655200</v>
      </c>
      <c r="L1366" s="7"/>
    </row>
    <row r="1367" spans="1:12" x14ac:dyDescent="0.25">
      <c r="A1367" t="s">
        <v>801</v>
      </c>
      <c r="B1367" s="5">
        <v>515852</v>
      </c>
      <c r="C1367" t="s">
        <v>583</v>
      </c>
      <c r="D1367" s="1" t="str">
        <f>"51186"</f>
        <v>51186</v>
      </c>
      <c r="E1367" t="s">
        <v>15</v>
      </c>
      <c r="F1367" t="s">
        <v>715</v>
      </c>
      <c r="G1367" s="1" t="str">
        <f>"004"</f>
        <v>004</v>
      </c>
      <c r="H1367" s="1">
        <v>2006</v>
      </c>
      <c r="I1367" s="6">
        <v>35004800</v>
      </c>
      <c r="J1367" s="6">
        <v>31932700</v>
      </c>
      <c r="K1367" s="6">
        <v>3072100</v>
      </c>
      <c r="L1367" s="7"/>
    </row>
    <row r="1368" spans="1:12" x14ac:dyDescent="0.25">
      <c r="A1368" t="s">
        <v>801</v>
      </c>
      <c r="B1368" s="5">
        <v>515852</v>
      </c>
      <c r="C1368" t="s">
        <v>583</v>
      </c>
      <c r="D1368" s="1" t="str">
        <f>"51186"</f>
        <v>51186</v>
      </c>
      <c r="E1368" t="s">
        <v>15</v>
      </c>
      <c r="F1368" t="s">
        <v>715</v>
      </c>
      <c r="G1368" s="1" t="str">
        <f>"005"</f>
        <v>005</v>
      </c>
      <c r="H1368" s="1">
        <v>2016</v>
      </c>
      <c r="I1368" s="6">
        <v>4401800</v>
      </c>
      <c r="J1368" s="6">
        <v>464700</v>
      </c>
      <c r="K1368" s="6">
        <v>3937100</v>
      </c>
      <c r="L1368" s="7"/>
    </row>
    <row r="1369" spans="1:12" x14ac:dyDescent="0.25">
      <c r="A1369" t="s">
        <v>802</v>
      </c>
      <c r="B1369" s="5">
        <v>516083</v>
      </c>
      <c r="C1369" t="s">
        <v>583</v>
      </c>
      <c r="D1369" s="1" t="str">
        <f>"51191"</f>
        <v>51191</v>
      </c>
      <c r="E1369" t="s">
        <v>15</v>
      </c>
      <c r="F1369" t="s">
        <v>730</v>
      </c>
      <c r="G1369" s="1" t="str">
        <f>"002"</f>
        <v>002</v>
      </c>
      <c r="H1369" s="1">
        <v>2000</v>
      </c>
      <c r="I1369" s="6">
        <v>52245100</v>
      </c>
      <c r="J1369" s="6">
        <v>13787500</v>
      </c>
      <c r="K1369" s="6">
        <v>38457600</v>
      </c>
      <c r="L1369" s="7"/>
    </row>
    <row r="1370" spans="1:12" x14ac:dyDescent="0.25">
      <c r="A1370" t="s">
        <v>803</v>
      </c>
      <c r="B1370" s="5">
        <v>306545</v>
      </c>
      <c r="C1370" t="s">
        <v>129</v>
      </c>
      <c r="D1370" s="1" t="str">
        <f>"30179"</f>
        <v>30179</v>
      </c>
      <c r="E1370" t="s">
        <v>15</v>
      </c>
      <c r="F1370" t="s">
        <v>705</v>
      </c>
      <c r="G1370" s="1" t="str">
        <f>"001"</f>
        <v>001</v>
      </c>
      <c r="H1370" s="1">
        <v>2015</v>
      </c>
      <c r="I1370" s="6">
        <v>7402100</v>
      </c>
      <c r="J1370" s="6">
        <v>29500</v>
      </c>
      <c r="K1370" s="6">
        <v>7372600</v>
      </c>
      <c r="L1370" s="7"/>
    </row>
    <row r="1371" spans="1:12" x14ac:dyDescent="0.25">
      <c r="A1371" t="s">
        <v>803</v>
      </c>
      <c r="B1371" s="5">
        <v>306545</v>
      </c>
      <c r="C1371" t="s">
        <v>129</v>
      </c>
      <c r="D1371" s="1" t="str">
        <f>"30186"</f>
        <v>30186</v>
      </c>
      <c r="E1371" t="s">
        <v>15</v>
      </c>
      <c r="F1371" t="s">
        <v>588</v>
      </c>
      <c r="G1371" s="1" t="str">
        <f>"001"</f>
        <v>001</v>
      </c>
      <c r="H1371" s="1">
        <v>2007</v>
      </c>
      <c r="I1371" s="6">
        <v>53298400</v>
      </c>
      <c r="J1371" s="6">
        <v>44044400</v>
      </c>
      <c r="K1371" s="6">
        <v>9254000</v>
      </c>
      <c r="L1371" s="7"/>
    </row>
  </sheetData>
  <mergeCells count="2">
    <mergeCell ref="A1:L1"/>
    <mergeCell ref="A2:L2"/>
  </mergeCells>
  <pageMargins left="0.7" right="0.7" top="0.75" bottom="0.75" header="0.3" footer="0.3"/>
  <pageSetup orientation="portrait" r:id="rId1"/>
  <ignoredErrors>
    <ignoredError sqref="G15 G42:G43 G52:G53 G62 G73 G107 G122 G12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</_x002e_Owner>
    <EffectiveDate xmlns="7b1f4bc1-1c69-4382-97c7-524a76d943bf" xsi:nil="true"/>
    <_x002e_DocumentType xmlns="9e30f06f-ad7a-453a-8e08-8a8878e30bd1">
      <Value>123</Value>
      <Value>201</Value>
    </_x002e_DocumentType>
    <_x002e_DocumentYear xmlns="9e30f06f-ad7a-453a-8e08-8a8878e30bd1">2019</_x002e_DocumentYear>
    <_dlc_DocId xmlns="bb65cc95-6d4e-4879-a879-9838761499af">33E6D4FPPFNA-691263572-5912</_dlc_DocId>
    <_dlc_DocIdUrl xmlns="bb65cc95-6d4e-4879-a879-9838761499af">
      <Url>http://apwmad0p7106:9444/_layouts/15/DocIdRedir.aspx?ID=33E6D4FPPFNA-691263572-5912</Url>
      <Description>33E6D4FPPFNA-691263572-5912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BACEAB165394D97F8EEEC27035B5B" ma:contentTypeVersion="8" ma:contentTypeDescription="Create a new document." ma:contentTypeScope="" ma:versionID="c40ff40caf3528ac6ce748b862a169db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35460830aa062aaf029857e4743681cb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8F8991-BDED-41C5-B26F-3048C7B4FB9A}"/>
</file>

<file path=customXml/itemProps2.xml><?xml version="1.0" encoding="utf-8"?>
<ds:datastoreItem xmlns:ds="http://schemas.openxmlformats.org/officeDocument/2006/customXml" ds:itemID="{ACA606AC-3F71-4EDA-8B4B-8ADF36ED8C37}"/>
</file>

<file path=customXml/itemProps3.xml><?xml version="1.0" encoding="utf-8"?>
<ds:datastoreItem xmlns:ds="http://schemas.openxmlformats.org/officeDocument/2006/customXml" ds:itemID="{20520463-9FD1-4027-A23F-949E303EF4F2}"/>
</file>

<file path=customXml/itemProps4.xml><?xml version="1.0" encoding="utf-8"?>
<ds:datastoreItem xmlns:ds="http://schemas.openxmlformats.org/officeDocument/2006/customXml" ds:itemID="{6E860B44-56AE-4972-99A6-5D0B8A8EC9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School Districts Certification</dc:title>
  <dc:creator>Leitner, Stacy L - DOR</dc:creator>
  <cp:lastModifiedBy>Filipiak, Kristin H; FTE; 05/10/2016</cp:lastModifiedBy>
  <dcterms:created xsi:type="dcterms:W3CDTF">2019-09-05T14:15:27Z</dcterms:created>
  <dcterms:modified xsi:type="dcterms:W3CDTF">2019-09-05T14:45:12Z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0x010100F10BACEAB165394D97F8EEEC27035B5B</vt:lpwstr>
  </property>
  <property fmtid="{D5CDD505-2E9C-101B-9397-08002B2CF9AE}" pid="3" name="_dlc_DocIdItemGuid">
    <vt:lpwstr>517a4847-ac32-43bd-b79f-e2fb20697f93</vt:lpwstr>
  </property>
</Properties>
</file>