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AS\EQ\EQ Values\2019\Final (Aug 15)\"/>
    </mc:Choice>
  </mc:AlternateContent>
  <bookViews>
    <workbookView xWindow="0" yWindow="0" windowWidth="25200" windowHeight="11235"/>
  </bookViews>
  <sheets>
    <sheet name="TID304WI-FINAL" sheetId="1" r:id="rId1"/>
  </sheets>
  <calcPr calcId="0"/>
</workbook>
</file>

<file path=xl/calcChain.xml><?xml version="1.0" encoding="utf-8"?>
<calcChain xmlns="http://schemas.openxmlformats.org/spreadsheetml/2006/main">
  <c r="B10" i="1" l="1"/>
  <c r="C10" i="1"/>
  <c r="B11" i="1"/>
  <c r="C11" i="1"/>
  <c r="B12" i="1"/>
  <c r="C12" i="1"/>
  <c r="B13" i="1"/>
  <c r="C13" i="1"/>
  <c r="B14" i="1"/>
  <c r="C14" i="1"/>
  <c r="B17" i="1"/>
  <c r="C17" i="1"/>
  <c r="B18" i="1"/>
  <c r="C18" i="1"/>
  <c r="B21" i="1"/>
  <c r="C21" i="1"/>
  <c r="B22" i="1"/>
  <c r="C22" i="1"/>
  <c r="B25" i="1"/>
  <c r="C25" i="1"/>
  <c r="B28" i="1"/>
  <c r="C28" i="1"/>
  <c r="B31" i="1"/>
  <c r="C31" i="1"/>
  <c r="B32" i="1"/>
  <c r="C32" i="1"/>
  <c r="B35" i="1"/>
  <c r="C35" i="1"/>
  <c r="B36" i="1"/>
  <c r="C36" i="1"/>
  <c r="B37" i="1"/>
  <c r="C37" i="1"/>
  <c r="B40" i="1"/>
  <c r="C40" i="1"/>
  <c r="B41" i="1"/>
  <c r="C41" i="1"/>
  <c r="B42" i="1"/>
  <c r="C42" i="1"/>
  <c r="B45" i="1"/>
  <c r="C45" i="1"/>
  <c r="B48" i="1"/>
  <c r="C48" i="1"/>
  <c r="B49" i="1"/>
  <c r="C49" i="1"/>
  <c r="B50" i="1"/>
  <c r="C50" i="1"/>
  <c r="B51" i="1"/>
  <c r="C51" i="1"/>
  <c r="B52" i="1"/>
  <c r="C52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5" i="1"/>
  <c r="C65" i="1"/>
  <c r="B66" i="1"/>
  <c r="C66" i="1"/>
  <c r="B69" i="1"/>
  <c r="C69" i="1"/>
  <c r="B72" i="1"/>
  <c r="C72" i="1"/>
  <c r="B75" i="1"/>
  <c r="C75" i="1"/>
  <c r="B78" i="1"/>
  <c r="C78" i="1"/>
  <c r="B79" i="1"/>
  <c r="C79" i="1"/>
  <c r="B80" i="1"/>
  <c r="C80" i="1"/>
  <c r="B83" i="1"/>
  <c r="C83" i="1"/>
  <c r="B84" i="1"/>
  <c r="C84" i="1"/>
  <c r="B85" i="1"/>
  <c r="C85" i="1"/>
  <c r="B88" i="1"/>
  <c r="C88" i="1"/>
  <c r="B89" i="1"/>
  <c r="C89" i="1"/>
  <c r="B92" i="1"/>
  <c r="C92" i="1"/>
  <c r="B93" i="1"/>
  <c r="C93" i="1"/>
  <c r="B96" i="1"/>
  <c r="C96" i="1"/>
  <c r="B99" i="1"/>
  <c r="C99" i="1"/>
  <c r="B102" i="1"/>
  <c r="C102" i="1"/>
  <c r="B103" i="1"/>
  <c r="C103" i="1"/>
  <c r="B104" i="1"/>
  <c r="C104" i="1"/>
  <c r="B107" i="1"/>
  <c r="C107" i="1"/>
  <c r="B108" i="1"/>
  <c r="C108" i="1"/>
  <c r="B109" i="1"/>
  <c r="C109" i="1"/>
  <c r="B110" i="1"/>
  <c r="C110" i="1"/>
  <c r="B113" i="1"/>
  <c r="C113" i="1"/>
  <c r="B114" i="1"/>
  <c r="C114" i="1"/>
  <c r="B117" i="1"/>
  <c r="C117" i="1"/>
  <c r="B118" i="1"/>
  <c r="C118" i="1"/>
  <c r="B119" i="1"/>
  <c r="C119" i="1"/>
  <c r="B120" i="1"/>
  <c r="C120" i="1"/>
  <c r="B123" i="1"/>
  <c r="C123" i="1"/>
  <c r="B124" i="1"/>
  <c r="C124" i="1"/>
  <c r="B127" i="1"/>
  <c r="C127" i="1"/>
  <c r="B128" i="1"/>
  <c r="C128" i="1"/>
  <c r="B129" i="1"/>
  <c r="C129" i="1"/>
  <c r="B130" i="1"/>
  <c r="C130" i="1"/>
  <c r="B131" i="1"/>
  <c r="C131" i="1"/>
  <c r="B134" i="1"/>
  <c r="C134" i="1"/>
  <c r="B135" i="1"/>
  <c r="C135" i="1"/>
  <c r="B136" i="1"/>
  <c r="C136" i="1"/>
  <c r="B137" i="1"/>
  <c r="C137" i="1"/>
  <c r="B140" i="1"/>
  <c r="C140" i="1"/>
  <c r="B143" i="1"/>
  <c r="C143" i="1"/>
  <c r="B144" i="1"/>
  <c r="C144" i="1"/>
  <c r="B145" i="1"/>
  <c r="C145" i="1"/>
  <c r="B146" i="1"/>
  <c r="C146" i="1"/>
  <c r="B149" i="1"/>
  <c r="C149" i="1"/>
  <c r="B150" i="1"/>
  <c r="C150" i="1"/>
  <c r="B153" i="1"/>
  <c r="C153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5" i="1"/>
  <c r="C165" i="1"/>
  <c r="B166" i="1"/>
  <c r="C166" i="1"/>
  <c r="B167" i="1"/>
  <c r="C167" i="1"/>
  <c r="B168" i="1"/>
  <c r="C168" i="1"/>
  <c r="B171" i="1"/>
  <c r="C171" i="1"/>
  <c r="B174" i="1"/>
  <c r="C174" i="1"/>
  <c r="B175" i="1"/>
  <c r="C175" i="1"/>
  <c r="B178" i="1"/>
  <c r="C178" i="1"/>
  <c r="B181" i="1"/>
  <c r="C181" i="1"/>
  <c r="B182" i="1"/>
  <c r="C182" i="1"/>
  <c r="B183" i="1"/>
  <c r="C183" i="1"/>
  <c r="B186" i="1"/>
  <c r="C186" i="1"/>
  <c r="B189" i="1"/>
  <c r="C189" i="1"/>
  <c r="B190" i="1"/>
  <c r="C190" i="1"/>
  <c r="B193" i="1"/>
  <c r="C193" i="1"/>
  <c r="B194" i="1"/>
  <c r="C194" i="1"/>
  <c r="B195" i="1"/>
  <c r="C195" i="1"/>
  <c r="B196" i="1"/>
  <c r="C196" i="1"/>
  <c r="B197" i="1"/>
  <c r="C197" i="1"/>
  <c r="B200" i="1"/>
  <c r="C200" i="1"/>
  <c r="B201" i="1"/>
  <c r="C201" i="1"/>
  <c r="B202" i="1"/>
  <c r="C202" i="1"/>
  <c r="B203" i="1"/>
  <c r="C203" i="1"/>
  <c r="B206" i="1"/>
  <c r="C206" i="1"/>
  <c r="B209" i="1"/>
  <c r="C209" i="1"/>
  <c r="B212" i="1"/>
  <c r="C212" i="1"/>
  <c r="B215" i="1"/>
  <c r="C215" i="1"/>
  <c r="B218" i="1"/>
  <c r="C218" i="1"/>
  <c r="B219" i="1"/>
  <c r="C219" i="1"/>
  <c r="B222" i="1"/>
  <c r="C222" i="1"/>
  <c r="B223" i="1"/>
  <c r="C223" i="1"/>
  <c r="B224" i="1"/>
  <c r="C224" i="1"/>
  <c r="B227" i="1"/>
  <c r="C227" i="1"/>
  <c r="B228" i="1"/>
  <c r="C228" i="1"/>
  <c r="B229" i="1"/>
  <c r="C229" i="1"/>
  <c r="B230" i="1"/>
  <c r="C230" i="1"/>
  <c r="B231" i="1"/>
  <c r="C231" i="1"/>
  <c r="B234" i="1"/>
  <c r="C234" i="1"/>
  <c r="B236" i="1"/>
  <c r="C236" i="1"/>
  <c r="B237" i="1"/>
  <c r="C237" i="1"/>
  <c r="B238" i="1"/>
  <c r="C238" i="1"/>
  <c r="B239" i="1"/>
  <c r="C239" i="1"/>
  <c r="B240" i="1"/>
  <c r="C240" i="1"/>
  <c r="B243" i="1"/>
  <c r="C243" i="1"/>
  <c r="B244" i="1"/>
  <c r="C244" i="1"/>
  <c r="B245" i="1"/>
  <c r="C245" i="1"/>
  <c r="B248" i="1"/>
  <c r="C248" i="1"/>
  <c r="B249" i="1"/>
  <c r="C249" i="1"/>
  <c r="B250" i="1"/>
  <c r="C250" i="1"/>
  <c r="B253" i="1"/>
  <c r="C253" i="1"/>
  <c r="B254" i="1"/>
  <c r="C254" i="1"/>
  <c r="B257" i="1"/>
  <c r="C257" i="1"/>
  <c r="B260" i="1"/>
  <c r="C260" i="1"/>
  <c r="B263" i="1"/>
  <c r="C263" i="1"/>
  <c r="B264" i="1"/>
  <c r="C264" i="1"/>
  <c r="B265" i="1"/>
  <c r="C265" i="1"/>
  <c r="B268" i="1"/>
  <c r="C268" i="1"/>
  <c r="B271" i="1"/>
  <c r="C271" i="1"/>
  <c r="B274" i="1"/>
  <c r="C274" i="1"/>
  <c r="B277" i="1"/>
  <c r="C277" i="1"/>
  <c r="B280" i="1"/>
  <c r="C280" i="1"/>
  <c r="B283" i="1"/>
  <c r="C283" i="1"/>
  <c r="B284" i="1"/>
  <c r="C284" i="1"/>
  <c r="B285" i="1"/>
  <c r="C285" i="1"/>
  <c r="B288" i="1"/>
  <c r="C288" i="1"/>
  <c r="B289" i="1"/>
  <c r="C289" i="1"/>
  <c r="B292" i="1"/>
  <c r="C292" i="1"/>
  <c r="B293" i="1"/>
  <c r="C293" i="1"/>
  <c r="B294" i="1"/>
  <c r="C294" i="1"/>
  <c r="B297" i="1"/>
  <c r="C297" i="1"/>
  <c r="B300" i="1"/>
  <c r="C300" i="1"/>
  <c r="B303" i="1"/>
  <c r="C303" i="1"/>
  <c r="B304" i="1"/>
  <c r="C304" i="1"/>
  <c r="B305" i="1"/>
  <c r="C305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20" i="1"/>
  <c r="C320" i="1"/>
  <c r="B323" i="1"/>
  <c r="C323" i="1"/>
  <c r="B324" i="1"/>
  <c r="C324" i="1"/>
  <c r="B327" i="1"/>
  <c r="C327" i="1"/>
  <c r="B330" i="1"/>
  <c r="C330" i="1"/>
  <c r="B331" i="1"/>
  <c r="C331" i="1"/>
  <c r="B334" i="1"/>
  <c r="C334" i="1"/>
  <c r="B335" i="1"/>
  <c r="C335" i="1"/>
  <c r="B338" i="1"/>
  <c r="C338" i="1"/>
  <c r="B339" i="1"/>
  <c r="C339" i="1"/>
  <c r="B340" i="1"/>
  <c r="C340" i="1"/>
  <c r="B343" i="1"/>
  <c r="C343" i="1"/>
  <c r="B344" i="1"/>
  <c r="C344" i="1"/>
  <c r="B347" i="1"/>
  <c r="C347" i="1"/>
  <c r="B350" i="1"/>
  <c r="C350" i="1"/>
  <c r="B351" i="1"/>
  <c r="C351" i="1"/>
  <c r="B354" i="1"/>
  <c r="C354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5" i="1"/>
  <c r="C365" i="1"/>
  <c r="B368" i="1"/>
  <c r="C368" i="1"/>
  <c r="B371" i="1"/>
  <c r="C371" i="1"/>
  <c r="B374" i="1"/>
  <c r="C374" i="1"/>
  <c r="B375" i="1"/>
  <c r="C375" i="1"/>
  <c r="B376" i="1"/>
  <c r="C376" i="1"/>
  <c r="B379" i="1"/>
  <c r="C379" i="1"/>
  <c r="B382" i="1"/>
  <c r="C382" i="1"/>
  <c r="B383" i="1"/>
  <c r="C383" i="1"/>
  <c r="B384" i="1"/>
  <c r="C384" i="1"/>
  <c r="B387" i="1"/>
  <c r="C387" i="1"/>
  <c r="B390" i="1"/>
  <c r="C390" i="1"/>
  <c r="B393" i="1"/>
  <c r="C393" i="1"/>
  <c r="B396" i="1"/>
  <c r="C396" i="1"/>
  <c r="B397" i="1"/>
  <c r="C397" i="1"/>
  <c r="B398" i="1"/>
  <c r="C398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2" i="1"/>
  <c r="C412" i="1"/>
  <c r="B413" i="1"/>
  <c r="C413" i="1"/>
  <c r="B416" i="1"/>
  <c r="C416" i="1"/>
  <c r="B417" i="1"/>
  <c r="C417" i="1"/>
  <c r="B418" i="1"/>
  <c r="C418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31" i="1"/>
  <c r="C431" i="1"/>
  <c r="B434" i="1"/>
  <c r="C434" i="1"/>
  <c r="B435" i="1"/>
  <c r="C435" i="1"/>
  <c r="B438" i="1"/>
  <c r="C438" i="1"/>
  <c r="B441" i="1"/>
  <c r="C441" i="1"/>
  <c r="B444" i="1"/>
  <c r="C444" i="1"/>
  <c r="B445" i="1"/>
  <c r="C445" i="1"/>
  <c r="B448" i="1"/>
  <c r="C448" i="1"/>
  <c r="B451" i="1"/>
  <c r="C451" i="1"/>
  <c r="B452" i="1"/>
  <c r="C452" i="1"/>
  <c r="B455" i="1"/>
  <c r="C455" i="1"/>
  <c r="B456" i="1"/>
  <c r="C456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8" i="1"/>
  <c r="C468" i="1"/>
  <c r="B469" i="1"/>
  <c r="C469" i="1"/>
  <c r="B470" i="1"/>
  <c r="C470" i="1"/>
  <c r="B473" i="1"/>
  <c r="C473" i="1"/>
  <c r="B474" i="1"/>
  <c r="C474" i="1"/>
  <c r="B475" i="1"/>
  <c r="C475" i="1"/>
  <c r="B476" i="1"/>
  <c r="C476" i="1"/>
  <c r="B479" i="1"/>
  <c r="C479" i="1"/>
  <c r="B482" i="1"/>
  <c r="C482" i="1"/>
  <c r="B485" i="1"/>
  <c r="C485" i="1"/>
  <c r="B486" i="1"/>
  <c r="C486" i="1"/>
  <c r="B487" i="1"/>
  <c r="C487" i="1"/>
  <c r="B490" i="1"/>
  <c r="C490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501" i="1"/>
  <c r="C501" i="1"/>
  <c r="B504" i="1"/>
  <c r="C504" i="1"/>
  <c r="B505" i="1"/>
  <c r="C505" i="1"/>
  <c r="B506" i="1"/>
  <c r="C506" i="1"/>
  <c r="B509" i="1"/>
  <c r="C509" i="1"/>
  <c r="B510" i="1"/>
  <c r="C510" i="1"/>
  <c r="B511" i="1"/>
  <c r="C511" i="1"/>
  <c r="B512" i="1"/>
  <c r="C512" i="1"/>
  <c r="B513" i="1"/>
  <c r="C513" i="1"/>
  <c r="B516" i="1"/>
  <c r="C516" i="1"/>
  <c r="B519" i="1"/>
  <c r="C519" i="1"/>
  <c r="B520" i="1"/>
  <c r="C520" i="1"/>
  <c r="B521" i="1"/>
  <c r="C521" i="1"/>
  <c r="B522" i="1"/>
  <c r="C522" i="1"/>
  <c r="B523" i="1"/>
  <c r="C523" i="1"/>
  <c r="B526" i="1"/>
  <c r="C526" i="1"/>
  <c r="B529" i="1"/>
  <c r="C529" i="1"/>
  <c r="B530" i="1"/>
  <c r="C530" i="1"/>
  <c r="B533" i="1"/>
  <c r="C533" i="1"/>
  <c r="B534" i="1"/>
  <c r="C534" i="1"/>
  <c r="B535" i="1"/>
  <c r="C535" i="1"/>
  <c r="B538" i="1"/>
  <c r="C538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50" i="1"/>
  <c r="C550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9" i="1"/>
  <c r="C569" i="1"/>
  <c r="B572" i="1"/>
  <c r="C572" i="1"/>
  <c r="B575" i="1"/>
  <c r="C575" i="1"/>
  <c r="B576" i="1"/>
  <c r="C576" i="1"/>
  <c r="B577" i="1"/>
  <c r="C577" i="1"/>
  <c r="B580" i="1"/>
  <c r="C580" i="1"/>
  <c r="B581" i="1"/>
  <c r="C581" i="1"/>
  <c r="B582" i="1"/>
  <c r="C582" i="1"/>
  <c r="B583" i="1"/>
  <c r="C583" i="1"/>
  <c r="B586" i="1"/>
  <c r="C586" i="1"/>
  <c r="B587" i="1"/>
  <c r="C587" i="1"/>
  <c r="B590" i="1"/>
  <c r="C590" i="1"/>
  <c r="B593" i="1"/>
  <c r="C593" i="1"/>
  <c r="B594" i="1"/>
  <c r="C594" i="1"/>
  <c r="B595" i="1"/>
  <c r="C595" i="1"/>
  <c r="B598" i="1"/>
  <c r="C598" i="1"/>
  <c r="B601" i="1"/>
  <c r="C601" i="1"/>
  <c r="B602" i="1"/>
  <c r="C602" i="1"/>
  <c r="B605" i="1"/>
  <c r="C605" i="1"/>
  <c r="B606" i="1"/>
  <c r="C606" i="1"/>
  <c r="B609" i="1"/>
  <c r="C609" i="1"/>
  <c r="B612" i="1"/>
  <c r="C612" i="1"/>
  <c r="B615" i="1"/>
  <c r="C615" i="1"/>
  <c r="B616" i="1"/>
  <c r="C616" i="1"/>
  <c r="B617" i="1"/>
  <c r="C617" i="1"/>
  <c r="B620" i="1"/>
  <c r="C620" i="1"/>
  <c r="B621" i="1"/>
  <c r="C621" i="1"/>
  <c r="B622" i="1"/>
  <c r="C622" i="1"/>
  <c r="B625" i="1"/>
  <c r="C625" i="1"/>
  <c r="B626" i="1"/>
  <c r="C626" i="1"/>
  <c r="B629" i="1"/>
  <c r="C629" i="1"/>
  <c r="B632" i="1"/>
  <c r="C632" i="1"/>
  <c r="B633" i="1"/>
  <c r="C633" i="1"/>
  <c r="B636" i="1"/>
  <c r="C636" i="1"/>
  <c r="B637" i="1"/>
  <c r="C637" i="1"/>
  <c r="B638" i="1"/>
  <c r="C638" i="1"/>
  <c r="B639" i="1"/>
  <c r="C639" i="1"/>
  <c r="B642" i="1"/>
  <c r="C642" i="1"/>
  <c r="B643" i="1"/>
  <c r="C643" i="1"/>
  <c r="B644" i="1"/>
  <c r="C644" i="1"/>
  <c r="B645" i="1"/>
  <c r="C645" i="1"/>
  <c r="B648" i="1"/>
  <c r="C648" i="1"/>
  <c r="B651" i="1"/>
  <c r="C651" i="1"/>
  <c r="B652" i="1"/>
  <c r="C652" i="1"/>
  <c r="B653" i="1"/>
  <c r="C653" i="1"/>
  <c r="B656" i="1"/>
  <c r="C656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6" i="1"/>
  <c r="C676" i="1"/>
  <c r="B677" i="1"/>
  <c r="C677" i="1"/>
  <c r="B680" i="1"/>
  <c r="C680" i="1"/>
  <c r="B681" i="1"/>
  <c r="C681" i="1"/>
  <c r="B682" i="1"/>
  <c r="C682" i="1"/>
  <c r="B683" i="1"/>
  <c r="C683" i="1"/>
  <c r="B684" i="1"/>
  <c r="C684" i="1"/>
  <c r="B687" i="1"/>
  <c r="C687" i="1"/>
  <c r="B688" i="1"/>
  <c r="C688" i="1"/>
  <c r="B689" i="1"/>
  <c r="C689" i="1"/>
  <c r="B690" i="1"/>
  <c r="C690" i="1"/>
  <c r="B691" i="1"/>
  <c r="C691" i="1"/>
  <c r="B694" i="1"/>
  <c r="C694" i="1"/>
  <c r="B697" i="1"/>
  <c r="C697" i="1"/>
  <c r="B698" i="1"/>
  <c r="C698" i="1"/>
  <c r="B701" i="1"/>
  <c r="C701" i="1"/>
  <c r="B702" i="1"/>
  <c r="C702" i="1"/>
  <c r="B705" i="1"/>
  <c r="C705" i="1"/>
  <c r="B706" i="1"/>
  <c r="C706" i="1"/>
  <c r="B709" i="1"/>
  <c r="C709" i="1"/>
  <c r="B710" i="1"/>
  <c r="C710" i="1"/>
  <c r="B711" i="1"/>
  <c r="C711" i="1"/>
  <c r="B714" i="1"/>
  <c r="C714" i="1"/>
  <c r="B717" i="1"/>
  <c r="C717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9" i="1"/>
  <c r="C729" i="1"/>
  <c r="B730" i="1"/>
  <c r="C730" i="1"/>
  <c r="B731" i="1"/>
  <c r="C731" i="1"/>
  <c r="B734" i="1"/>
  <c r="C734" i="1"/>
  <c r="B737" i="1"/>
  <c r="C737" i="1"/>
  <c r="B738" i="1"/>
  <c r="C738" i="1"/>
  <c r="B741" i="1"/>
  <c r="C741" i="1"/>
  <c r="B744" i="1"/>
  <c r="C744" i="1"/>
  <c r="B747" i="1"/>
  <c r="C747" i="1"/>
  <c r="B750" i="1"/>
  <c r="C750" i="1"/>
  <c r="B751" i="1"/>
  <c r="C751" i="1"/>
  <c r="B754" i="1"/>
  <c r="C754" i="1"/>
  <c r="B755" i="1"/>
  <c r="C755" i="1"/>
  <c r="B758" i="1"/>
  <c r="C758" i="1"/>
  <c r="B761" i="1"/>
  <c r="C761" i="1"/>
  <c r="B762" i="1"/>
  <c r="C762" i="1"/>
  <c r="B765" i="1"/>
  <c r="C765" i="1"/>
  <c r="B766" i="1"/>
  <c r="C766" i="1"/>
  <c r="B769" i="1"/>
  <c r="C769" i="1"/>
  <c r="B770" i="1"/>
  <c r="C770" i="1"/>
  <c r="B771" i="1"/>
  <c r="C771" i="1"/>
  <c r="B774" i="1"/>
  <c r="C774" i="1"/>
  <c r="B775" i="1"/>
  <c r="C775" i="1"/>
  <c r="B776" i="1"/>
  <c r="C776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7" i="1"/>
  <c r="C787" i="1"/>
  <c r="B788" i="1"/>
  <c r="C788" i="1"/>
  <c r="B791" i="1"/>
  <c r="C791" i="1"/>
  <c r="B792" i="1"/>
  <c r="C792" i="1"/>
  <c r="B795" i="1"/>
  <c r="C795" i="1"/>
  <c r="B798" i="1"/>
  <c r="C798" i="1"/>
  <c r="B801" i="1"/>
  <c r="C801" i="1"/>
  <c r="B804" i="1"/>
  <c r="C804" i="1"/>
  <c r="B805" i="1"/>
  <c r="C805" i="1"/>
  <c r="B806" i="1"/>
  <c r="C806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5" i="1"/>
  <c r="C825" i="1"/>
  <c r="B826" i="1"/>
  <c r="C826" i="1"/>
  <c r="B827" i="1"/>
  <c r="C827" i="1"/>
  <c r="B828" i="1"/>
  <c r="C828" i="1"/>
  <c r="B829" i="1"/>
  <c r="C829" i="1"/>
  <c r="B832" i="1"/>
  <c r="C832" i="1"/>
  <c r="B833" i="1"/>
  <c r="C833" i="1"/>
  <c r="B836" i="1"/>
  <c r="C836" i="1"/>
  <c r="B839" i="1"/>
  <c r="C839" i="1"/>
  <c r="B842" i="1"/>
  <c r="C842" i="1"/>
  <c r="B843" i="1"/>
  <c r="C843" i="1"/>
  <c r="B844" i="1"/>
  <c r="C844" i="1"/>
  <c r="B845" i="1"/>
  <c r="C845" i="1"/>
  <c r="B846" i="1"/>
  <c r="C846" i="1"/>
  <c r="B849" i="1"/>
  <c r="C849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6" i="1"/>
  <c r="C876" i="1"/>
  <c r="B879" i="1"/>
  <c r="C879" i="1"/>
  <c r="B882" i="1"/>
  <c r="C882" i="1"/>
  <c r="B883" i="1"/>
  <c r="C883" i="1"/>
  <c r="B886" i="1"/>
  <c r="C886" i="1"/>
  <c r="B887" i="1"/>
  <c r="C887" i="1"/>
  <c r="B888" i="1"/>
  <c r="C888" i="1"/>
  <c r="B891" i="1"/>
  <c r="C891" i="1"/>
  <c r="B892" i="1"/>
  <c r="C892" i="1"/>
  <c r="B895" i="1"/>
  <c r="C895" i="1"/>
  <c r="B896" i="1"/>
  <c r="C896" i="1"/>
  <c r="B897" i="1"/>
  <c r="C897" i="1"/>
  <c r="B898" i="1"/>
  <c r="C898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3" i="1"/>
  <c r="C913" i="1"/>
  <c r="B916" i="1"/>
  <c r="C916" i="1"/>
  <c r="B917" i="1"/>
  <c r="C917" i="1"/>
  <c r="B918" i="1"/>
  <c r="C918" i="1"/>
  <c r="B919" i="1"/>
  <c r="C919" i="1"/>
  <c r="B920" i="1"/>
  <c r="C920" i="1"/>
  <c r="B923" i="1"/>
  <c r="C923" i="1"/>
  <c r="B924" i="1"/>
  <c r="C924" i="1"/>
  <c r="B925" i="1"/>
  <c r="C925" i="1"/>
  <c r="B928" i="1"/>
  <c r="C928" i="1"/>
  <c r="B929" i="1"/>
  <c r="C929" i="1"/>
  <c r="B932" i="1"/>
  <c r="C932" i="1"/>
  <c r="B933" i="1"/>
  <c r="C933" i="1"/>
  <c r="B934" i="1"/>
  <c r="C934" i="1"/>
  <c r="B935" i="1"/>
  <c r="C935" i="1"/>
  <c r="B936" i="1"/>
  <c r="C936" i="1"/>
  <c r="B939" i="1"/>
  <c r="C939" i="1"/>
  <c r="B940" i="1"/>
  <c r="C940" i="1"/>
  <c r="B941" i="1"/>
  <c r="C941" i="1"/>
  <c r="B944" i="1"/>
  <c r="C944" i="1"/>
  <c r="B945" i="1"/>
  <c r="C945" i="1"/>
  <c r="B948" i="1"/>
  <c r="C948" i="1"/>
  <c r="B949" i="1"/>
  <c r="C949" i="1"/>
  <c r="B952" i="1"/>
  <c r="C952" i="1"/>
  <c r="B955" i="1"/>
  <c r="C955" i="1"/>
  <c r="B956" i="1"/>
  <c r="C956" i="1"/>
  <c r="B957" i="1"/>
  <c r="C957" i="1"/>
  <c r="B958" i="1"/>
  <c r="C958" i="1"/>
  <c r="B959" i="1"/>
  <c r="C959" i="1"/>
  <c r="B962" i="1"/>
  <c r="C962" i="1"/>
  <c r="B963" i="1"/>
  <c r="C963" i="1"/>
  <c r="B966" i="1"/>
  <c r="C966" i="1"/>
  <c r="B967" i="1"/>
  <c r="C967" i="1"/>
  <c r="B968" i="1"/>
  <c r="C968" i="1"/>
  <c r="B971" i="1"/>
  <c r="C971" i="1"/>
  <c r="B974" i="1"/>
  <c r="C974" i="1"/>
  <c r="B975" i="1"/>
  <c r="C975" i="1"/>
  <c r="B978" i="1"/>
  <c r="C978" i="1"/>
  <c r="B981" i="1"/>
  <c r="C981" i="1"/>
  <c r="B982" i="1"/>
  <c r="C982" i="1"/>
  <c r="B983" i="1"/>
  <c r="C983" i="1"/>
  <c r="B986" i="1"/>
  <c r="C986" i="1"/>
  <c r="B989" i="1"/>
  <c r="C989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6" i="1"/>
  <c r="C1006" i="1"/>
  <c r="B1009" i="1"/>
  <c r="C1009" i="1"/>
  <c r="B1010" i="1"/>
  <c r="C1010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4" i="1"/>
  <c r="C1024" i="1"/>
  <c r="B1027" i="1"/>
  <c r="C1027" i="1"/>
  <c r="B1028" i="1"/>
  <c r="C1028" i="1"/>
  <c r="B1031" i="1"/>
  <c r="C1031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4" i="1"/>
  <c r="C1044" i="1"/>
  <c r="B1045" i="1"/>
  <c r="C1045" i="1"/>
  <c r="B1048" i="1"/>
  <c r="C1048" i="1"/>
  <c r="B1051" i="1"/>
  <c r="C1051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3" i="1"/>
  <c r="C1063" i="1"/>
  <c r="B1066" i="1"/>
  <c r="C1066" i="1"/>
  <c r="B1067" i="1"/>
  <c r="C1067" i="1"/>
  <c r="B1070" i="1"/>
  <c r="C1070" i="1"/>
  <c r="B1071" i="1"/>
  <c r="C1071" i="1"/>
  <c r="B1074" i="1"/>
  <c r="C1074" i="1"/>
  <c r="B1075" i="1"/>
  <c r="C1075" i="1"/>
  <c r="B1078" i="1"/>
  <c r="C1078" i="1"/>
  <c r="B1079" i="1"/>
  <c r="C1079" i="1"/>
  <c r="B1080" i="1"/>
  <c r="C1080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3" i="1"/>
  <c r="C1113" i="1"/>
  <c r="B1114" i="1"/>
  <c r="C1114" i="1"/>
  <c r="B1115" i="1"/>
  <c r="C1115" i="1"/>
  <c r="B1116" i="1"/>
  <c r="C1116" i="1"/>
  <c r="B1117" i="1"/>
  <c r="C1117" i="1"/>
  <c r="B1120" i="1"/>
  <c r="C1120" i="1"/>
  <c r="B1121" i="1"/>
  <c r="C1121" i="1"/>
  <c r="B1122" i="1"/>
  <c r="C1122" i="1"/>
  <c r="B1123" i="1"/>
  <c r="C1123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8" i="1"/>
  <c r="C1138" i="1"/>
  <c r="B1141" i="1"/>
  <c r="C1141" i="1"/>
  <c r="B1142" i="1"/>
  <c r="C1142" i="1"/>
  <c r="B1145" i="1"/>
  <c r="C1145" i="1"/>
  <c r="B1146" i="1"/>
  <c r="C1146" i="1"/>
  <c r="B1147" i="1"/>
  <c r="C1147" i="1"/>
  <c r="B1150" i="1"/>
  <c r="C1150" i="1"/>
  <c r="B1151" i="1"/>
  <c r="C1151" i="1"/>
  <c r="B1152" i="1"/>
  <c r="C1152" i="1"/>
  <c r="B1153" i="1"/>
  <c r="C1153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6" i="1"/>
  <c r="C1206" i="1"/>
  <c r="B1207" i="1"/>
  <c r="C1207" i="1"/>
  <c r="B1208" i="1"/>
  <c r="C1208" i="1"/>
  <c r="B1211" i="1"/>
  <c r="C1211" i="1"/>
  <c r="B1212" i="1"/>
  <c r="C1212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31" i="1"/>
  <c r="C1231" i="1"/>
  <c r="B1234" i="1"/>
  <c r="C1234" i="1"/>
  <c r="B1235" i="1"/>
  <c r="C1235" i="1"/>
  <c r="B1238" i="1"/>
  <c r="C1238" i="1"/>
  <c r="B1239" i="1"/>
  <c r="C1239" i="1"/>
  <c r="B1240" i="1"/>
  <c r="C1240" i="1"/>
  <c r="B1243" i="1"/>
  <c r="C1243" i="1"/>
  <c r="B1244" i="1"/>
  <c r="C1244" i="1"/>
  <c r="B1245" i="1"/>
  <c r="C1245" i="1"/>
  <c r="B1246" i="1"/>
  <c r="C1246" i="1"/>
  <c r="B1247" i="1"/>
  <c r="C1247" i="1"/>
  <c r="B1250" i="1"/>
  <c r="C1250" i="1"/>
  <c r="B1251" i="1"/>
  <c r="C1251" i="1"/>
  <c r="B1252" i="1"/>
  <c r="C1252" i="1"/>
  <c r="B1255" i="1"/>
  <c r="C1255" i="1"/>
  <c r="B1256" i="1"/>
  <c r="C1256" i="1"/>
  <c r="B1257" i="1"/>
  <c r="C1257" i="1"/>
  <c r="B1260" i="1"/>
  <c r="C1260" i="1"/>
  <c r="B1261" i="1"/>
  <c r="C1261" i="1"/>
  <c r="B1262" i="1"/>
  <c r="C1262" i="1"/>
  <c r="B1263" i="1"/>
  <c r="C1263" i="1"/>
  <c r="B1266" i="1"/>
  <c r="C1266" i="1"/>
  <c r="B1267" i="1"/>
  <c r="C1267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9" i="1"/>
  <c r="C1279" i="1"/>
  <c r="B1280" i="1"/>
  <c r="C1280" i="1"/>
  <c r="B1283" i="1"/>
  <c r="C1283" i="1"/>
  <c r="B1284" i="1"/>
  <c r="C1284" i="1"/>
  <c r="B1285" i="1"/>
  <c r="C1285" i="1"/>
  <c r="B1286" i="1"/>
  <c r="C1286" i="1"/>
  <c r="B1289" i="1"/>
  <c r="C1289" i="1"/>
  <c r="B1292" i="1"/>
  <c r="C1292" i="1"/>
  <c r="B1295" i="1"/>
  <c r="C1295" i="1"/>
  <c r="B1298" i="1"/>
  <c r="C1298" i="1"/>
  <c r="B1299" i="1"/>
  <c r="C1299" i="1"/>
  <c r="B1302" i="1"/>
  <c r="C1302" i="1"/>
  <c r="B1303" i="1"/>
  <c r="C1303" i="1"/>
  <c r="B1304" i="1"/>
  <c r="C1304" i="1"/>
  <c r="B1305" i="1"/>
  <c r="C1305" i="1"/>
  <c r="B1308" i="1"/>
  <c r="C1308" i="1"/>
  <c r="B1309" i="1"/>
  <c r="C1309" i="1"/>
  <c r="B1310" i="1"/>
  <c r="C1310" i="1"/>
  <c r="B1311" i="1"/>
  <c r="C1311" i="1"/>
  <c r="B1312" i="1"/>
  <c r="C1312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3" i="1"/>
  <c r="C1323" i="1"/>
  <c r="B1324" i="1"/>
  <c r="C1324" i="1"/>
  <c r="B1327" i="1"/>
  <c r="C1327" i="1"/>
  <c r="B1328" i="1"/>
  <c r="C1328" i="1"/>
  <c r="B1331" i="1"/>
  <c r="C1331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6" i="1"/>
  <c r="C1346" i="1"/>
  <c r="B1347" i="1"/>
  <c r="C1347" i="1"/>
  <c r="B1350" i="1"/>
  <c r="C1350" i="1"/>
  <c r="B1351" i="1"/>
  <c r="C1351" i="1"/>
  <c r="B1352" i="1"/>
  <c r="C1352" i="1"/>
  <c r="B1355" i="1"/>
  <c r="C1355" i="1"/>
  <c r="B1356" i="1"/>
  <c r="C1356" i="1"/>
  <c r="B1359" i="1"/>
  <c r="C1359" i="1"/>
  <c r="B1362" i="1"/>
  <c r="C1362" i="1"/>
  <c r="B1365" i="1"/>
  <c r="C1365" i="1"/>
  <c r="B1366" i="1"/>
  <c r="C1366" i="1"/>
  <c r="B1367" i="1"/>
  <c r="C1367" i="1"/>
  <c r="B1370" i="1"/>
  <c r="C1370" i="1"/>
  <c r="B1371" i="1"/>
  <c r="C1371" i="1"/>
  <c r="B1372" i="1"/>
  <c r="C1372" i="1"/>
  <c r="B1375" i="1"/>
  <c r="C1375" i="1"/>
  <c r="B1378" i="1"/>
  <c r="C1378" i="1"/>
  <c r="B1379" i="1"/>
  <c r="C1379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9" i="1"/>
  <c r="C1409" i="1"/>
  <c r="B1410" i="1"/>
  <c r="C1410" i="1"/>
  <c r="B1413" i="1"/>
  <c r="C1413" i="1"/>
  <c r="B1414" i="1"/>
  <c r="C1414" i="1"/>
  <c r="B1417" i="1"/>
  <c r="C1417" i="1"/>
  <c r="B1418" i="1"/>
  <c r="C1418" i="1"/>
  <c r="B1421" i="1"/>
  <c r="C1421" i="1"/>
  <c r="B1424" i="1"/>
  <c r="C1424" i="1"/>
  <c r="B1427" i="1"/>
  <c r="C1427" i="1"/>
  <c r="B1430" i="1"/>
  <c r="C1430" i="1"/>
  <c r="B1433" i="1"/>
  <c r="C1433" i="1"/>
  <c r="B1434" i="1"/>
  <c r="C1434" i="1"/>
  <c r="B1435" i="1"/>
  <c r="C1435" i="1"/>
  <c r="B1438" i="1"/>
  <c r="C1438" i="1"/>
  <c r="B1441" i="1"/>
  <c r="C1441" i="1"/>
  <c r="B1444" i="1"/>
  <c r="C1444" i="1"/>
  <c r="B1447" i="1"/>
  <c r="C1447" i="1"/>
  <c r="B1448" i="1"/>
  <c r="C1448" i="1"/>
  <c r="B1449" i="1"/>
  <c r="C1449" i="1"/>
  <c r="B1450" i="1"/>
  <c r="C1450" i="1"/>
  <c r="B1453" i="1"/>
  <c r="C1453" i="1"/>
  <c r="B1454" i="1"/>
  <c r="C1454" i="1"/>
  <c r="B1455" i="1"/>
  <c r="C1455" i="1"/>
  <c r="B1456" i="1"/>
  <c r="C1456" i="1"/>
  <c r="B1457" i="1"/>
  <c r="C1457" i="1"/>
  <c r="B1460" i="1"/>
  <c r="C1460" i="1"/>
  <c r="B1461" i="1"/>
  <c r="C1461" i="1"/>
  <c r="B1462" i="1"/>
  <c r="C1462" i="1"/>
  <c r="B1463" i="1"/>
  <c r="C1463" i="1"/>
  <c r="B1464" i="1"/>
  <c r="C1464" i="1"/>
  <c r="B1467" i="1"/>
  <c r="C1467" i="1"/>
  <c r="B1468" i="1"/>
  <c r="C1468" i="1"/>
  <c r="B1469" i="1"/>
  <c r="C1469" i="1"/>
  <c r="B1472" i="1"/>
  <c r="C1472" i="1"/>
  <c r="B1475" i="1"/>
  <c r="C1475" i="1"/>
  <c r="B1476" i="1"/>
  <c r="C1476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7" i="1"/>
  <c r="C1487" i="1"/>
  <c r="B1490" i="1"/>
  <c r="C1490" i="1"/>
  <c r="B1491" i="1"/>
  <c r="C1491" i="1"/>
  <c r="B1494" i="1"/>
  <c r="C1494" i="1"/>
  <c r="B1495" i="1"/>
  <c r="C1495" i="1"/>
  <c r="B1496" i="1"/>
  <c r="C1496" i="1"/>
  <c r="B1499" i="1"/>
  <c r="C1499" i="1"/>
  <c r="B1502" i="1"/>
  <c r="C1502" i="1"/>
  <c r="B1505" i="1"/>
  <c r="C1505" i="1"/>
  <c r="B1506" i="1"/>
  <c r="C1506" i="1"/>
  <c r="B1507" i="1"/>
  <c r="C1507" i="1"/>
  <c r="B1510" i="1"/>
  <c r="C1510" i="1"/>
  <c r="B1513" i="1"/>
  <c r="C1513" i="1"/>
  <c r="B1514" i="1"/>
  <c r="C1514" i="1"/>
  <c r="B1515" i="1"/>
  <c r="C1515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2" i="1"/>
  <c r="C1532" i="1"/>
  <c r="B1533" i="1"/>
  <c r="C1533" i="1"/>
  <c r="B1534" i="1"/>
  <c r="C1534" i="1"/>
  <c r="B1537" i="1"/>
  <c r="C1537" i="1"/>
  <c r="B1540" i="1"/>
  <c r="C1540" i="1"/>
  <c r="B1541" i="1"/>
  <c r="C1541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3" i="1"/>
  <c r="C1553" i="1"/>
  <c r="B1554" i="1"/>
  <c r="C1554" i="1"/>
  <c r="B1557" i="1"/>
  <c r="C1557" i="1"/>
  <c r="B1558" i="1"/>
  <c r="C1558" i="1"/>
  <c r="B1559" i="1"/>
  <c r="C1559" i="1"/>
  <c r="B1560" i="1"/>
  <c r="C1560" i="1"/>
  <c r="B1561" i="1"/>
  <c r="C1561" i="1"/>
  <c r="B1564" i="1"/>
  <c r="C1564" i="1"/>
  <c r="B1567" i="1"/>
  <c r="C1567" i="1"/>
  <c r="B1568" i="1"/>
  <c r="C1568" i="1"/>
  <c r="B1571" i="1"/>
  <c r="C1571" i="1"/>
  <c r="B1572" i="1"/>
  <c r="C1572" i="1"/>
  <c r="B1575" i="1"/>
  <c r="C1575" i="1"/>
  <c r="B1578" i="1"/>
  <c r="C1578" i="1"/>
  <c r="B1581" i="1"/>
  <c r="C1581" i="1"/>
  <c r="B1582" i="1"/>
  <c r="C1582" i="1"/>
  <c r="B1585" i="1"/>
  <c r="C1585" i="1"/>
  <c r="B1586" i="1"/>
  <c r="C1586" i="1"/>
  <c r="B1587" i="1"/>
  <c r="C1587" i="1"/>
  <c r="B1588" i="1"/>
  <c r="C1588" i="1"/>
  <c r="B1589" i="1"/>
  <c r="C1589" i="1"/>
  <c r="B1590" i="1"/>
  <c r="C1590" i="1"/>
  <c r="B1591" i="1"/>
  <c r="C1591" i="1"/>
  <c r="B1592" i="1"/>
  <c r="C1592" i="1"/>
  <c r="B1593" i="1"/>
  <c r="C1593" i="1"/>
  <c r="B1594" i="1"/>
  <c r="C1594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8" i="1"/>
  <c r="C1608" i="1"/>
  <c r="B1611" i="1"/>
  <c r="C1611" i="1"/>
  <c r="B1612" i="1"/>
  <c r="C1612" i="1"/>
  <c r="B1615" i="1"/>
  <c r="C1615" i="1"/>
  <c r="B1618" i="1"/>
  <c r="C1618" i="1"/>
  <c r="B1621" i="1"/>
  <c r="C1621" i="1"/>
  <c r="B1624" i="1"/>
  <c r="C1624" i="1"/>
  <c r="B1627" i="1"/>
  <c r="C1627" i="1"/>
  <c r="B1628" i="1"/>
  <c r="C1628" i="1"/>
  <c r="B1629" i="1"/>
  <c r="C1629" i="1"/>
  <c r="B1632" i="1"/>
  <c r="C1632" i="1"/>
  <c r="B1635" i="1"/>
  <c r="C1635" i="1"/>
  <c r="B1636" i="1"/>
  <c r="C1636" i="1"/>
  <c r="B1637" i="1"/>
  <c r="C1637" i="1"/>
  <c r="B1638" i="1"/>
  <c r="C1638" i="1"/>
  <c r="B1641" i="1"/>
  <c r="C1641" i="1"/>
  <c r="B1642" i="1"/>
  <c r="C1642" i="1"/>
  <c r="B1645" i="1"/>
  <c r="C1645" i="1"/>
  <c r="B1646" i="1"/>
  <c r="C1646" i="1"/>
  <c r="B1647" i="1"/>
  <c r="C1647" i="1"/>
  <c r="B1650" i="1"/>
  <c r="C1650" i="1"/>
  <c r="B1651" i="1"/>
  <c r="C1651" i="1"/>
  <c r="B1654" i="1"/>
  <c r="C1654" i="1"/>
  <c r="B1657" i="1"/>
  <c r="C1657" i="1"/>
  <c r="B1658" i="1"/>
  <c r="C1658" i="1"/>
  <c r="B1659" i="1"/>
  <c r="C1659" i="1"/>
  <c r="B1660" i="1"/>
  <c r="C1660" i="1"/>
  <c r="B1661" i="1"/>
  <c r="C1661" i="1"/>
  <c r="B1664" i="1"/>
  <c r="C1664" i="1"/>
  <c r="B1665" i="1"/>
  <c r="C1665" i="1"/>
  <c r="B1666" i="1"/>
  <c r="C1666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77" i="1"/>
  <c r="C1677" i="1"/>
  <c r="B1678" i="1"/>
  <c r="C1678" i="1"/>
  <c r="B1679" i="1"/>
  <c r="C1679" i="1"/>
  <c r="B1682" i="1"/>
  <c r="C1682" i="1"/>
  <c r="B1685" i="1"/>
  <c r="C1685" i="1"/>
  <c r="B1686" i="1"/>
  <c r="C1686" i="1"/>
  <c r="B1687" i="1"/>
  <c r="C1687" i="1"/>
  <c r="B1690" i="1"/>
  <c r="C1690" i="1"/>
  <c r="B1691" i="1"/>
  <c r="C1691" i="1"/>
  <c r="B1692" i="1"/>
  <c r="C1692" i="1"/>
  <c r="B1693" i="1"/>
  <c r="C1693" i="1"/>
  <c r="B1696" i="1"/>
  <c r="C1696" i="1"/>
  <c r="B1697" i="1"/>
  <c r="C1697" i="1"/>
  <c r="B1698" i="1"/>
  <c r="C1698" i="1"/>
  <c r="B1701" i="1"/>
  <c r="C1701" i="1"/>
  <c r="B1702" i="1"/>
  <c r="C1702" i="1"/>
  <c r="B1703" i="1"/>
  <c r="C1703" i="1"/>
  <c r="B1704" i="1"/>
  <c r="C1704" i="1"/>
  <c r="B1705" i="1"/>
  <c r="C1705" i="1"/>
  <c r="B1708" i="1"/>
  <c r="C1708" i="1"/>
  <c r="B1709" i="1"/>
  <c r="C1709" i="1"/>
  <c r="B1712" i="1"/>
  <c r="C1712" i="1"/>
  <c r="B1713" i="1"/>
  <c r="C1713" i="1"/>
  <c r="B1716" i="1"/>
  <c r="C1716" i="1"/>
  <c r="B1717" i="1"/>
  <c r="C1717" i="1"/>
  <c r="B1720" i="1"/>
  <c r="C1720" i="1"/>
  <c r="B1721" i="1"/>
  <c r="C1721" i="1"/>
  <c r="B1724" i="1"/>
  <c r="C1724" i="1"/>
  <c r="B1725" i="1"/>
  <c r="C1725" i="1"/>
  <c r="B1726" i="1"/>
  <c r="C1726" i="1"/>
  <c r="B1727" i="1"/>
  <c r="C1727" i="1"/>
  <c r="B1728" i="1"/>
  <c r="C1728" i="1"/>
  <c r="B1729" i="1"/>
  <c r="C1729" i="1"/>
  <c r="B1730" i="1"/>
  <c r="C1730" i="1"/>
  <c r="B1731" i="1"/>
  <c r="C1731" i="1"/>
  <c r="B1732" i="1"/>
  <c r="C1732" i="1"/>
  <c r="B1733" i="1"/>
  <c r="C1733" i="1"/>
  <c r="B1734" i="1"/>
  <c r="C1734" i="1"/>
  <c r="B1737" i="1"/>
  <c r="C1737" i="1"/>
  <c r="B1738" i="1"/>
  <c r="C1738" i="1"/>
  <c r="B1739" i="1"/>
  <c r="C1739" i="1"/>
  <c r="B1742" i="1"/>
  <c r="C1742" i="1"/>
  <c r="B1743" i="1"/>
  <c r="C1743" i="1"/>
  <c r="B1744" i="1"/>
  <c r="C1744" i="1"/>
  <c r="B1745" i="1"/>
  <c r="C1745" i="1"/>
  <c r="B1746" i="1"/>
  <c r="C1746" i="1"/>
  <c r="B1749" i="1"/>
  <c r="C1749" i="1"/>
  <c r="B1750" i="1"/>
  <c r="C1750" i="1"/>
  <c r="B1751" i="1"/>
  <c r="C1751" i="1"/>
  <c r="B1752" i="1"/>
  <c r="C1752" i="1"/>
  <c r="B1753" i="1"/>
  <c r="C1753" i="1"/>
  <c r="B1756" i="1"/>
  <c r="C1756" i="1"/>
  <c r="B1757" i="1"/>
  <c r="C1757" i="1"/>
  <c r="B1758" i="1"/>
  <c r="C1758" i="1"/>
  <c r="B1761" i="1"/>
  <c r="C1761" i="1"/>
  <c r="B1762" i="1"/>
  <c r="C1762" i="1"/>
  <c r="B1765" i="1"/>
  <c r="C1765" i="1"/>
  <c r="B1768" i="1"/>
  <c r="C1768" i="1"/>
  <c r="B1769" i="1"/>
  <c r="C1769" i="1"/>
  <c r="B1772" i="1"/>
  <c r="C1772" i="1"/>
  <c r="B1775" i="1"/>
  <c r="C1775" i="1"/>
  <c r="B1778" i="1"/>
  <c r="C1778" i="1"/>
  <c r="B1779" i="1"/>
  <c r="C1779" i="1"/>
  <c r="B1780" i="1"/>
  <c r="C1780" i="1"/>
  <c r="B1781" i="1"/>
  <c r="C1781" i="1"/>
  <c r="B1782" i="1"/>
  <c r="C1782" i="1"/>
  <c r="B1785" i="1"/>
  <c r="C1785" i="1"/>
  <c r="B1786" i="1"/>
  <c r="C1786" i="1"/>
  <c r="B1787" i="1"/>
  <c r="C1787" i="1"/>
  <c r="B1788" i="1"/>
  <c r="C1788" i="1"/>
  <c r="B1789" i="1"/>
  <c r="C1789" i="1"/>
  <c r="B1790" i="1"/>
  <c r="C1790" i="1"/>
  <c r="B1793" i="1"/>
  <c r="C1793" i="1"/>
  <c r="B1794" i="1"/>
  <c r="C1794" i="1"/>
  <c r="B1797" i="1"/>
  <c r="C1797" i="1"/>
  <c r="B1800" i="1"/>
  <c r="C1800" i="1"/>
  <c r="B1801" i="1"/>
  <c r="C1801" i="1"/>
  <c r="B1802" i="1"/>
  <c r="C1802" i="1"/>
  <c r="B1803" i="1"/>
  <c r="C1803" i="1"/>
  <c r="B1806" i="1"/>
  <c r="C1806" i="1"/>
  <c r="B1809" i="1"/>
  <c r="C1809" i="1"/>
  <c r="B1810" i="1"/>
  <c r="C1810" i="1"/>
  <c r="B1811" i="1"/>
  <c r="C1811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30" i="1"/>
  <c r="C1830" i="1"/>
  <c r="B1833" i="1"/>
  <c r="C1833" i="1"/>
  <c r="B1834" i="1"/>
  <c r="C1834" i="1"/>
  <c r="B1837" i="1"/>
  <c r="C1837" i="1"/>
  <c r="B1838" i="1"/>
  <c r="C1838" i="1"/>
  <c r="B1841" i="1"/>
  <c r="C1841" i="1"/>
  <c r="B1842" i="1"/>
  <c r="C1842" i="1"/>
  <c r="B1843" i="1"/>
  <c r="C1843" i="1"/>
  <c r="B1846" i="1"/>
  <c r="C1846" i="1"/>
  <c r="B1847" i="1"/>
  <c r="C1847" i="1"/>
  <c r="B1850" i="1"/>
  <c r="C1850" i="1"/>
  <c r="B1851" i="1"/>
  <c r="C1851" i="1"/>
  <c r="B1852" i="1"/>
  <c r="C1852" i="1"/>
  <c r="B1855" i="1"/>
  <c r="C1855" i="1"/>
  <c r="B1856" i="1"/>
  <c r="C1856" i="1"/>
  <c r="B1857" i="1"/>
  <c r="C1857" i="1"/>
  <c r="B1858" i="1"/>
  <c r="C1858" i="1"/>
  <c r="B1859" i="1"/>
  <c r="C1859" i="1"/>
  <c r="B1862" i="1"/>
  <c r="C1862" i="1"/>
  <c r="B1865" i="1"/>
  <c r="C1865" i="1"/>
  <c r="B1866" i="1"/>
  <c r="C1866" i="1"/>
  <c r="B1869" i="1"/>
  <c r="C1869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0" i="1"/>
  <c r="C1880" i="1"/>
  <c r="B1883" i="1"/>
  <c r="C1883" i="1"/>
  <c r="B1884" i="1"/>
  <c r="C1884" i="1"/>
  <c r="B1885" i="1"/>
  <c r="C1885" i="1"/>
  <c r="B1888" i="1"/>
  <c r="C1888" i="1"/>
  <c r="B1889" i="1"/>
  <c r="C1889" i="1"/>
  <c r="B1892" i="1"/>
  <c r="C1892" i="1"/>
  <c r="B1895" i="1"/>
  <c r="C1895" i="1"/>
  <c r="B1896" i="1"/>
  <c r="C1896" i="1"/>
  <c r="B1897" i="1"/>
  <c r="C1897" i="1"/>
  <c r="B1898" i="1"/>
  <c r="C1898" i="1"/>
  <c r="B1901" i="1"/>
  <c r="C1901" i="1"/>
  <c r="B1904" i="1"/>
  <c r="C1904" i="1"/>
  <c r="B1905" i="1"/>
  <c r="C1905" i="1"/>
  <c r="B1908" i="1"/>
  <c r="C1908" i="1"/>
  <c r="B1909" i="1"/>
  <c r="C1909" i="1"/>
  <c r="B1910" i="1"/>
  <c r="C1910" i="1"/>
  <c r="B1911" i="1"/>
  <c r="C1911" i="1"/>
  <c r="B1912" i="1"/>
  <c r="C1912" i="1"/>
  <c r="B1915" i="1"/>
  <c r="C1915" i="1"/>
  <c r="B1918" i="1"/>
  <c r="C1918" i="1"/>
  <c r="B1921" i="1"/>
  <c r="C1921" i="1"/>
  <c r="B1924" i="1"/>
  <c r="C1924" i="1"/>
  <c r="B1925" i="1"/>
  <c r="C1925" i="1"/>
  <c r="B1928" i="1"/>
  <c r="C1928" i="1"/>
  <c r="B1931" i="1"/>
  <c r="C1931" i="1"/>
  <c r="B1932" i="1"/>
  <c r="C1932" i="1"/>
  <c r="B1933" i="1"/>
  <c r="C1933" i="1"/>
  <c r="B1936" i="1"/>
  <c r="C1936" i="1"/>
  <c r="B1937" i="1"/>
  <c r="C1937" i="1"/>
  <c r="B1938" i="1"/>
  <c r="C1938" i="1"/>
  <c r="B1939" i="1"/>
  <c r="C1939" i="1"/>
  <c r="B1942" i="1"/>
  <c r="C1942" i="1"/>
  <c r="B1943" i="1"/>
  <c r="C1943" i="1"/>
  <c r="B1944" i="1"/>
  <c r="C1944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1" i="1"/>
  <c r="C1951" i="1"/>
  <c r="B1952" i="1"/>
  <c r="C1952" i="1"/>
  <c r="B1953" i="1"/>
  <c r="C1953" i="1"/>
  <c r="B1954" i="1"/>
  <c r="C1954" i="1"/>
  <c r="B1957" i="1"/>
  <c r="C1957" i="1"/>
  <c r="B1958" i="1"/>
  <c r="C1958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7" i="1"/>
  <c r="C1967" i="1"/>
  <c r="B1968" i="1"/>
  <c r="C1968" i="1"/>
  <c r="B1969" i="1"/>
  <c r="C1969" i="1"/>
  <c r="B1970" i="1"/>
  <c r="C1970" i="1"/>
  <c r="B1971" i="1"/>
  <c r="C1971" i="1"/>
  <c r="B1972" i="1"/>
  <c r="C1972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5" i="1"/>
  <c r="C1985" i="1"/>
  <c r="B1986" i="1"/>
  <c r="C1986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6" i="1"/>
  <c r="C1996" i="1"/>
  <c r="B1997" i="1"/>
  <c r="C1997" i="1"/>
  <c r="B2000" i="1"/>
  <c r="C2000" i="1"/>
  <c r="B2001" i="1"/>
  <c r="C2001" i="1"/>
  <c r="B2002" i="1"/>
  <c r="C2002" i="1"/>
  <c r="B2003" i="1"/>
  <c r="C2003" i="1"/>
  <c r="B2004" i="1"/>
  <c r="C2004" i="1"/>
  <c r="B2005" i="1"/>
  <c r="C2005" i="1"/>
  <c r="B2006" i="1"/>
  <c r="C2006" i="1"/>
  <c r="B2009" i="1"/>
  <c r="C2009" i="1"/>
  <c r="B2012" i="1"/>
  <c r="C2012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2" i="1"/>
  <c r="C2022" i="1"/>
  <c r="B2023" i="1"/>
  <c r="C2023" i="1"/>
  <c r="B2024" i="1"/>
  <c r="C2024" i="1"/>
  <c r="B2025" i="1"/>
  <c r="C2025" i="1"/>
  <c r="B2028" i="1"/>
  <c r="C2028" i="1"/>
  <c r="B2029" i="1"/>
  <c r="C2029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5" i="1"/>
  <c r="C2045" i="1"/>
  <c r="B2046" i="1"/>
  <c r="C2046" i="1"/>
  <c r="B2049" i="1"/>
  <c r="C2049" i="1"/>
  <c r="B2052" i="1"/>
  <c r="C2052" i="1"/>
  <c r="B2053" i="1"/>
  <c r="C2053" i="1"/>
  <c r="B2056" i="1"/>
  <c r="C2056" i="1"/>
  <c r="B2059" i="1"/>
  <c r="C2059" i="1"/>
  <c r="B2060" i="1"/>
  <c r="C2060" i="1"/>
  <c r="B2063" i="1"/>
  <c r="C2063" i="1"/>
  <c r="B2064" i="1"/>
  <c r="C2064" i="1"/>
  <c r="B2065" i="1"/>
  <c r="C2065" i="1"/>
  <c r="B2066" i="1"/>
  <c r="C2066" i="1"/>
  <c r="B2068" i="1"/>
  <c r="C2068" i="1"/>
  <c r="B2071" i="1"/>
  <c r="C2071" i="1"/>
  <c r="B2074" i="1"/>
  <c r="C2074" i="1"/>
  <c r="B2075" i="1"/>
  <c r="C2075" i="1"/>
  <c r="B2078" i="1"/>
  <c r="C2078" i="1"/>
  <c r="B2079" i="1"/>
  <c r="C2079" i="1"/>
  <c r="B2082" i="1"/>
  <c r="C2082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5" i="1"/>
  <c r="C2095" i="1"/>
  <c r="B2098" i="1"/>
  <c r="C2098" i="1"/>
  <c r="B2099" i="1"/>
  <c r="C2099" i="1"/>
  <c r="B2102" i="1"/>
  <c r="C2102" i="1"/>
  <c r="B2105" i="1"/>
  <c r="C2105" i="1"/>
  <c r="B2108" i="1"/>
  <c r="C2108" i="1"/>
  <c r="B2109" i="1"/>
  <c r="C2109" i="1"/>
  <c r="B2110" i="1"/>
  <c r="C2110" i="1"/>
  <c r="B2111" i="1"/>
  <c r="C2111" i="1"/>
  <c r="B2112" i="1"/>
  <c r="C2112" i="1"/>
  <c r="B2115" i="1"/>
  <c r="C2115" i="1"/>
  <c r="B2116" i="1"/>
  <c r="C2116" i="1"/>
  <c r="B2117" i="1"/>
  <c r="C2117" i="1"/>
  <c r="B2118" i="1"/>
  <c r="C2118" i="1"/>
  <c r="B2119" i="1"/>
  <c r="C2119" i="1"/>
  <c r="B2120" i="1"/>
  <c r="C2120" i="1"/>
  <c r="B2123" i="1"/>
  <c r="C2123" i="1"/>
  <c r="B2124" i="1"/>
  <c r="C2124" i="1"/>
  <c r="B2127" i="1"/>
  <c r="C2127" i="1"/>
  <c r="B2128" i="1"/>
  <c r="C2128" i="1"/>
  <c r="B2129" i="1"/>
  <c r="C2129" i="1"/>
  <c r="B2132" i="1"/>
  <c r="C2132" i="1"/>
  <c r="B2133" i="1"/>
  <c r="C2133" i="1"/>
  <c r="B2134" i="1"/>
  <c r="C2134" i="1"/>
  <c r="B2137" i="1"/>
  <c r="C2137" i="1"/>
  <c r="B2138" i="1"/>
  <c r="C2138" i="1"/>
  <c r="B2141" i="1"/>
  <c r="C2141" i="1"/>
  <c r="B2142" i="1"/>
  <c r="C2142" i="1"/>
  <c r="B2143" i="1"/>
  <c r="C2143" i="1"/>
  <c r="B2144" i="1"/>
  <c r="C2144" i="1"/>
  <c r="B2145" i="1"/>
  <c r="C2145" i="1"/>
</calcChain>
</file>

<file path=xl/sharedStrings.xml><?xml version="1.0" encoding="utf-8"?>
<sst xmlns="http://schemas.openxmlformats.org/spreadsheetml/2006/main" count="9495" uniqueCount="460">
  <si>
    <t>Wisconsin Department of Revenue</t>
  </si>
  <si>
    <t>TID304WI</t>
  </si>
  <si>
    <t>2019 Tax Incremental Financing (TIF) Value Limitation Report</t>
  </si>
  <si>
    <t>Date:  08-09-2019</t>
  </si>
  <si>
    <t>Time:  01:08 PM</t>
  </si>
  <si>
    <t xml:space="preserve">                                                   </t>
  </si>
  <si>
    <t xml:space="preserve">TID      </t>
  </si>
  <si>
    <t xml:space="preserve">          </t>
  </si>
  <si>
    <t xml:space="preserve">     </t>
  </si>
  <si>
    <t xml:space="preserve">        2019 TID</t>
  </si>
  <si>
    <t xml:space="preserve">2019 TID                                </t>
  </si>
  <si>
    <t xml:space="preserve">  </t>
  </si>
  <si>
    <t xml:space="preserve">    2019 Total Muni</t>
  </si>
  <si>
    <t xml:space="preserve">         </t>
  </si>
  <si>
    <t xml:space="preserve">Co-muni  </t>
  </si>
  <si>
    <t xml:space="preserve">Base </t>
  </si>
  <si>
    <t xml:space="preserve">         Current</t>
  </si>
  <si>
    <t xml:space="preserve">Value                                   </t>
  </si>
  <si>
    <t xml:space="preserve">          Equalized</t>
  </si>
  <si>
    <t xml:space="preserve">Municipality                                       </t>
  </si>
  <si>
    <t xml:space="preserve">Code     </t>
  </si>
  <si>
    <t xml:space="preserve">TID No.   </t>
  </si>
  <si>
    <t xml:space="preserve">Year </t>
  </si>
  <si>
    <t xml:space="preserve">           Value</t>
  </si>
  <si>
    <t xml:space="preserve">Increment                               </t>
  </si>
  <si>
    <t xml:space="preserve">              Value</t>
  </si>
  <si>
    <t xml:space="preserve">  5% Test</t>
  </si>
  <si>
    <t xml:space="preserve">  7% Test</t>
  </si>
  <si>
    <t xml:space="preserve"> 12% Test</t>
  </si>
  <si>
    <t>---------------------------------------------------</t>
  </si>
  <si>
    <t>---------</t>
  </si>
  <si>
    <t>----------</t>
  </si>
  <si>
    <t>-----</t>
  </si>
  <si>
    <t>----------------</t>
  </si>
  <si>
    <t>----------------------------------------</t>
  </si>
  <si>
    <t>--</t>
  </si>
  <si>
    <t>-------------------</t>
  </si>
  <si>
    <t xml:space="preserve">Abbotsford                                         </t>
  </si>
  <si>
    <t xml:space="preserve">                   </t>
  </si>
  <si>
    <t xml:space="preserve">        Municipal Totals                           </t>
  </si>
  <si>
    <t xml:space="preserve">Adams                                              </t>
  </si>
  <si>
    <t xml:space="preserve">Algoma                                             </t>
  </si>
  <si>
    <t xml:space="preserve">Allouez                                            </t>
  </si>
  <si>
    <t xml:space="preserve">Alma                                               </t>
  </si>
  <si>
    <t xml:space="preserve">Almena                                             </t>
  </si>
  <si>
    <t xml:space="preserve">Altoona                                            </t>
  </si>
  <si>
    <t xml:space="preserve">Amery                                              </t>
  </si>
  <si>
    <t xml:space="preserve">Amherst                                            </t>
  </si>
  <si>
    <t xml:space="preserve">Antigo                                             </t>
  </si>
  <si>
    <t xml:space="preserve">* </t>
  </si>
  <si>
    <t xml:space="preserve">Appleton                                           </t>
  </si>
  <si>
    <t xml:space="preserve">Arcadia                                            </t>
  </si>
  <si>
    <t xml:space="preserve">Arena                                              </t>
  </si>
  <si>
    <t xml:space="preserve">Argyle                                             </t>
  </si>
  <si>
    <t xml:space="preserve">Arlington                                          </t>
  </si>
  <si>
    <t xml:space="preserve">Ashland                                            </t>
  </si>
  <si>
    <t xml:space="preserve">Ashwaubenon                                        </t>
  </si>
  <si>
    <t xml:space="preserve">Athens                                             </t>
  </si>
  <si>
    <t xml:space="preserve">Auburndale                                         </t>
  </si>
  <si>
    <t xml:space="preserve">Augusta                                            </t>
  </si>
  <si>
    <t xml:space="preserve">Avoca                                              </t>
  </si>
  <si>
    <t xml:space="preserve">Baldwin                                            </t>
  </si>
  <si>
    <t xml:space="preserve">Balsam Lake                                        </t>
  </si>
  <si>
    <t xml:space="preserve">Bangor                                             </t>
  </si>
  <si>
    <t xml:space="preserve">Baraboo                                            </t>
  </si>
  <si>
    <t xml:space="preserve">Barneveld                                          </t>
  </si>
  <si>
    <t xml:space="preserve">Barron                                             </t>
  </si>
  <si>
    <t xml:space="preserve">Beaver Dam                                         </t>
  </si>
  <si>
    <t xml:space="preserve">Belgium                                            </t>
  </si>
  <si>
    <t xml:space="preserve">Belleville                                         </t>
  </si>
  <si>
    <t xml:space="preserve">Bellevue                                           </t>
  </si>
  <si>
    <t xml:space="preserve">Belmont                                            </t>
  </si>
  <si>
    <t xml:space="preserve">Beloit                                             </t>
  </si>
  <si>
    <t xml:space="preserve">Berlin                                             </t>
  </si>
  <si>
    <t xml:space="preserve">Big Bend                                           </t>
  </si>
  <si>
    <t xml:space="preserve">Birchwood                                          </t>
  </si>
  <si>
    <t xml:space="preserve">Birnamwood                                         </t>
  </si>
  <si>
    <t xml:space="preserve">Biron                                              </t>
  </si>
  <si>
    <t xml:space="preserve">Black Creek                                        </t>
  </si>
  <si>
    <t xml:space="preserve">Black Earth                                        </t>
  </si>
  <si>
    <t xml:space="preserve">Black River Falls                                  </t>
  </si>
  <si>
    <t xml:space="preserve">Blair                                              </t>
  </si>
  <si>
    <t xml:space="preserve">Bloomer                                            </t>
  </si>
  <si>
    <t xml:space="preserve">Bonduel                                            </t>
  </si>
  <si>
    <t xml:space="preserve">Boscobel                                           </t>
  </si>
  <si>
    <t xml:space="preserve">Bowler                                             </t>
  </si>
  <si>
    <t xml:space="preserve">Boyceville                                         </t>
  </si>
  <si>
    <t xml:space="preserve">Brillion                                           </t>
  </si>
  <si>
    <t xml:space="preserve">Brodhead                                           </t>
  </si>
  <si>
    <t xml:space="preserve">Brookfield                                         </t>
  </si>
  <si>
    <t xml:space="preserve">Brooklyn                                           </t>
  </si>
  <si>
    <t xml:space="preserve">Brown Deer                                         </t>
  </si>
  <si>
    <t xml:space="preserve">Bruce                                              </t>
  </si>
  <si>
    <t xml:space="preserve">Burlington                                         </t>
  </si>
  <si>
    <t xml:space="preserve">Cadott                                             </t>
  </si>
  <si>
    <t xml:space="preserve">Caledonia                                          </t>
  </si>
  <si>
    <t xml:space="preserve">Cambridge                                          </t>
  </si>
  <si>
    <t xml:space="preserve">Cameron                                            </t>
  </si>
  <si>
    <t xml:space="preserve">Camp Douglas                                       </t>
  </si>
  <si>
    <t xml:space="preserve">Campbellsport                                      </t>
  </si>
  <si>
    <t xml:space="preserve">Cascade                                            </t>
  </si>
  <si>
    <t xml:space="preserve">Cashton                                            </t>
  </si>
  <si>
    <t xml:space="preserve">Cedar Grove                                        </t>
  </si>
  <si>
    <t xml:space="preserve">Cedarburg                                          </t>
  </si>
  <si>
    <t xml:space="preserve">Centuria                                           </t>
  </si>
  <si>
    <t xml:space="preserve">Chetek                                             </t>
  </si>
  <si>
    <t xml:space="preserve">Chilton                                            </t>
  </si>
  <si>
    <t xml:space="preserve">Chippewa Falls                                     </t>
  </si>
  <si>
    <t xml:space="preserve">Clayton                                            </t>
  </si>
  <si>
    <t xml:space="preserve">Clear Lake                                         </t>
  </si>
  <si>
    <t xml:space="preserve">Clinton                                            </t>
  </si>
  <si>
    <t xml:space="preserve">Clintonville                                       </t>
  </si>
  <si>
    <t xml:space="preserve">Colby                                              </t>
  </si>
  <si>
    <t xml:space="preserve">Coleman                                            </t>
  </si>
  <si>
    <t xml:space="preserve">Colfax                                             </t>
  </si>
  <si>
    <t xml:space="preserve">Coloma                                             </t>
  </si>
  <si>
    <t xml:space="preserve">Columbus                                           </t>
  </si>
  <si>
    <t xml:space="preserve">Combined Locks                                     </t>
  </si>
  <si>
    <t xml:space="preserve">Cottage Grove                                      </t>
  </si>
  <si>
    <t xml:space="preserve">Crandon                                            </t>
  </si>
  <si>
    <t xml:space="preserve">Crivitz                                            </t>
  </si>
  <si>
    <t xml:space="preserve">Cross Plains                                       </t>
  </si>
  <si>
    <t xml:space="preserve">Cuba City                                          </t>
  </si>
  <si>
    <t xml:space="preserve">Cudahy                                             </t>
  </si>
  <si>
    <t xml:space="preserve">Cumberland                                         </t>
  </si>
  <si>
    <t xml:space="preserve">Dallas                                             </t>
  </si>
  <si>
    <t xml:space="preserve">Dane                                               </t>
  </si>
  <si>
    <t xml:space="preserve">Darien                                             </t>
  </si>
  <si>
    <t xml:space="preserve">Darlington                                         </t>
  </si>
  <si>
    <t xml:space="preserve">De Pere                                            </t>
  </si>
  <si>
    <t xml:space="preserve">De Soto                                            </t>
  </si>
  <si>
    <t xml:space="preserve">Deerfield                                          </t>
  </si>
  <si>
    <t xml:space="preserve">Deforest                                           </t>
  </si>
  <si>
    <t xml:space="preserve">Delafield                                          </t>
  </si>
  <si>
    <t xml:space="preserve">Delavan                                            </t>
  </si>
  <si>
    <t xml:space="preserve">Dickeyville                                        </t>
  </si>
  <si>
    <t xml:space="preserve">Dodgeville                                         </t>
  </si>
  <si>
    <t xml:space="preserve">Dorchester                                         </t>
  </si>
  <si>
    <t xml:space="preserve">Durand                                             </t>
  </si>
  <si>
    <t xml:space="preserve">Eagle River                                        </t>
  </si>
  <si>
    <t xml:space="preserve">East Troy                                          </t>
  </si>
  <si>
    <t xml:space="preserve">Eau Claire                                         </t>
  </si>
  <si>
    <t xml:space="preserve">Edgar                                              </t>
  </si>
  <si>
    <t xml:space="preserve">Edgerton                                           </t>
  </si>
  <si>
    <t xml:space="preserve">Elba                                               </t>
  </si>
  <si>
    <t xml:space="preserve">Elk Mound                                          </t>
  </si>
  <si>
    <t xml:space="preserve">Elkhart Lake                                       </t>
  </si>
  <si>
    <t xml:space="preserve">Elkhorn                                            </t>
  </si>
  <si>
    <t xml:space="preserve">Ellsworth                                          </t>
  </si>
  <si>
    <t xml:space="preserve">Elm Grove                                          </t>
  </si>
  <si>
    <t xml:space="preserve">Elmwood                                            </t>
  </si>
  <si>
    <t xml:space="preserve">Elroy                                              </t>
  </si>
  <si>
    <t xml:space="preserve">Endeavor                                           </t>
  </si>
  <si>
    <t xml:space="preserve">Evansville                                         </t>
  </si>
  <si>
    <t xml:space="preserve">Fairwater                                          </t>
  </si>
  <si>
    <t xml:space="preserve">Fall Creek                                         </t>
  </si>
  <si>
    <t xml:space="preserve">Fennimore                                          </t>
  </si>
  <si>
    <t xml:space="preserve">Ferryville                                         </t>
  </si>
  <si>
    <t xml:space="preserve">Fitchburg                                          </t>
  </si>
  <si>
    <t xml:space="preserve">Florence                                           </t>
  </si>
  <si>
    <t xml:space="preserve">Fond Du Lac                                        </t>
  </si>
  <si>
    <t xml:space="preserve">Fontana                                            </t>
  </si>
  <si>
    <t xml:space="preserve">Footville                                          </t>
  </si>
  <si>
    <t xml:space="preserve">Fort Atkinson                                      </t>
  </si>
  <si>
    <t xml:space="preserve">Fox Crossing                                       </t>
  </si>
  <si>
    <t xml:space="preserve">Fox Lake                                           </t>
  </si>
  <si>
    <t xml:space="preserve">Francis Creek                                      </t>
  </si>
  <si>
    <t xml:space="preserve">Franklin                                           </t>
  </si>
  <si>
    <t xml:space="preserve">Frederic                                           </t>
  </si>
  <si>
    <t xml:space="preserve">Freedom                                            </t>
  </si>
  <si>
    <t xml:space="preserve">Friendship                                         </t>
  </si>
  <si>
    <t xml:space="preserve">Friesland                                          </t>
  </si>
  <si>
    <t xml:space="preserve">Galesville                                         </t>
  </si>
  <si>
    <t xml:space="preserve">Gays Mills                                         </t>
  </si>
  <si>
    <t xml:space="preserve">Germantown                                         </t>
  </si>
  <si>
    <t xml:space="preserve">Gillett                                            </t>
  </si>
  <si>
    <t xml:space="preserve">Glenbeulah                                         </t>
  </si>
  <si>
    <t xml:space="preserve">Glendale                                           </t>
  </si>
  <si>
    <t xml:space="preserve">Grafton                                            </t>
  </si>
  <si>
    <t xml:space="preserve">Grand Chute                                        </t>
  </si>
  <si>
    <t xml:space="preserve">Granton                                            </t>
  </si>
  <si>
    <t xml:space="preserve">Grantsburg                                         </t>
  </si>
  <si>
    <t xml:space="preserve">Gratiot                                            </t>
  </si>
  <si>
    <t xml:space="preserve">Green Bay                                          </t>
  </si>
  <si>
    <t xml:space="preserve">Green Lake                                         </t>
  </si>
  <si>
    <t xml:space="preserve">Greendale                                          </t>
  </si>
  <si>
    <t xml:space="preserve">Greenfield                                         </t>
  </si>
  <si>
    <t xml:space="preserve">Greenville                                         </t>
  </si>
  <si>
    <t xml:space="preserve">Greenwood                                          </t>
  </si>
  <si>
    <t xml:space="preserve">Gresham                                            </t>
  </si>
  <si>
    <t xml:space="preserve">Hales Corners                                      </t>
  </si>
  <si>
    <t xml:space="preserve">Hammond                                            </t>
  </si>
  <si>
    <t xml:space="preserve">Hancock                                            </t>
  </si>
  <si>
    <t xml:space="preserve">Harrison                                           </t>
  </si>
  <si>
    <t xml:space="preserve">Hartford                                           </t>
  </si>
  <si>
    <t xml:space="preserve">Hartland                                           </t>
  </si>
  <si>
    <t xml:space="preserve">Hatley                                             </t>
  </si>
  <si>
    <t xml:space="preserve">Hawkins                                            </t>
  </si>
  <si>
    <t xml:space="preserve">Hayward                                            </t>
  </si>
  <si>
    <t xml:space="preserve">Hazel Green                                        </t>
  </si>
  <si>
    <t xml:space="preserve">Highland                                           </t>
  </si>
  <si>
    <t xml:space="preserve">Hilbert                                            </t>
  </si>
  <si>
    <t xml:space="preserve">Hillsboro                                          </t>
  </si>
  <si>
    <t xml:space="preserve">Hixton                                             </t>
  </si>
  <si>
    <t xml:space="preserve">Hobart                                             </t>
  </si>
  <si>
    <t xml:space="preserve">Holmen                                             </t>
  </si>
  <si>
    <t xml:space="preserve">Horicon                                            </t>
  </si>
  <si>
    <t xml:space="preserve">Hortonville                                        </t>
  </si>
  <si>
    <t xml:space="preserve">Howard                                             </t>
  </si>
  <si>
    <t xml:space="preserve">Howards Grove                                      </t>
  </si>
  <si>
    <t xml:space="preserve">Hudson                                             </t>
  </si>
  <si>
    <t xml:space="preserve">Hurley                                             </t>
  </si>
  <si>
    <t xml:space="preserve">Hustisford                                         </t>
  </si>
  <si>
    <t xml:space="preserve">Independence                                       </t>
  </si>
  <si>
    <t xml:space="preserve">Jackson                                            </t>
  </si>
  <si>
    <t xml:space="preserve">Janesville                                         </t>
  </si>
  <si>
    <t xml:space="preserve">Jefferson                                          </t>
  </si>
  <si>
    <t xml:space="preserve">Johnson Creek                                      </t>
  </si>
  <si>
    <t xml:space="preserve">Junction City                                      </t>
  </si>
  <si>
    <t xml:space="preserve">Juneau                                             </t>
  </si>
  <si>
    <t xml:space="preserve">Kaukauna                                           </t>
  </si>
  <si>
    <t xml:space="preserve">Kellnersville                                      </t>
  </si>
  <si>
    <t xml:space="preserve">Kenosha                                            </t>
  </si>
  <si>
    <t xml:space="preserve">Kewaskum                                           </t>
  </si>
  <si>
    <t xml:space="preserve">Kewaunee                                           </t>
  </si>
  <si>
    <t xml:space="preserve">Kiel                                               </t>
  </si>
  <si>
    <t xml:space="preserve">Kimberly                                           </t>
  </si>
  <si>
    <t xml:space="preserve">Knapp                                              </t>
  </si>
  <si>
    <t xml:space="preserve">Kronenwetter                                       </t>
  </si>
  <si>
    <t xml:space="preserve">La Crosse                                          </t>
  </si>
  <si>
    <t xml:space="preserve">La Farge                                           </t>
  </si>
  <si>
    <t xml:space="preserve">Ladysmith                                          </t>
  </si>
  <si>
    <t xml:space="preserve">Lake Delton                                        </t>
  </si>
  <si>
    <t xml:space="preserve">Lake Hallie                                        </t>
  </si>
  <si>
    <t xml:space="preserve">Lake Mills                                         </t>
  </si>
  <si>
    <t xml:space="preserve">Lancaster                                          </t>
  </si>
  <si>
    <t xml:space="preserve">Lannon                                             </t>
  </si>
  <si>
    <t xml:space="preserve">Lawrence                                           </t>
  </si>
  <si>
    <t xml:space="preserve">Ledgeview                                          </t>
  </si>
  <si>
    <t xml:space="preserve">Little Chute                                       </t>
  </si>
  <si>
    <t xml:space="preserve">Livingston                                         </t>
  </si>
  <si>
    <t xml:space="preserve">Lodi                                               </t>
  </si>
  <si>
    <t xml:space="preserve">Loganville                                         </t>
  </si>
  <si>
    <t xml:space="preserve">Lomira                                             </t>
  </si>
  <si>
    <t xml:space="preserve">Loyal                                              </t>
  </si>
  <si>
    <t xml:space="preserve">Luck                                               </t>
  </si>
  <si>
    <t xml:space="preserve">Luxemburg                                          </t>
  </si>
  <si>
    <t xml:space="preserve">Madison                                            </t>
  </si>
  <si>
    <t xml:space="preserve">Maine                                              </t>
  </si>
  <si>
    <t xml:space="preserve">Manawa                                             </t>
  </si>
  <si>
    <t xml:space="preserve">Manitowoc                                          </t>
  </si>
  <si>
    <t xml:space="preserve">Maple Bluff                                        </t>
  </si>
  <si>
    <t xml:space="preserve">Marathon                                           </t>
  </si>
  <si>
    <t xml:space="preserve">Maribel                                            </t>
  </si>
  <si>
    <t xml:space="preserve">Marinette                                          </t>
  </si>
  <si>
    <t xml:space="preserve">Marion                                             </t>
  </si>
  <si>
    <t xml:space="preserve">Markesan                                           </t>
  </si>
  <si>
    <t xml:space="preserve">Marshall                                           </t>
  </si>
  <si>
    <t xml:space="preserve">Marshfield                                         </t>
  </si>
  <si>
    <t xml:space="preserve">Mason                                              </t>
  </si>
  <si>
    <t xml:space="preserve">Mauston                                            </t>
  </si>
  <si>
    <t xml:space="preserve">Mayville                                           </t>
  </si>
  <si>
    <t xml:space="preserve">Mazomanie                                          </t>
  </si>
  <si>
    <t xml:space="preserve">Mcfarland                                          </t>
  </si>
  <si>
    <t xml:space="preserve">Medford                                            </t>
  </si>
  <si>
    <t xml:space="preserve">Menasha                                            </t>
  </si>
  <si>
    <t xml:space="preserve">Menomonee Falls                                    </t>
  </si>
  <si>
    <t xml:space="preserve">Menomonie                                          </t>
  </si>
  <si>
    <t xml:space="preserve">Mequon                                             </t>
  </si>
  <si>
    <t xml:space="preserve">Merrill                                            </t>
  </si>
  <si>
    <t xml:space="preserve">Merrillan                                          </t>
  </si>
  <si>
    <t xml:space="preserve">Middleton                                          </t>
  </si>
  <si>
    <t xml:space="preserve">Milltown                                           </t>
  </si>
  <si>
    <t xml:space="preserve">Milton                                             </t>
  </si>
  <si>
    <t xml:space="preserve">Milwaukee                                          </t>
  </si>
  <si>
    <t xml:space="preserve">Minong                                             </t>
  </si>
  <si>
    <t xml:space="preserve">Mondovi                                            </t>
  </si>
  <si>
    <t xml:space="preserve">Monona                                             </t>
  </si>
  <si>
    <t xml:space="preserve">Monroe                                             </t>
  </si>
  <si>
    <t xml:space="preserve">Montfort                                           </t>
  </si>
  <si>
    <t xml:space="preserve">Mosinee                                            </t>
  </si>
  <si>
    <t xml:space="preserve">Mount Horeb                                        </t>
  </si>
  <si>
    <t xml:space="preserve">Mount Pleasant                                     </t>
  </si>
  <si>
    <t xml:space="preserve">Mukwonago                                          </t>
  </si>
  <si>
    <t xml:space="preserve">Muscoda                                            </t>
  </si>
  <si>
    <t xml:space="preserve">Muskego                                            </t>
  </si>
  <si>
    <t xml:space="preserve">Necedah                                            </t>
  </si>
  <si>
    <t xml:space="preserve">Neenah                                             </t>
  </si>
  <si>
    <t xml:space="preserve">Neillsville                                        </t>
  </si>
  <si>
    <t xml:space="preserve">Nekoosa                                            </t>
  </si>
  <si>
    <t xml:space="preserve">New Auburn                                         </t>
  </si>
  <si>
    <t xml:space="preserve">New Berlin                                         </t>
  </si>
  <si>
    <t xml:space="preserve">New Chester                                        </t>
  </si>
  <si>
    <t xml:space="preserve">New Glarus                                         </t>
  </si>
  <si>
    <t xml:space="preserve">New Holstein                                       </t>
  </si>
  <si>
    <t xml:space="preserve">New Lisbon                                         </t>
  </si>
  <si>
    <t xml:space="preserve">New Richmond                                       </t>
  </si>
  <si>
    <t xml:space="preserve">Niagara                                            </t>
  </si>
  <si>
    <t xml:space="preserve">North Fond Du Lac                                  </t>
  </si>
  <si>
    <t xml:space="preserve">North Freedom                                      </t>
  </si>
  <si>
    <t xml:space="preserve">Oak Creek                                          </t>
  </si>
  <si>
    <t xml:space="preserve">Oakfield                                           </t>
  </si>
  <si>
    <t xml:space="preserve">Oconomowoc                                         </t>
  </si>
  <si>
    <t xml:space="preserve">Oconto                                             </t>
  </si>
  <si>
    <t xml:space="preserve">Omro                                               </t>
  </si>
  <si>
    <t xml:space="preserve">Ontario                                            </t>
  </si>
  <si>
    <t xml:space="preserve">Oostburg                                           </t>
  </si>
  <si>
    <t xml:space="preserve">Oregon                                             </t>
  </si>
  <si>
    <t xml:space="preserve">Orfordville                                        </t>
  </si>
  <si>
    <t xml:space="preserve">Osceola                                            </t>
  </si>
  <si>
    <t xml:space="preserve">Oshkosh                                            </t>
  </si>
  <si>
    <t xml:space="preserve">Osseo                                              </t>
  </si>
  <si>
    <t xml:space="preserve">Owen                                               </t>
  </si>
  <si>
    <t xml:space="preserve">Paddock Lake                                       </t>
  </si>
  <si>
    <t xml:space="preserve">Palmyra                                            </t>
  </si>
  <si>
    <t xml:space="preserve">Park Falls                                         </t>
  </si>
  <si>
    <t xml:space="preserve">Pepin                                              </t>
  </si>
  <si>
    <t xml:space="preserve">Pewaukee                                           </t>
  </si>
  <si>
    <t xml:space="preserve">Phillips                                           </t>
  </si>
  <si>
    <t xml:space="preserve">Pittsville                                         </t>
  </si>
  <si>
    <t xml:space="preserve">Plain                                              </t>
  </si>
  <si>
    <t xml:space="preserve">Plainfield                                         </t>
  </si>
  <si>
    <t xml:space="preserve">Platteville                                        </t>
  </si>
  <si>
    <t xml:space="preserve">Pleasant Prairie                                   </t>
  </si>
  <si>
    <t xml:space="preserve">Plover                                             </t>
  </si>
  <si>
    <t xml:space="preserve">Plymouth                                           </t>
  </si>
  <si>
    <t xml:space="preserve">Port Edwards                                       </t>
  </si>
  <si>
    <t xml:space="preserve">Port Washington                                    </t>
  </si>
  <si>
    <t xml:space="preserve">Portage                                            </t>
  </si>
  <si>
    <t xml:space="preserve">Pound                                              </t>
  </si>
  <si>
    <t xml:space="preserve">Prairie Du Chien                                   </t>
  </si>
  <si>
    <t xml:space="preserve">Prairie Du Sac                                     </t>
  </si>
  <si>
    <t xml:space="preserve">Prairie Farm                                       </t>
  </si>
  <si>
    <t xml:space="preserve">Prentice                                           </t>
  </si>
  <si>
    <t xml:space="preserve">Prescott                                           </t>
  </si>
  <si>
    <t xml:space="preserve">Princeton                                          </t>
  </si>
  <si>
    <t xml:space="preserve">Pulaski                                            </t>
  </si>
  <si>
    <t xml:space="preserve">Racine                                             </t>
  </si>
  <si>
    <t xml:space="preserve">Randolph                                           </t>
  </si>
  <si>
    <t xml:space="preserve">Random Lake                                        </t>
  </si>
  <si>
    <t xml:space="preserve">Redgranite                                         </t>
  </si>
  <si>
    <t xml:space="preserve">Reedsburg                                          </t>
  </si>
  <si>
    <t xml:space="preserve">Reeseville                                         </t>
  </si>
  <si>
    <t xml:space="preserve">Rhinelander                                        </t>
  </si>
  <si>
    <t xml:space="preserve">Rib Lake                                           </t>
  </si>
  <si>
    <t xml:space="preserve">Rice Lake                                          </t>
  </si>
  <si>
    <t xml:space="preserve">Richland Center                                    </t>
  </si>
  <si>
    <t xml:space="preserve">Ridgeland                                          </t>
  </si>
  <si>
    <t xml:space="preserve">Ridgeway                                           </t>
  </si>
  <si>
    <t xml:space="preserve">Rio                                                </t>
  </si>
  <si>
    <t xml:space="preserve">Ripon                                              </t>
  </si>
  <si>
    <t xml:space="preserve">River Falls                                        </t>
  </si>
  <si>
    <t xml:space="preserve">Roberts                                            </t>
  </si>
  <si>
    <t xml:space="preserve">Rockland                                           </t>
  </si>
  <si>
    <t xml:space="preserve">Rome                                               </t>
  </si>
  <si>
    <t xml:space="preserve">Rosendale                                          </t>
  </si>
  <si>
    <t xml:space="preserve">Rothschild                                         </t>
  </si>
  <si>
    <t xml:space="preserve">Saint Croix Falls                                  </t>
  </si>
  <si>
    <t xml:space="preserve">Saint Francis                                      </t>
  </si>
  <si>
    <t xml:space="preserve">Salem Lakes                                        </t>
  </si>
  <si>
    <t xml:space="preserve">Sauk City                                          </t>
  </si>
  <si>
    <t xml:space="preserve">Saukville                                          </t>
  </si>
  <si>
    <t xml:space="preserve">Schofield                                          </t>
  </si>
  <si>
    <t xml:space="preserve">Seymour                                            </t>
  </si>
  <si>
    <t xml:space="preserve">Sharon                                             </t>
  </si>
  <si>
    <t xml:space="preserve">Shawano                                            </t>
  </si>
  <si>
    <t xml:space="preserve">Sheboygan                                          </t>
  </si>
  <si>
    <t xml:space="preserve">Sheboygan Falls                                    </t>
  </si>
  <si>
    <t xml:space="preserve">Shell Lake                                         </t>
  </si>
  <si>
    <t xml:space="preserve">Sherwood                                           </t>
  </si>
  <si>
    <t xml:space="preserve">Shorewood                                          </t>
  </si>
  <si>
    <t xml:space="preserve">Shorewood Hills                                    </t>
  </si>
  <si>
    <t xml:space="preserve">Shullsburg                                         </t>
  </si>
  <si>
    <t xml:space="preserve">Siren                                              </t>
  </si>
  <si>
    <t xml:space="preserve">Sister Bay                                         </t>
  </si>
  <si>
    <t xml:space="preserve">Slinger                                            </t>
  </si>
  <si>
    <t xml:space="preserve">Solon Springs                                      </t>
  </si>
  <si>
    <t xml:space="preserve">Somers                                             </t>
  </si>
  <si>
    <t xml:space="preserve">Somerset                                           </t>
  </si>
  <si>
    <t xml:space="preserve">South Milwaukee                                    </t>
  </si>
  <si>
    <t xml:space="preserve">Sparta                                             </t>
  </si>
  <si>
    <t xml:space="preserve">Spencer                                            </t>
  </si>
  <si>
    <t xml:space="preserve">Spooner                                            </t>
  </si>
  <si>
    <t xml:space="preserve">Spring Green                                       </t>
  </si>
  <si>
    <t xml:space="preserve">Spring Valley                                      </t>
  </si>
  <si>
    <t xml:space="preserve">Stanley                                            </t>
  </si>
  <si>
    <t xml:space="preserve">Stetsonville                                       </t>
  </si>
  <si>
    <t xml:space="preserve">Stevens Point                                      </t>
  </si>
  <si>
    <t xml:space="preserve">Stoughton                                          </t>
  </si>
  <si>
    <t xml:space="preserve">Stratford                                          </t>
  </si>
  <si>
    <t xml:space="preserve">Strum                                              </t>
  </si>
  <si>
    <t xml:space="preserve">Sturgeon Bay                                       </t>
  </si>
  <si>
    <t xml:space="preserve">Sturtevant                                         </t>
  </si>
  <si>
    <t xml:space="preserve">Suamico                                            </t>
  </si>
  <si>
    <t xml:space="preserve">Sun Prairie                                        </t>
  </si>
  <si>
    <t xml:space="preserve">Superior                                           </t>
  </si>
  <si>
    <t xml:space="preserve">Suring                                             </t>
  </si>
  <si>
    <t xml:space="preserve">Sussex                                             </t>
  </si>
  <si>
    <t xml:space="preserve">Taylor                                             </t>
  </si>
  <si>
    <t xml:space="preserve">Thorp                                              </t>
  </si>
  <si>
    <t xml:space="preserve">Tigerton                                           </t>
  </si>
  <si>
    <t xml:space="preserve">Tomah                                              </t>
  </si>
  <si>
    <t xml:space="preserve">Tomahawk                                           </t>
  </si>
  <si>
    <t xml:space="preserve">Trempealeau                                        </t>
  </si>
  <si>
    <t xml:space="preserve">Turtle Lake                                        </t>
  </si>
  <si>
    <t xml:space="preserve">Twin Lakes                                         </t>
  </si>
  <si>
    <t xml:space="preserve">Two Rivers                                         </t>
  </si>
  <si>
    <t xml:space="preserve">Union Grove                                        </t>
  </si>
  <si>
    <t xml:space="preserve">Unity                                              </t>
  </si>
  <si>
    <t xml:space="preserve">Valders                                            </t>
  </si>
  <si>
    <t xml:space="preserve">Verona                                             </t>
  </si>
  <si>
    <t xml:space="preserve">Vesper                                             </t>
  </si>
  <si>
    <t xml:space="preserve">Viola                                              </t>
  </si>
  <si>
    <t xml:space="preserve">Viroqua                                            </t>
  </si>
  <si>
    <t xml:space="preserve">Wales                                              </t>
  </si>
  <si>
    <t xml:space="preserve">Walworth                                           </t>
  </si>
  <si>
    <t xml:space="preserve">Warrens                                            </t>
  </si>
  <si>
    <t xml:space="preserve">Washburn                                           </t>
  </si>
  <si>
    <t xml:space="preserve">Waterford                                          </t>
  </si>
  <si>
    <t xml:space="preserve">Waterloo                                           </t>
  </si>
  <si>
    <t xml:space="preserve">Watertown                                          </t>
  </si>
  <si>
    <t xml:space="preserve">Waukesha                                           </t>
  </si>
  <si>
    <t xml:space="preserve">Waunakee                                           </t>
  </si>
  <si>
    <t xml:space="preserve">Waupaca                                            </t>
  </si>
  <si>
    <t xml:space="preserve">Waupun                                             </t>
  </si>
  <si>
    <t xml:space="preserve">Wausau                                             </t>
  </si>
  <si>
    <t xml:space="preserve">Wautoma                                            </t>
  </si>
  <si>
    <t xml:space="preserve">Wauwatosa                                          </t>
  </si>
  <si>
    <t xml:space="preserve">Wauzeka                                            </t>
  </si>
  <si>
    <t xml:space="preserve">Webster                                            </t>
  </si>
  <si>
    <t xml:space="preserve">West Allis                                         </t>
  </si>
  <si>
    <t xml:space="preserve">West Baraboo                                       </t>
  </si>
  <si>
    <t xml:space="preserve">West Bend                                          </t>
  </si>
  <si>
    <t xml:space="preserve">West Milwaukee                                     </t>
  </si>
  <si>
    <t xml:space="preserve">West Salem                                         </t>
  </si>
  <si>
    <t xml:space="preserve">Westby                                             </t>
  </si>
  <si>
    <t xml:space="preserve">Westfield                                          </t>
  </si>
  <si>
    <t xml:space="preserve">Weston                                             </t>
  </si>
  <si>
    <t xml:space="preserve">Weyauwega                                          </t>
  </si>
  <si>
    <t xml:space="preserve">Weyerhaeuser                                       </t>
  </si>
  <si>
    <t xml:space="preserve">Whitefish Bay                                      </t>
  </si>
  <si>
    <t xml:space="preserve">Whitehall                                          </t>
  </si>
  <si>
    <t xml:space="preserve">Whitelaw                                           </t>
  </si>
  <si>
    <t xml:space="preserve">Whitewater                                         </t>
  </si>
  <si>
    <t xml:space="preserve">Whiting                                            </t>
  </si>
  <si>
    <t xml:space="preserve">Wild Rose                                          </t>
  </si>
  <si>
    <t xml:space="preserve">Wilton                                             </t>
  </si>
  <si>
    <t xml:space="preserve">Windsor                                            </t>
  </si>
  <si>
    <t xml:space="preserve">Winneconne                                         </t>
  </si>
  <si>
    <t xml:space="preserve">Wisconsin Dells                                    </t>
  </si>
  <si>
    <t xml:space="preserve">Wisconsin Rapids                                   </t>
  </si>
  <si>
    <t xml:space="preserve">Withee                                             </t>
  </si>
  <si>
    <t xml:space="preserve">Wittenberg                                         </t>
  </si>
  <si>
    <t xml:space="preserve">Woodville                                          </t>
  </si>
  <si>
    <t xml:space="preserve">Wrightstown                                        </t>
  </si>
  <si>
    <t>*A negative increment is treated as zero increment</t>
  </si>
  <si>
    <t xml:space="preserve">          NOTE:  With the exception of Muni Equalized Value column  totals do not include Environmental Remediation TID information</t>
  </si>
  <si>
    <t xml:space="preserve">          2019 TID Total Value Increment    :</t>
  </si>
  <si>
    <t xml:space="preserve">          2019 Muni Total TID Current Value :</t>
  </si>
  <si>
    <t xml:space="preserve">          2019 Muni Total Equalized Value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</si>
</sst>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57"/>
  <sheetViews>
    <sheetView tabSelected="1" workbookViewId="0">
      <selection activeCell="E2157" sqref="E2157"/>
    </sheetView>
  </sheetViews>
  <sheetFormatPr defaultRowHeight="15" x14ac:dyDescent="0.25"/>
  <cols>
    <col min="1" max="1" width="55" customWidth="1"/>
    <col min="2" max="2" width="9.42578125" bestFit="1" customWidth="1"/>
    <col min="3" max="3" width="8.7109375" bestFit="1" customWidth="1"/>
    <col min="4" max="4" width="5.5703125" bestFit="1" customWidth="1"/>
    <col min="5" max="5" width="13.140625" bestFit="1" customWidth="1"/>
    <col min="6" max="6" width="30.28515625" bestFit="1" customWidth="1"/>
    <col min="7" max="7" width="2.42578125" bestFit="1" customWidth="1"/>
    <col min="8" max="8" width="16.7109375" bestFit="1" customWidth="1"/>
    <col min="9" max="10" width="8.5703125" bestFit="1" customWidth="1"/>
    <col min="11" max="11" width="16.140625" bestFit="1" customWidth="1"/>
  </cols>
  <sheetData>
    <row r="2" spans="1:11" x14ac:dyDescent="0.25">
      <c r="A2" t="s">
        <v>0</v>
      </c>
      <c r="K2" t="s">
        <v>1</v>
      </c>
    </row>
    <row r="3" spans="1:11" x14ac:dyDescent="0.25">
      <c r="A3" t="s">
        <v>2</v>
      </c>
      <c r="K3" t="s">
        <v>3</v>
      </c>
    </row>
    <row r="4" spans="1:11" x14ac:dyDescent="0.25">
      <c r="K4" t="s">
        <v>4</v>
      </c>
    </row>
    <row r="6" spans="1:11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13</v>
      </c>
    </row>
    <row r="7" spans="1:11" x14ac:dyDescent="0.25">
      <c r="A7" t="s">
        <v>5</v>
      </c>
      <c r="B7" t="s">
        <v>14</v>
      </c>
      <c r="C7" t="s">
        <v>7</v>
      </c>
      <c r="D7" t="s">
        <v>15</v>
      </c>
      <c r="E7" t="s">
        <v>16</v>
      </c>
      <c r="F7" t="s">
        <v>17</v>
      </c>
      <c r="G7" t="s">
        <v>11</v>
      </c>
      <c r="H7" t="s">
        <v>18</v>
      </c>
      <c r="I7" t="s">
        <v>13</v>
      </c>
      <c r="J7" t="s">
        <v>13</v>
      </c>
    </row>
    <row r="8" spans="1:11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11</v>
      </c>
      <c r="H8" t="s">
        <v>25</v>
      </c>
      <c r="I8" t="s">
        <v>26</v>
      </c>
      <c r="J8" t="s">
        <v>27</v>
      </c>
      <c r="K8" t="s">
        <v>28</v>
      </c>
    </row>
    <row r="9" spans="1:11" x14ac:dyDescent="0.25">
      <c r="A9" t="s">
        <v>29</v>
      </c>
      <c r="B9" t="s">
        <v>30</v>
      </c>
      <c r="C9" t="s">
        <v>31</v>
      </c>
      <c r="D9" t="s">
        <v>32</v>
      </c>
      <c r="E9" t="s">
        <v>33</v>
      </c>
      <c r="F9" t="s">
        <v>34</v>
      </c>
      <c r="G9" t="s">
        <v>35</v>
      </c>
      <c r="H9" t="s">
        <v>36</v>
      </c>
      <c r="I9" t="s">
        <v>30</v>
      </c>
      <c r="J9" t="s">
        <v>30</v>
      </c>
      <c r="K9" t="s">
        <v>30</v>
      </c>
    </row>
    <row r="10" spans="1:11" x14ac:dyDescent="0.25">
      <c r="A10" t="s">
        <v>37</v>
      </c>
      <c r="B10" t="str">
        <f>"37201"</f>
        <v>37201</v>
      </c>
      <c r="C10" t="str">
        <f>"005"</f>
        <v>005</v>
      </c>
      <c r="D10">
        <v>2008</v>
      </c>
      <c r="E10">
        <v>13569700</v>
      </c>
      <c r="F10">
        <v>1615600</v>
      </c>
      <c r="G10" t="s">
        <v>11</v>
      </c>
      <c r="H10" t="s">
        <v>38</v>
      </c>
      <c r="I10" t="s">
        <v>13</v>
      </c>
      <c r="J10" t="s">
        <v>13</v>
      </c>
    </row>
    <row r="11" spans="1:11" x14ac:dyDescent="0.25">
      <c r="A11" t="s">
        <v>5</v>
      </c>
      <c r="B11" t="str">
        <f>"10201"</f>
        <v>10201</v>
      </c>
      <c r="C11" t="str">
        <f>"005"</f>
        <v>005</v>
      </c>
      <c r="D11">
        <v>2008</v>
      </c>
      <c r="E11">
        <v>563200</v>
      </c>
      <c r="F11">
        <v>104400</v>
      </c>
      <c r="G11" t="s">
        <v>11</v>
      </c>
      <c r="H11" t="s">
        <v>38</v>
      </c>
      <c r="I11" t="s">
        <v>13</v>
      </c>
      <c r="J11" t="s">
        <v>13</v>
      </c>
    </row>
    <row r="12" spans="1:11" x14ac:dyDescent="0.25">
      <c r="A12" t="s">
        <v>5</v>
      </c>
      <c r="B12" t="str">
        <f>"10201"</f>
        <v>10201</v>
      </c>
      <c r="C12" t="str">
        <f>"006"</f>
        <v>006</v>
      </c>
      <c r="D12">
        <v>2016</v>
      </c>
      <c r="E12">
        <v>4771600</v>
      </c>
      <c r="F12">
        <v>1824500</v>
      </c>
      <c r="G12" t="s">
        <v>11</v>
      </c>
      <c r="H12" t="s">
        <v>38</v>
      </c>
      <c r="I12" t="s">
        <v>13</v>
      </c>
      <c r="J12" t="s">
        <v>13</v>
      </c>
    </row>
    <row r="13" spans="1:11" x14ac:dyDescent="0.25">
      <c r="A13" t="s">
        <v>5</v>
      </c>
      <c r="B13" t="str">
        <f>"37201"</f>
        <v>37201</v>
      </c>
      <c r="C13" t="str">
        <f>"006"</f>
        <v>006</v>
      </c>
      <c r="D13">
        <v>2016</v>
      </c>
      <c r="E13">
        <v>22165100</v>
      </c>
      <c r="F13">
        <v>16242000</v>
      </c>
      <c r="G13" t="s">
        <v>11</v>
      </c>
      <c r="H13" t="s">
        <v>38</v>
      </c>
      <c r="I13" t="s">
        <v>13</v>
      </c>
      <c r="J13" t="s">
        <v>13</v>
      </c>
    </row>
    <row r="14" spans="1:11" x14ac:dyDescent="0.25">
      <c r="A14" t="s">
        <v>5</v>
      </c>
      <c r="B14" t="str">
        <f>"10201"</f>
        <v>10201</v>
      </c>
      <c r="C14" t="str">
        <f>"007"</f>
        <v>007</v>
      </c>
      <c r="D14">
        <v>2016</v>
      </c>
      <c r="E14">
        <v>2094400</v>
      </c>
      <c r="F14">
        <v>474900</v>
      </c>
      <c r="G14" t="s">
        <v>11</v>
      </c>
      <c r="H14" t="s">
        <v>38</v>
      </c>
      <c r="I14" t="s">
        <v>13</v>
      </c>
      <c r="J14" t="s">
        <v>13</v>
      </c>
    </row>
    <row r="15" spans="1:11" x14ac:dyDescent="0.25">
      <c r="A15" t="s">
        <v>39</v>
      </c>
      <c r="B15" t="s">
        <v>13</v>
      </c>
      <c r="C15" t="s">
        <v>7</v>
      </c>
      <c r="D15" t="s">
        <v>8</v>
      </c>
      <c r="E15">
        <v>43164000</v>
      </c>
      <c r="F15">
        <v>20261400</v>
      </c>
      <c r="G15" t="s">
        <v>11</v>
      </c>
      <c r="H15">
        <v>138804000</v>
      </c>
      <c r="I15" t="s">
        <v>13</v>
      </c>
      <c r="J15" t="s">
        <v>13</v>
      </c>
      <c r="K15">
        <v>14.6</v>
      </c>
    </row>
    <row r="17" spans="1:11" x14ac:dyDescent="0.25">
      <c r="A17" t="s">
        <v>40</v>
      </c>
      <c r="B17" t="str">
        <f>"01201"</f>
        <v>01201</v>
      </c>
      <c r="C17" t="str">
        <f>"002"</f>
        <v>002</v>
      </c>
      <c r="D17">
        <v>1996</v>
      </c>
      <c r="E17">
        <v>18318000</v>
      </c>
      <c r="F17">
        <v>8732800</v>
      </c>
      <c r="G17" t="s">
        <v>11</v>
      </c>
      <c r="H17" t="s">
        <v>38</v>
      </c>
      <c r="I17" t="s">
        <v>13</v>
      </c>
      <c r="J17" t="s">
        <v>13</v>
      </c>
    </row>
    <row r="18" spans="1:11" x14ac:dyDescent="0.25">
      <c r="A18" t="s">
        <v>5</v>
      </c>
      <c r="B18" t="str">
        <f>"01201"</f>
        <v>01201</v>
      </c>
      <c r="C18" t="str">
        <f>"003"</f>
        <v>003</v>
      </c>
      <c r="D18">
        <v>1996</v>
      </c>
      <c r="E18">
        <v>16567500</v>
      </c>
      <c r="F18">
        <v>11397800</v>
      </c>
      <c r="G18" t="s">
        <v>11</v>
      </c>
      <c r="H18" t="s">
        <v>38</v>
      </c>
      <c r="I18" t="s">
        <v>13</v>
      </c>
      <c r="J18" t="s">
        <v>13</v>
      </c>
    </row>
    <row r="19" spans="1:11" x14ac:dyDescent="0.25">
      <c r="A19" t="s">
        <v>39</v>
      </c>
      <c r="B19" t="s">
        <v>13</v>
      </c>
      <c r="C19" t="s">
        <v>7</v>
      </c>
      <c r="D19" t="s">
        <v>8</v>
      </c>
      <c r="E19">
        <v>34885500</v>
      </c>
      <c r="F19">
        <v>20130600</v>
      </c>
      <c r="G19" t="s">
        <v>11</v>
      </c>
      <c r="H19">
        <v>80799500</v>
      </c>
      <c r="I19" t="s">
        <v>13</v>
      </c>
      <c r="J19" t="s">
        <v>13</v>
      </c>
      <c r="K19">
        <v>24.91</v>
      </c>
    </row>
    <row r="21" spans="1:11" x14ac:dyDescent="0.25">
      <c r="A21" t="s">
        <v>41</v>
      </c>
      <c r="B21" t="str">
        <f>"31201"</f>
        <v>31201</v>
      </c>
      <c r="C21" t="str">
        <f>"001"</f>
        <v>001</v>
      </c>
      <c r="D21">
        <v>2005</v>
      </c>
      <c r="E21">
        <v>8028200</v>
      </c>
      <c r="F21">
        <v>129000</v>
      </c>
      <c r="G21" t="s">
        <v>11</v>
      </c>
      <c r="H21" t="s">
        <v>38</v>
      </c>
      <c r="I21" t="s">
        <v>13</v>
      </c>
      <c r="J21" t="s">
        <v>13</v>
      </c>
    </row>
    <row r="22" spans="1:11" x14ac:dyDescent="0.25">
      <c r="A22" t="s">
        <v>5</v>
      </c>
      <c r="B22" t="str">
        <f>"31201"</f>
        <v>31201</v>
      </c>
      <c r="C22" t="str">
        <f>"002"</f>
        <v>002</v>
      </c>
      <c r="D22">
        <v>2006</v>
      </c>
      <c r="E22">
        <v>6619800</v>
      </c>
      <c r="F22">
        <v>4709100</v>
      </c>
      <c r="G22" t="s">
        <v>11</v>
      </c>
      <c r="H22" t="s">
        <v>38</v>
      </c>
      <c r="I22" t="s">
        <v>13</v>
      </c>
      <c r="J22" t="s">
        <v>13</v>
      </c>
    </row>
    <row r="23" spans="1:11" x14ac:dyDescent="0.25">
      <c r="A23" t="s">
        <v>39</v>
      </c>
      <c r="B23" t="s">
        <v>13</v>
      </c>
      <c r="C23" t="s">
        <v>7</v>
      </c>
      <c r="D23" t="s">
        <v>8</v>
      </c>
      <c r="E23">
        <v>14648000</v>
      </c>
      <c r="F23">
        <v>4838100</v>
      </c>
      <c r="G23" t="s">
        <v>11</v>
      </c>
      <c r="H23">
        <v>184012800</v>
      </c>
      <c r="I23" t="s">
        <v>13</v>
      </c>
      <c r="J23" t="s">
        <v>13</v>
      </c>
      <c r="K23">
        <v>2.63</v>
      </c>
    </row>
    <row r="25" spans="1:11" x14ac:dyDescent="0.25">
      <c r="A25" t="s">
        <v>42</v>
      </c>
      <c r="B25" t="str">
        <f>"05102"</f>
        <v>05102</v>
      </c>
      <c r="C25" t="str">
        <f>"001"</f>
        <v>001</v>
      </c>
      <c r="D25">
        <v>2012</v>
      </c>
      <c r="E25">
        <v>117149400</v>
      </c>
      <c r="F25">
        <v>32742000</v>
      </c>
      <c r="G25" t="s">
        <v>11</v>
      </c>
      <c r="H25" t="s">
        <v>38</v>
      </c>
      <c r="I25" t="s">
        <v>13</v>
      </c>
      <c r="J25" t="s">
        <v>13</v>
      </c>
    </row>
    <row r="26" spans="1:11" x14ac:dyDescent="0.25">
      <c r="A26" t="s">
        <v>39</v>
      </c>
      <c r="B26" t="s">
        <v>13</v>
      </c>
      <c r="C26" t="s">
        <v>7</v>
      </c>
      <c r="D26" t="s">
        <v>8</v>
      </c>
      <c r="E26">
        <v>117149400</v>
      </c>
      <c r="F26">
        <v>32742000</v>
      </c>
      <c r="G26" t="s">
        <v>11</v>
      </c>
      <c r="H26">
        <v>1057335000</v>
      </c>
      <c r="I26" t="s">
        <v>13</v>
      </c>
      <c r="J26" t="s">
        <v>13</v>
      </c>
      <c r="K26">
        <v>3.1</v>
      </c>
    </row>
    <row r="28" spans="1:11" x14ac:dyDescent="0.25">
      <c r="A28" t="s">
        <v>43</v>
      </c>
      <c r="B28" t="str">
        <f>"06201"</f>
        <v>06201</v>
      </c>
      <c r="C28" t="str">
        <f>"001"</f>
        <v>001</v>
      </c>
      <c r="D28">
        <v>1994</v>
      </c>
      <c r="E28">
        <v>4215300</v>
      </c>
      <c r="F28">
        <v>3446200</v>
      </c>
      <c r="G28" t="s">
        <v>11</v>
      </c>
      <c r="H28" t="s">
        <v>38</v>
      </c>
      <c r="I28" t="s">
        <v>13</v>
      </c>
      <c r="J28" t="s">
        <v>13</v>
      </c>
    </row>
    <row r="29" spans="1:11" x14ac:dyDescent="0.25">
      <c r="A29" t="s">
        <v>39</v>
      </c>
      <c r="B29" t="s">
        <v>13</v>
      </c>
      <c r="C29" t="s">
        <v>7</v>
      </c>
      <c r="D29" t="s">
        <v>8</v>
      </c>
      <c r="E29">
        <v>4215300</v>
      </c>
      <c r="F29">
        <v>3446200</v>
      </c>
      <c r="G29" t="s">
        <v>11</v>
      </c>
      <c r="H29">
        <v>57196900</v>
      </c>
      <c r="I29" t="s">
        <v>13</v>
      </c>
      <c r="J29" t="s">
        <v>13</v>
      </c>
      <c r="K29">
        <v>6.03</v>
      </c>
    </row>
    <row r="31" spans="1:11" x14ac:dyDescent="0.25">
      <c r="A31" t="s">
        <v>44</v>
      </c>
      <c r="B31" t="str">
        <f>"03101"</f>
        <v>03101</v>
      </c>
      <c r="C31" t="str">
        <f>"001"</f>
        <v>001</v>
      </c>
      <c r="D31">
        <v>1990</v>
      </c>
      <c r="E31">
        <v>7026900</v>
      </c>
      <c r="F31">
        <v>6738600</v>
      </c>
      <c r="G31" t="s">
        <v>11</v>
      </c>
      <c r="H31" t="s">
        <v>38</v>
      </c>
      <c r="I31" t="s">
        <v>13</v>
      </c>
      <c r="J31" t="s">
        <v>13</v>
      </c>
    </row>
    <row r="32" spans="1:11" x14ac:dyDescent="0.25">
      <c r="A32" t="s">
        <v>5</v>
      </c>
      <c r="B32" t="str">
        <f>"03101"</f>
        <v>03101</v>
      </c>
      <c r="C32" t="str">
        <f>"002"</f>
        <v>002</v>
      </c>
      <c r="D32">
        <v>1992</v>
      </c>
      <c r="E32">
        <v>1630300</v>
      </c>
      <c r="F32">
        <v>1483600</v>
      </c>
      <c r="G32" t="s">
        <v>11</v>
      </c>
      <c r="H32" t="s">
        <v>38</v>
      </c>
      <c r="I32" t="s">
        <v>13</v>
      </c>
      <c r="J32" t="s">
        <v>13</v>
      </c>
    </row>
    <row r="33" spans="1:11" x14ac:dyDescent="0.25">
      <c r="A33" t="s">
        <v>39</v>
      </c>
      <c r="B33" t="s">
        <v>13</v>
      </c>
      <c r="C33" t="s">
        <v>7</v>
      </c>
      <c r="D33" t="s">
        <v>8</v>
      </c>
      <c r="E33">
        <v>8657200</v>
      </c>
      <c r="F33">
        <v>8222200</v>
      </c>
      <c r="G33" t="s">
        <v>11</v>
      </c>
      <c r="H33">
        <v>30637000</v>
      </c>
      <c r="I33" t="s">
        <v>13</v>
      </c>
      <c r="J33" t="s">
        <v>13</v>
      </c>
      <c r="K33">
        <v>26.84</v>
      </c>
    </row>
    <row r="35" spans="1:11" x14ac:dyDescent="0.25">
      <c r="A35" t="s">
        <v>45</v>
      </c>
      <c r="B35" t="str">
        <f>"18201"</f>
        <v>18201</v>
      </c>
      <c r="C35" t="str">
        <f>"002"</f>
        <v>002</v>
      </c>
      <c r="D35">
        <v>2000</v>
      </c>
      <c r="E35">
        <v>13002100</v>
      </c>
      <c r="F35">
        <v>11807200</v>
      </c>
      <c r="G35" t="s">
        <v>11</v>
      </c>
      <c r="H35" t="s">
        <v>38</v>
      </c>
      <c r="I35" t="s">
        <v>13</v>
      </c>
      <c r="J35" t="s">
        <v>13</v>
      </c>
    </row>
    <row r="36" spans="1:11" x14ac:dyDescent="0.25">
      <c r="A36" t="s">
        <v>5</v>
      </c>
      <c r="B36" t="str">
        <f>"18201"</f>
        <v>18201</v>
      </c>
      <c r="C36" t="str">
        <f>"003"</f>
        <v>003</v>
      </c>
      <c r="D36">
        <v>2001</v>
      </c>
      <c r="E36">
        <v>208945500</v>
      </c>
      <c r="F36">
        <v>204108200</v>
      </c>
      <c r="G36" t="s">
        <v>11</v>
      </c>
      <c r="H36" t="s">
        <v>38</v>
      </c>
      <c r="I36" t="s">
        <v>13</v>
      </c>
      <c r="J36" t="s">
        <v>13</v>
      </c>
    </row>
    <row r="37" spans="1:11" x14ac:dyDescent="0.25">
      <c r="A37" t="s">
        <v>5</v>
      </c>
      <c r="B37" t="str">
        <f>"18201"</f>
        <v>18201</v>
      </c>
      <c r="C37" t="str">
        <f>"004"</f>
        <v>004</v>
      </c>
      <c r="D37">
        <v>2008</v>
      </c>
      <c r="E37">
        <v>19783500</v>
      </c>
      <c r="F37">
        <v>12092000</v>
      </c>
      <c r="G37" t="s">
        <v>11</v>
      </c>
      <c r="H37" t="s">
        <v>38</v>
      </c>
      <c r="I37" t="s">
        <v>13</v>
      </c>
      <c r="J37" t="s">
        <v>13</v>
      </c>
    </row>
    <row r="38" spans="1:11" x14ac:dyDescent="0.25">
      <c r="A38" t="s">
        <v>39</v>
      </c>
      <c r="B38" t="s">
        <v>13</v>
      </c>
      <c r="C38" t="s">
        <v>7</v>
      </c>
      <c r="D38" t="s">
        <v>8</v>
      </c>
      <c r="E38">
        <v>241731100</v>
      </c>
      <c r="F38">
        <v>228007400</v>
      </c>
      <c r="G38" t="s">
        <v>11</v>
      </c>
      <c r="H38">
        <v>741668900</v>
      </c>
      <c r="I38" t="s">
        <v>13</v>
      </c>
      <c r="J38" t="s">
        <v>13</v>
      </c>
      <c r="K38">
        <v>30.74</v>
      </c>
    </row>
    <row r="40" spans="1:11" x14ac:dyDescent="0.25">
      <c r="A40" t="s">
        <v>46</v>
      </c>
      <c r="B40" t="str">
        <f>"48201"</f>
        <v>48201</v>
      </c>
      <c r="C40" t="str">
        <f>"006"</f>
        <v>006</v>
      </c>
      <c r="D40">
        <v>2004</v>
      </c>
      <c r="E40">
        <v>26450600</v>
      </c>
      <c r="F40">
        <v>12009700</v>
      </c>
      <c r="G40" t="s">
        <v>11</v>
      </c>
      <c r="H40" t="s">
        <v>38</v>
      </c>
      <c r="I40" t="s">
        <v>13</v>
      </c>
      <c r="J40" t="s">
        <v>13</v>
      </c>
    </row>
    <row r="41" spans="1:11" x14ac:dyDescent="0.25">
      <c r="A41" t="s">
        <v>5</v>
      </c>
      <c r="B41" t="str">
        <f>"48201"</f>
        <v>48201</v>
      </c>
      <c r="C41" t="str">
        <f>"007"</f>
        <v>007</v>
      </c>
      <c r="D41">
        <v>2010</v>
      </c>
      <c r="E41">
        <v>5574200</v>
      </c>
      <c r="F41">
        <v>2255700</v>
      </c>
      <c r="G41" t="s">
        <v>11</v>
      </c>
      <c r="H41" t="s">
        <v>38</v>
      </c>
      <c r="I41" t="s">
        <v>13</v>
      </c>
      <c r="J41" t="s">
        <v>13</v>
      </c>
    </row>
    <row r="42" spans="1:11" x14ac:dyDescent="0.25">
      <c r="A42" t="s">
        <v>5</v>
      </c>
      <c r="B42" t="str">
        <f>"48201"</f>
        <v>48201</v>
      </c>
      <c r="C42" t="str">
        <f>"008"</f>
        <v>008</v>
      </c>
      <c r="D42">
        <v>2016</v>
      </c>
      <c r="E42">
        <v>5514900</v>
      </c>
      <c r="F42">
        <v>470300</v>
      </c>
      <c r="G42" t="s">
        <v>11</v>
      </c>
      <c r="H42" t="s">
        <v>38</v>
      </c>
      <c r="I42" t="s">
        <v>13</v>
      </c>
      <c r="J42" t="s">
        <v>13</v>
      </c>
    </row>
    <row r="43" spans="1:11" x14ac:dyDescent="0.25">
      <c r="A43" t="s">
        <v>39</v>
      </c>
      <c r="B43" t="s">
        <v>13</v>
      </c>
      <c r="C43" t="s">
        <v>7</v>
      </c>
      <c r="D43" t="s">
        <v>8</v>
      </c>
      <c r="E43">
        <v>37539700</v>
      </c>
      <c r="F43">
        <v>14735700</v>
      </c>
      <c r="G43" t="s">
        <v>11</v>
      </c>
      <c r="H43">
        <v>225445600</v>
      </c>
      <c r="I43" t="s">
        <v>13</v>
      </c>
      <c r="J43" t="s">
        <v>13</v>
      </c>
      <c r="K43">
        <v>6.54</v>
      </c>
    </row>
    <row r="45" spans="1:11" x14ac:dyDescent="0.25">
      <c r="A45" t="s">
        <v>47</v>
      </c>
      <c r="B45" t="str">
        <f>"49102"</f>
        <v>49102</v>
      </c>
      <c r="C45" t="str">
        <f>"002"</f>
        <v>002</v>
      </c>
      <c r="D45">
        <v>2003</v>
      </c>
      <c r="E45">
        <v>741300</v>
      </c>
      <c r="F45">
        <v>724100</v>
      </c>
      <c r="G45" t="s">
        <v>11</v>
      </c>
      <c r="H45" t="s">
        <v>38</v>
      </c>
      <c r="I45" t="s">
        <v>13</v>
      </c>
      <c r="J45" t="s">
        <v>13</v>
      </c>
    </row>
    <row r="46" spans="1:11" x14ac:dyDescent="0.25">
      <c r="A46" t="s">
        <v>39</v>
      </c>
      <c r="B46" t="s">
        <v>13</v>
      </c>
      <c r="C46" t="s">
        <v>7</v>
      </c>
      <c r="D46" t="s">
        <v>8</v>
      </c>
      <c r="E46">
        <v>741300</v>
      </c>
      <c r="F46">
        <v>724100</v>
      </c>
      <c r="G46" t="s">
        <v>11</v>
      </c>
      <c r="H46">
        <v>70306200</v>
      </c>
      <c r="I46" t="s">
        <v>13</v>
      </c>
      <c r="J46" t="s">
        <v>13</v>
      </c>
      <c r="K46">
        <v>1.03</v>
      </c>
    </row>
    <row r="48" spans="1:11" x14ac:dyDescent="0.25">
      <c r="A48" t="s">
        <v>48</v>
      </c>
      <c r="B48" t="str">
        <f>"34201"</f>
        <v>34201</v>
      </c>
      <c r="C48" t="str">
        <f>"003"</f>
        <v>003</v>
      </c>
      <c r="D48">
        <v>1999</v>
      </c>
      <c r="E48">
        <v>7008400</v>
      </c>
      <c r="F48">
        <v>1842400</v>
      </c>
      <c r="G48" t="s">
        <v>11</v>
      </c>
      <c r="H48" t="s">
        <v>38</v>
      </c>
      <c r="I48" t="s">
        <v>13</v>
      </c>
      <c r="J48" t="s">
        <v>13</v>
      </c>
    </row>
    <row r="49" spans="1:11" x14ac:dyDescent="0.25">
      <c r="A49" t="s">
        <v>5</v>
      </c>
      <c r="B49" t="str">
        <f>"34201"</f>
        <v>34201</v>
      </c>
      <c r="C49" t="str">
        <f>"004"</f>
        <v>004</v>
      </c>
      <c r="D49">
        <v>1999</v>
      </c>
      <c r="E49">
        <v>25343900</v>
      </c>
      <c r="F49">
        <v>7019900</v>
      </c>
      <c r="G49" t="s">
        <v>11</v>
      </c>
      <c r="H49" t="s">
        <v>38</v>
      </c>
      <c r="I49" t="s">
        <v>13</v>
      </c>
      <c r="J49" t="s">
        <v>13</v>
      </c>
    </row>
    <row r="50" spans="1:11" x14ac:dyDescent="0.25">
      <c r="A50" t="s">
        <v>5</v>
      </c>
      <c r="B50" t="str">
        <f>"34201"</f>
        <v>34201</v>
      </c>
      <c r="C50" t="str">
        <f>"005"</f>
        <v>005</v>
      </c>
      <c r="D50">
        <v>2001</v>
      </c>
      <c r="E50">
        <v>13497500</v>
      </c>
      <c r="F50">
        <v>4193300</v>
      </c>
      <c r="G50" t="s">
        <v>11</v>
      </c>
      <c r="H50" t="s">
        <v>38</v>
      </c>
      <c r="I50" t="s">
        <v>13</v>
      </c>
      <c r="J50" t="s">
        <v>13</v>
      </c>
    </row>
    <row r="51" spans="1:11" x14ac:dyDescent="0.25">
      <c r="A51" t="s">
        <v>5</v>
      </c>
      <c r="B51" t="str">
        <f>"34201"</f>
        <v>34201</v>
      </c>
      <c r="C51" t="str">
        <f>"006"</f>
        <v>006</v>
      </c>
      <c r="D51">
        <v>2008</v>
      </c>
      <c r="E51">
        <v>8419000</v>
      </c>
      <c r="F51">
        <v>7789200</v>
      </c>
      <c r="G51" t="s">
        <v>11</v>
      </c>
      <c r="H51" t="s">
        <v>38</v>
      </c>
      <c r="I51" t="s">
        <v>13</v>
      </c>
      <c r="J51" t="s">
        <v>13</v>
      </c>
    </row>
    <row r="52" spans="1:11" x14ac:dyDescent="0.25">
      <c r="A52" t="s">
        <v>5</v>
      </c>
      <c r="B52" t="str">
        <f>"34201"</f>
        <v>34201</v>
      </c>
      <c r="C52" t="str">
        <f>"007"</f>
        <v>007</v>
      </c>
      <c r="D52">
        <v>2010</v>
      </c>
      <c r="E52">
        <v>5812100</v>
      </c>
      <c r="F52">
        <v>-446100</v>
      </c>
      <c r="G52" t="s">
        <v>49</v>
      </c>
      <c r="H52" t="s">
        <v>38</v>
      </c>
      <c r="I52" t="s">
        <v>13</v>
      </c>
      <c r="J52" t="s">
        <v>13</v>
      </c>
    </row>
    <row r="53" spans="1:11" x14ac:dyDescent="0.25">
      <c r="A53" t="s">
        <v>39</v>
      </c>
      <c r="B53" t="s">
        <v>13</v>
      </c>
      <c r="C53" t="s">
        <v>7</v>
      </c>
      <c r="D53" t="s">
        <v>8</v>
      </c>
      <c r="E53">
        <v>60080900</v>
      </c>
      <c r="F53">
        <v>20844800</v>
      </c>
      <c r="G53" t="s">
        <v>11</v>
      </c>
      <c r="H53">
        <v>397798800</v>
      </c>
      <c r="I53" t="s">
        <v>13</v>
      </c>
      <c r="J53" t="s">
        <v>13</v>
      </c>
      <c r="K53">
        <v>5.24</v>
      </c>
    </row>
    <row r="55" spans="1:11" x14ac:dyDescent="0.25">
      <c r="A55" t="s">
        <v>50</v>
      </c>
      <c r="B55" t="str">
        <f>"44201"</f>
        <v>44201</v>
      </c>
      <c r="C55" t="str">
        <f>"003"</f>
        <v>003</v>
      </c>
      <c r="D55">
        <v>1993</v>
      </c>
      <c r="E55">
        <v>70899500</v>
      </c>
      <c r="F55">
        <v>51958700</v>
      </c>
      <c r="G55" t="s">
        <v>11</v>
      </c>
      <c r="H55" t="s">
        <v>38</v>
      </c>
      <c r="I55" t="s">
        <v>13</v>
      </c>
      <c r="J55" t="s">
        <v>13</v>
      </c>
    </row>
    <row r="56" spans="1:11" x14ac:dyDescent="0.25">
      <c r="A56" t="s">
        <v>5</v>
      </c>
      <c r="B56" t="str">
        <f>"08201"</f>
        <v>08201</v>
      </c>
      <c r="C56" t="str">
        <f>"006"</f>
        <v>006</v>
      </c>
      <c r="D56">
        <v>2000</v>
      </c>
      <c r="E56">
        <v>129019600</v>
      </c>
      <c r="F56">
        <v>116878000</v>
      </c>
      <c r="G56" t="s">
        <v>11</v>
      </c>
      <c r="H56" t="s">
        <v>38</v>
      </c>
      <c r="I56" t="s">
        <v>13</v>
      </c>
      <c r="J56" t="s">
        <v>13</v>
      </c>
    </row>
    <row r="57" spans="1:11" x14ac:dyDescent="0.25">
      <c r="A57" t="s">
        <v>5</v>
      </c>
      <c r="B57" t="str">
        <f>"70201"</f>
        <v>70201</v>
      </c>
      <c r="C57" t="str">
        <f>"007"</f>
        <v>007</v>
      </c>
      <c r="D57">
        <v>2007</v>
      </c>
      <c r="E57">
        <v>39089800</v>
      </c>
      <c r="F57">
        <v>13432800</v>
      </c>
      <c r="G57" t="s">
        <v>11</v>
      </c>
      <c r="H57" t="s">
        <v>38</v>
      </c>
      <c r="I57" t="s">
        <v>13</v>
      </c>
      <c r="J57" t="s">
        <v>13</v>
      </c>
    </row>
    <row r="58" spans="1:11" x14ac:dyDescent="0.25">
      <c r="A58" t="s">
        <v>5</v>
      </c>
      <c r="B58" t="str">
        <f>"44201"</f>
        <v>44201</v>
      </c>
      <c r="C58" t="str">
        <f>"008"</f>
        <v>008</v>
      </c>
      <c r="D58">
        <v>2009</v>
      </c>
      <c r="E58">
        <v>56920500</v>
      </c>
      <c r="F58">
        <v>50785400</v>
      </c>
      <c r="G58" t="s">
        <v>11</v>
      </c>
      <c r="H58" t="s">
        <v>38</v>
      </c>
      <c r="I58" t="s">
        <v>13</v>
      </c>
      <c r="J58" t="s">
        <v>13</v>
      </c>
    </row>
    <row r="59" spans="1:11" x14ac:dyDescent="0.25">
      <c r="A59" t="s">
        <v>5</v>
      </c>
      <c r="B59" t="str">
        <f>"44201"</f>
        <v>44201</v>
      </c>
      <c r="C59" t="str">
        <f>"009"</f>
        <v>009</v>
      </c>
      <c r="D59">
        <v>2013</v>
      </c>
      <c r="E59">
        <v>20537900</v>
      </c>
      <c r="F59">
        <v>-975000</v>
      </c>
      <c r="G59" t="s">
        <v>49</v>
      </c>
      <c r="H59" t="s">
        <v>38</v>
      </c>
      <c r="I59" t="s">
        <v>13</v>
      </c>
      <c r="J59" t="s">
        <v>13</v>
      </c>
    </row>
    <row r="60" spans="1:11" x14ac:dyDescent="0.25">
      <c r="A60" t="s">
        <v>5</v>
      </c>
      <c r="B60" t="str">
        <f>"44201"</f>
        <v>44201</v>
      </c>
      <c r="C60" t="str">
        <f>"010"</f>
        <v>010</v>
      </c>
      <c r="D60">
        <v>2013</v>
      </c>
      <c r="E60">
        <v>18183800</v>
      </c>
      <c r="F60">
        <v>-6360100</v>
      </c>
      <c r="G60" t="s">
        <v>49</v>
      </c>
      <c r="H60" t="s">
        <v>38</v>
      </c>
      <c r="I60" t="s">
        <v>13</v>
      </c>
      <c r="J60" t="s">
        <v>13</v>
      </c>
    </row>
    <row r="61" spans="1:11" x14ac:dyDescent="0.25">
      <c r="A61" t="s">
        <v>5</v>
      </c>
      <c r="B61" t="str">
        <f>"44201"</f>
        <v>44201</v>
      </c>
      <c r="C61" t="str">
        <f>"011"</f>
        <v>011</v>
      </c>
      <c r="D61">
        <v>2017</v>
      </c>
      <c r="E61">
        <v>84702900</v>
      </c>
      <c r="F61">
        <v>1603700</v>
      </c>
      <c r="G61" t="s">
        <v>11</v>
      </c>
      <c r="H61" t="s">
        <v>38</v>
      </c>
      <c r="I61" t="s">
        <v>13</v>
      </c>
      <c r="J61" t="s">
        <v>13</v>
      </c>
    </row>
    <row r="62" spans="1:11" x14ac:dyDescent="0.25">
      <c r="A62" t="s">
        <v>5</v>
      </c>
      <c r="B62" t="str">
        <f>"44201"</f>
        <v>44201</v>
      </c>
      <c r="C62" t="str">
        <f>"012"</f>
        <v>012</v>
      </c>
      <c r="D62">
        <v>2017</v>
      </c>
      <c r="E62">
        <v>24144800</v>
      </c>
      <c r="F62">
        <v>1169900</v>
      </c>
      <c r="G62" t="s">
        <v>11</v>
      </c>
      <c r="H62" t="s">
        <v>38</v>
      </c>
      <c r="I62" t="s">
        <v>13</v>
      </c>
      <c r="J62" t="s">
        <v>13</v>
      </c>
    </row>
    <row r="63" spans="1:11" x14ac:dyDescent="0.25">
      <c r="A63" t="s">
        <v>39</v>
      </c>
      <c r="B63" t="s">
        <v>13</v>
      </c>
      <c r="C63" t="s">
        <v>7</v>
      </c>
      <c r="D63" t="s">
        <v>8</v>
      </c>
      <c r="E63">
        <v>443498800</v>
      </c>
      <c r="F63">
        <v>235828500</v>
      </c>
      <c r="G63" t="s">
        <v>11</v>
      </c>
      <c r="H63">
        <v>5855356700</v>
      </c>
      <c r="I63" t="s">
        <v>13</v>
      </c>
      <c r="J63" t="s">
        <v>13</v>
      </c>
      <c r="K63">
        <v>4.03</v>
      </c>
    </row>
    <row r="65" spans="1:11" x14ac:dyDescent="0.25">
      <c r="A65" t="s">
        <v>51</v>
      </c>
      <c r="B65" t="str">
        <f>"61201"</f>
        <v>61201</v>
      </c>
      <c r="C65" t="str">
        <f>"003"</f>
        <v>003</v>
      </c>
      <c r="D65">
        <v>1994</v>
      </c>
      <c r="E65">
        <v>18920600</v>
      </c>
      <c r="F65">
        <v>18740500</v>
      </c>
      <c r="G65" t="s">
        <v>11</v>
      </c>
      <c r="H65" t="s">
        <v>38</v>
      </c>
      <c r="I65" t="s">
        <v>13</v>
      </c>
      <c r="J65" t="s">
        <v>13</v>
      </c>
    </row>
    <row r="66" spans="1:11" x14ac:dyDescent="0.25">
      <c r="A66" t="s">
        <v>5</v>
      </c>
      <c r="B66" t="str">
        <f>"61201"</f>
        <v>61201</v>
      </c>
      <c r="C66" t="str">
        <f>"004"</f>
        <v>004</v>
      </c>
      <c r="D66">
        <v>1994</v>
      </c>
      <c r="E66">
        <v>25446000</v>
      </c>
      <c r="F66">
        <v>24858900</v>
      </c>
      <c r="G66" t="s">
        <v>11</v>
      </c>
      <c r="H66" t="s">
        <v>38</v>
      </c>
      <c r="I66" t="s">
        <v>13</v>
      </c>
      <c r="J66" t="s">
        <v>13</v>
      </c>
    </row>
    <row r="67" spans="1:11" x14ac:dyDescent="0.25">
      <c r="A67" t="s">
        <v>39</v>
      </c>
      <c r="B67" t="s">
        <v>13</v>
      </c>
      <c r="C67" t="s">
        <v>7</v>
      </c>
      <c r="D67" t="s">
        <v>8</v>
      </c>
      <c r="E67">
        <v>44366600</v>
      </c>
      <c r="F67">
        <v>43599400</v>
      </c>
      <c r="G67" t="s">
        <v>11</v>
      </c>
      <c r="H67">
        <v>195484100</v>
      </c>
      <c r="I67" t="s">
        <v>13</v>
      </c>
      <c r="J67" t="s">
        <v>13</v>
      </c>
      <c r="K67">
        <v>22.3</v>
      </c>
    </row>
    <row r="69" spans="1:11" x14ac:dyDescent="0.25">
      <c r="A69" t="s">
        <v>52</v>
      </c>
      <c r="B69" t="str">
        <f>"25101"</f>
        <v>25101</v>
      </c>
      <c r="C69" t="str">
        <f>"001"</f>
        <v>001</v>
      </c>
      <c r="D69">
        <v>2006</v>
      </c>
      <c r="E69">
        <v>11421800</v>
      </c>
      <c r="F69">
        <v>6201500</v>
      </c>
      <c r="G69" t="s">
        <v>11</v>
      </c>
      <c r="H69" t="s">
        <v>38</v>
      </c>
      <c r="I69" t="s">
        <v>13</v>
      </c>
      <c r="J69" t="s">
        <v>13</v>
      </c>
    </row>
    <row r="70" spans="1:11" x14ac:dyDescent="0.25">
      <c r="A70" t="s">
        <v>39</v>
      </c>
      <c r="B70" t="s">
        <v>13</v>
      </c>
      <c r="C70" t="s">
        <v>7</v>
      </c>
      <c r="D70" t="s">
        <v>8</v>
      </c>
      <c r="E70">
        <v>11421800</v>
      </c>
      <c r="F70">
        <v>6201500</v>
      </c>
      <c r="G70" t="s">
        <v>11</v>
      </c>
      <c r="H70">
        <v>50458000</v>
      </c>
      <c r="I70" t="s">
        <v>13</v>
      </c>
      <c r="J70" t="s">
        <v>13</v>
      </c>
      <c r="K70">
        <v>12.29</v>
      </c>
    </row>
    <row r="72" spans="1:11" x14ac:dyDescent="0.25">
      <c r="A72" t="s">
        <v>53</v>
      </c>
      <c r="B72" t="str">
        <f>"33101"</f>
        <v>33101</v>
      </c>
      <c r="C72" t="str">
        <f>"003"</f>
        <v>003</v>
      </c>
      <c r="D72">
        <v>2012</v>
      </c>
      <c r="E72">
        <v>1761700</v>
      </c>
      <c r="F72">
        <v>10200</v>
      </c>
      <c r="G72" t="s">
        <v>11</v>
      </c>
      <c r="H72" t="s">
        <v>38</v>
      </c>
      <c r="I72" t="s">
        <v>13</v>
      </c>
      <c r="J72" t="s">
        <v>13</v>
      </c>
    </row>
    <row r="73" spans="1:11" x14ac:dyDescent="0.25">
      <c r="A73" t="s">
        <v>39</v>
      </c>
      <c r="B73" t="s">
        <v>13</v>
      </c>
      <c r="C73" t="s">
        <v>7</v>
      </c>
      <c r="D73" t="s">
        <v>8</v>
      </c>
      <c r="E73">
        <v>1761700</v>
      </c>
      <c r="F73">
        <v>10200</v>
      </c>
      <c r="G73" t="s">
        <v>11</v>
      </c>
      <c r="H73">
        <v>39068200</v>
      </c>
      <c r="I73" t="s">
        <v>13</v>
      </c>
      <c r="J73" t="s">
        <v>13</v>
      </c>
      <c r="K73">
        <v>0.03</v>
      </c>
    </row>
    <row r="75" spans="1:11" x14ac:dyDescent="0.25">
      <c r="A75" t="s">
        <v>54</v>
      </c>
      <c r="B75" t="str">
        <f>"11101"</f>
        <v>11101</v>
      </c>
      <c r="C75" t="str">
        <f>"001"</f>
        <v>001</v>
      </c>
      <c r="D75">
        <v>1999</v>
      </c>
      <c r="E75">
        <v>11003900</v>
      </c>
      <c r="F75">
        <v>8501000</v>
      </c>
      <c r="G75" t="s">
        <v>11</v>
      </c>
      <c r="H75" t="s">
        <v>38</v>
      </c>
      <c r="I75" t="s">
        <v>13</v>
      </c>
      <c r="J75" t="s">
        <v>13</v>
      </c>
    </row>
    <row r="76" spans="1:11" x14ac:dyDescent="0.25">
      <c r="A76" t="s">
        <v>39</v>
      </c>
      <c r="B76" t="s">
        <v>13</v>
      </c>
      <c r="C76" t="s">
        <v>7</v>
      </c>
      <c r="D76" t="s">
        <v>8</v>
      </c>
      <c r="E76">
        <v>11003900</v>
      </c>
      <c r="F76">
        <v>8501000</v>
      </c>
      <c r="G76" t="s">
        <v>11</v>
      </c>
      <c r="H76">
        <v>82994300</v>
      </c>
      <c r="I76" t="s">
        <v>13</v>
      </c>
      <c r="J76" t="s">
        <v>13</v>
      </c>
      <c r="K76">
        <v>10.24</v>
      </c>
    </row>
    <row r="78" spans="1:11" x14ac:dyDescent="0.25">
      <c r="A78" t="s">
        <v>55</v>
      </c>
      <c r="B78" t="str">
        <f>"02201"</f>
        <v>02201</v>
      </c>
      <c r="C78" t="str">
        <f>"006"</f>
        <v>006</v>
      </c>
      <c r="D78">
        <v>1994</v>
      </c>
      <c r="E78">
        <v>18859700</v>
      </c>
      <c r="F78">
        <v>13200100</v>
      </c>
      <c r="G78" t="s">
        <v>11</v>
      </c>
      <c r="H78" t="s">
        <v>38</v>
      </c>
      <c r="I78" t="s">
        <v>13</v>
      </c>
      <c r="J78" t="s">
        <v>13</v>
      </c>
    </row>
    <row r="79" spans="1:11" x14ac:dyDescent="0.25">
      <c r="A79" t="s">
        <v>5</v>
      </c>
      <c r="B79" t="str">
        <f>"02201"</f>
        <v>02201</v>
      </c>
      <c r="C79" t="str">
        <f>"009"</f>
        <v>009</v>
      </c>
      <c r="D79">
        <v>2006</v>
      </c>
      <c r="E79">
        <v>11934300</v>
      </c>
      <c r="F79">
        <v>9574700</v>
      </c>
      <c r="G79" t="s">
        <v>11</v>
      </c>
      <c r="H79" t="s">
        <v>38</v>
      </c>
      <c r="I79" t="s">
        <v>13</v>
      </c>
      <c r="J79" t="s">
        <v>13</v>
      </c>
    </row>
    <row r="80" spans="1:11" x14ac:dyDescent="0.25">
      <c r="A80" t="s">
        <v>5</v>
      </c>
      <c r="B80" t="str">
        <f>"02201"</f>
        <v>02201</v>
      </c>
      <c r="C80" t="str">
        <f>"010"</f>
        <v>010</v>
      </c>
      <c r="D80">
        <v>2017</v>
      </c>
      <c r="E80">
        <v>6782300</v>
      </c>
      <c r="F80">
        <v>4073100</v>
      </c>
      <c r="G80" t="s">
        <v>11</v>
      </c>
      <c r="H80" t="s">
        <v>38</v>
      </c>
      <c r="I80" t="s">
        <v>13</v>
      </c>
      <c r="J80" t="s">
        <v>13</v>
      </c>
    </row>
    <row r="81" spans="1:11" x14ac:dyDescent="0.25">
      <c r="A81" t="s">
        <v>39</v>
      </c>
      <c r="B81" t="s">
        <v>13</v>
      </c>
      <c r="C81" t="s">
        <v>7</v>
      </c>
      <c r="D81" t="s">
        <v>8</v>
      </c>
      <c r="E81">
        <v>37576300</v>
      </c>
      <c r="F81">
        <v>26847900</v>
      </c>
      <c r="G81" t="s">
        <v>11</v>
      </c>
      <c r="H81">
        <v>476018800</v>
      </c>
      <c r="I81" t="s">
        <v>13</v>
      </c>
      <c r="J81" t="s">
        <v>13</v>
      </c>
      <c r="K81">
        <v>5.64</v>
      </c>
    </row>
    <row r="83" spans="1:11" x14ac:dyDescent="0.25">
      <c r="A83" t="s">
        <v>56</v>
      </c>
      <c r="B83" t="str">
        <f>"05104"</f>
        <v>05104</v>
      </c>
      <c r="C83" t="str">
        <f>"003"</f>
        <v>003</v>
      </c>
      <c r="D83">
        <v>2008</v>
      </c>
      <c r="E83">
        <v>526765400</v>
      </c>
      <c r="F83">
        <v>177511500</v>
      </c>
      <c r="G83" t="s">
        <v>11</v>
      </c>
      <c r="H83" t="s">
        <v>38</v>
      </c>
      <c r="I83" t="s">
        <v>13</v>
      </c>
      <c r="J83" t="s">
        <v>13</v>
      </c>
    </row>
    <row r="84" spans="1:11" x14ac:dyDescent="0.25">
      <c r="A84" t="s">
        <v>5</v>
      </c>
      <c r="B84" t="str">
        <f>"05104"</f>
        <v>05104</v>
      </c>
      <c r="C84" t="str">
        <f>"004"</f>
        <v>004</v>
      </c>
      <c r="D84">
        <v>2008</v>
      </c>
      <c r="E84">
        <v>78392100</v>
      </c>
      <c r="F84">
        <v>62404700</v>
      </c>
      <c r="G84" t="s">
        <v>11</v>
      </c>
      <c r="H84" t="s">
        <v>38</v>
      </c>
      <c r="I84" t="s">
        <v>13</v>
      </c>
      <c r="J84" t="s">
        <v>13</v>
      </c>
    </row>
    <row r="85" spans="1:11" x14ac:dyDescent="0.25">
      <c r="A85" t="s">
        <v>5</v>
      </c>
      <c r="B85" t="str">
        <f>"05104"</f>
        <v>05104</v>
      </c>
      <c r="C85" t="str">
        <f>"005"</f>
        <v>005</v>
      </c>
      <c r="D85">
        <v>2014</v>
      </c>
      <c r="E85">
        <v>77429600</v>
      </c>
      <c r="F85">
        <v>15417000</v>
      </c>
      <c r="G85" t="s">
        <v>11</v>
      </c>
      <c r="H85" t="s">
        <v>38</v>
      </c>
      <c r="I85" t="s">
        <v>13</v>
      </c>
      <c r="J85" t="s">
        <v>13</v>
      </c>
    </row>
    <row r="86" spans="1:11" x14ac:dyDescent="0.25">
      <c r="A86" t="s">
        <v>39</v>
      </c>
      <c r="B86" t="s">
        <v>13</v>
      </c>
      <c r="C86" t="s">
        <v>7</v>
      </c>
      <c r="D86" t="s">
        <v>8</v>
      </c>
      <c r="E86">
        <v>682587100</v>
      </c>
      <c r="F86">
        <v>255333200</v>
      </c>
      <c r="G86" t="s">
        <v>11</v>
      </c>
      <c r="H86">
        <v>2586600100</v>
      </c>
      <c r="I86" t="s">
        <v>13</v>
      </c>
      <c r="J86" t="s">
        <v>13</v>
      </c>
      <c r="K86">
        <v>9.8699999999999992</v>
      </c>
    </row>
    <row r="88" spans="1:11" x14ac:dyDescent="0.25">
      <c r="A88" t="s">
        <v>57</v>
      </c>
      <c r="B88" t="str">
        <f>"37102"</f>
        <v>37102</v>
      </c>
      <c r="C88" t="str">
        <f>"001"</f>
        <v>001</v>
      </c>
      <c r="D88">
        <v>1995</v>
      </c>
      <c r="E88">
        <v>4209200</v>
      </c>
      <c r="F88">
        <v>4164700</v>
      </c>
      <c r="G88" t="s">
        <v>11</v>
      </c>
      <c r="H88" t="s">
        <v>38</v>
      </c>
      <c r="I88" t="s">
        <v>13</v>
      </c>
      <c r="J88" t="s">
        <v>13</v>
      </c>
    </row>
    <row r="89" spans="1:11" x14ac:dyDescent="0.25">
      <c r="A89" t="s">
        <v>5</v>
      </c>
      <c r="B89" t="str">
        <f>"37102"</f>
        <v>37102</v>
      </c>
      <c r="C89" t="str">
        <f>"002"</f>
        <v>002</v>
      </c>
      <c r="D89">
        <v>2007</v>
      </c>
      <c r="E89">
        <v>6499000</v>
      </c>
      <c r="F89">
        <v>4609500</v>
      </c>
      <c r="G89" t="s">
        <v>11</v>
      </c>
      <c r="H89" t="s">
        <v>38</v>
      </c>
      <c r="I89" t="s">
        <v>13</v>
      </c>
      <c r="J89" t="s">
        <v>13</v>
      </c>
    </row>
    <row r="90" spans="1:11" x14ac:dyDescent="0.25">
      <c r="A90" t="s">
        <v>39</v>
      </c>
      <c r="B90" t="s">
        <v>13</v>
      </c>
      <c r="C90" t="s">
        <v>7</v>
      </c>
      <c r="D90" t="s">
        <v>8</v>
      </c>
      <c r="E90">
        <v>10708200</v>
      </c>
      <c r="F90">
        <v>8774200</v>
      </c>
      <c r="G90" t="s">
        <v>11</v>
      </c>
      <c r="H90">
        <v>59588000</v>
      </c>
      <c r="I90" t="s">
        <v>13</v>
      </c>
      <c r="J90" t="s">
        <v>13</v>
      </c>
      <c r="K90">
        <v>14.72</v>
      </c>
    </row>
    <row r="92" spans="1:11" x14ac:dyDescent="0.25">
      <c r="A92" t="s">
        <v>58</v>
      </c>
      <c r="B92" t="str">
        <f>"71101"</f>
        <v>71101</v>
      </c>
      <c r="C92" t="str">
        <f>"001"</f>
        <v>001</v>
      </c>
      <c r="D92">
        <v>2006</v>
      </c>
      <c r="E92">
        <v>3775300</v>
      </c>
      <c r="F92">
        <v>1702300</v>
      </c>
      <c r="G92" t="s">
        <v>11</v>
      </c>
      <c r="H92" t="s">
        <v>38</v>
      </c>
      <c r="I92" t="s">
        <v>13</v>
      </c>
      <c r="J92" t="s">
        <v>13</v>
      </c>
    </row>
    <row r="93" spans="1:11" x14ac:dyDescent="0.25">
      <c r="A93" t="s">
        <v>5</v>
      </c>
      <c r="B93" t="str">
        <f>"71101"</f>
        <v>71101</v>
      </c>
      <c r="C93" t="str">
        <f>"002"</f>
        <v>002</v>
      </c>
      <c r="D93">
        <v>2015</v>
      </c>
      <c r="E93">
        <v>2502000</v>
      </c>
      <c r="F93">
        <v>701600</v>
      </c>
      <c r="G93" t="s">
        <v>11</v>
      </c>
      <c r="H93" t="s">
        <v>38</v>
      </c>
      <c r="I93" t="s">
        <v>13</v>
      </c>
      <c r="J93" t="s">
        <v>13</v>
      </c>
    </row>
    <row r="94" spans="1:11" x14ac:dyDescent="0.25">
      <c r="A94" t="s">
        <v>39</v>
      </c>
      <c r="B94" t="s">
        <v>13</v>
      </c>
      <c r="C94" t="s">
        <v>7</v>
      </c>
      <c r="D94" t="s">
        <v>8</v>
      </c>
      <c r="E94">
        <v>6277300</v>
      </c>
      <c r="F94">
        <v>2403900</v>
      </c>
      <c r="G94" t="s">
        <v>11</v>
      </c>
      <c r="H94">
        <v>39444800</v>
      </c>
      <c r="I94" t="s">
        <v>13</v>
      </c>
      <c r="J94" t="s">
        <v>13</v>
      </c>
      <c r="K94">
        <v>6.09</v>
      </c>
    </row>
    <row r="96" spans="1:11" x14ac:dyDescent="0.25">
      <c r="A96" t="s">
        <v>59</v>
      </c>
      <c r="B96" t="str">
        <f>"18202"</f>
        <v>18202</v>
      </c>
      <c r="C96" t="str">
        <f>"004"</f>
        <v>004</v>
      </c>
      <c r="D96">
        <v>2005</v>
      </c>
      <c r="E96">
        <v>20025000</v>
      </c>
      <c r="F96">
        <v>16069300</v>
      </c>
      <c r="G96" t="s">
        <v>11</v>
      </c>
      <c r="H96" t="s">
        <v>38</v>
      </c>
      <c r="I96" t="s">
        <v>13</v>
      </c>
      <c r="J96" t="s">
        <v>13</v>
      </c>
    </row>
    <row r="97" spans="1:11" x14ac:dyDescent="0.25">
      <c r="A97" t="s">
        <v>39</v>
      </c>
      <c r="B97" t="s">
        <v>13</v>
      </c>
      <c r="C97" t="s">
        <v>7</v>
      </c>
      <c r="D97" t="s">
        <v>8</v>
      </c>
      <c r="E97">
        <v>20025000</v>
      </c>
      <c r="F97">
        <v>16069300</v>
      </c>
      <c r="G97" t="s">
        <v>11</v>
      </c>
      <c r="H97">
        <v>94624600</v>
      </c>
      <c r="I97" t="s">
        <v>13</v>
      </c>
      <c r="J97" t="s">
        <v>13</v>
      </c>
      <c r="K97">
        <v>16.98</v>
      </c>
    </row>
    <row r="99" spans="1:11" x14ac:dyDescent="0.25">
      <c r="A99" t="s">
        <v>60</v>
      </c>
      <c r="B99" t="str">
        <f>"25102"</f>
        <v>25102</v>
      </c>
      <c r="C99" t="str">
        <f>"001"</f>
        <v>001</v>
      </c>
      <c r="D99">
        <v>1995</v>
      </c>
      <c r="E99">
        <v>5861800</v>
      </c>
      <c r="F99">
        <v>3693300</v>
      </c>
      <c r="G99" t="s">
        <v>11</v>
      </c>
      <c r="H99" t="s">
        <v>38</v>
      </c>
      <c r="I99" t="s">
        <v>13</v>
      </c>
      <c r="J99" t="s">
        <v>13</v>
      </c>
    </row>
    <row r="100" spans="1:11" x14ac:dyDescent="0.25">
      <c r="A100" t="s">
        <v>39</v>
      </c>
      <c r="B100" t="s">
        <v>13</v>
      </c>
      <c r="C100" t="s">
        <v>7</v>
      </c>
      <c r="D100" t="s">
        <v>8</v>
      </c>
      <c r="E100">
        <v>5861800</v>
      </c>
      <c r="F100">
        <v>3693300</v>
      </c>
      <c r="G100" t="s">
        <v>11</v>
      </c>
      <c r="H100">
        <v>18248000</v>
      </c>
      <c r="I100" t="s">
        <v>13</v>
      </c>
      <c r="J100" t="s">
        <v>13</v>
      </c>
      <c r="K100">
        <v>20.239999999999998</v>
      </c>
    </row>
    <row r="102" spans="1:11" x14ac:dyDescent="0.25">
      <c r="A102" t="s">
        <v>61</v>
      </c>
      <c r="B102" t="str">
        <f>"55106"</f>
        <v>55106</v>
      </c>
      <c r="C102" t="str">
        <f>"005"</f>
        <v>005</v>
      </c>
      <c r="D102">
        <v>1995</v>
      </c>
      <c r="E102">
        <v>3071500</v>
      </c>
      <c r="F102">
        <v>3049000</v>
      </c>
      <c r="G102" t="s">
        <v>11</v>
      </c>
      <c r="H102" t="s">
        <v>38</v>
      </c>
      <c r="I102" t="s">
        <v>13</v>
      </c>
      <c r="J102" t="s">
        <v>13</v>
      </c>
    </row>
    <row r="103" spans="1:11" x14ac:dyDescent="0.25">
      <c r="A103" t="s">
        <v>5</v>
      </c>
      <c r="B103" t="str">
        <f>"55106"</f>
        <v>55106</v>
      </c>
      <c r="C103" t="str">
        <f>"006"</f>
        <v>006</v>
      </c>
      <c r="D103">
        <v>2005</v>
      </c>
      <c r="E103">
        <v>13544700</v>
      </c>
      <c r="F103">
        <v>1320200</v>
      </c>
      <c r="G103" t="s">
        <v>11</v>
      </c>
      <c r="H103" t="s">
        <v>38</v>
      </c>
      <c r="I103" t="s">
        <v>13</v>
      </c>
      <c r="J103" t="s">
        <v>13</v>
      </c>
    </row>
    <row r="104" spans="1:11" x14ac:dyDescent="0.25">
      <c r="A104" t="s">
        <v>5</v>
      </c>
      <c r="B104" t="str">
        <f>"55106"</f>
        <v>55106</v>
      </c>
      <c r="C104" t="str">
        <f>"007"</f>
        <v>007</v>
      </c>
      <c r="D104">
        <v>2007</v>
      </c>
      <c r="E104">
        <v>11410400</v>
      </c>
      <c r="F104">
        <v>6408200</v>
      </c>
      <c r="G104" t="s">
        <v>11</v>
      </c>
      <c r="H104" t="s">
        <v>38</v>
      </c>
      <c r="I104" t="s">
        <v>13</v>
      </c>
      <c r="J104" t="s">
        <v>13</v>
      </c>
    </row>
    <row r="105" spans="1:11" x14ac:dyDescent="0.25">
      <c r="A105" t="s">
        <v>39</v>
      </c>
      <c r="B105" t="s">
        <v>13</v>
      </c>
      <c r="C105" t="s">
        <v>7</v>
      </c>
      <c r="D105" t="s">
        <v>8</v>
      </c>
      <c r="E105">
        <v>28026600</v>
      </c>
      <c r="F105">
        <v>10777400</v>
      </c>
      <c r="G105" t="s">
        <v>11</v>
      </c>
      <c r="H105">
        <v>325497400</v>
      </c>
      <c r="I105" t="s">
        <v>13</v>
      </c>
      <c r="J105" t="s">
        <v>13</v>
      </c>
      <c r="K105">
        <v>3.31</v>
      </c>
    </row>
    <row r="107" spans="1:11" x14ac:dyDescent="0.25">
      <c r="A107" t="s">
        <v>62</v>
      </c>
      <c r="B107" t="str">
        <f>"48106"</f>
        <v>48106</v>
      </c>
      <c r="C107" t="str">
        <f>"002"</f>
        <v>002</v>
      </c>
      <c r="D107">
        <v>1995</v>
      </c>
      <c r="E107">
        <v>3218300</v>
      </c>
      <c r="F107">
        <v>3206500</v>
      </c>
      <c r="G107" t="s">
        <v>11</v>
      </c>
      <c r="H107" t="s">
        <v>38</v>
      </c>
      <c r="I107" t="s">
        <v>13</v>
      </c>
      <c r="J107" t="s">
        <v>13</v>
      </c>
    </row>
    <row r="108" spans="1:11" x14ac:dyDescent="0.25">
      <c r="A108" t="s">
        <v>5</v>
      </c>
      <c r="B108" t="str">
        <f>"48106"</f>
        <v>48106</v>
      </c>
      <c r="C108" t="str">
        <f>"003"</f>
        <v>003</v>
      </c>
      <c r="D108">
        <v>2004</v>
      </c>
      <c r="E108">
        <v>0</v>
      </c>
      <c r="F108">
        <v>-22300</v>
      </c>
      <c r="G108" t="s">
        <v>49</v>
      </c>
      <c r="H108" t="s">
        <v>38</v>
      </c>
      <c r="I108" t="s">
        <v>13</v>
      </c>
      <c r="J108" t="s">
        <v>13</v>
      </c>
    </row>
    <row r="109" spans="1:11" x14ac:dyDescent="0.25">
      <c r="A109" t="s">
        <v>5</v>
      </c>
      <c r="B109" t="str">
        <f>"48106"</f>
        <v>48106</v>
      </c>
      <c r="C109" t="str">
        <f>"005"</f>
        <v>005</v>
      </c>
      <c r="D109">
        <v>2006</v>
      </c>
      <c r="E109">
        <v>8920300</v>
      </c>
      <c r="F109">
        <v>1185200</v>
      </c>
      <c r="G109" t="s">
        <v>11</v>
      </c>
      <c r="H109" t="s">
        <v>38</v>
      </c>
      <c r="I109" t="s">
        <v>13</v>
      </c>
      <c r="J109" t="s">
        <v>13</v>
      </c>
    </row>
    <row r="110" spans="1:11" x14ac:dyDescent="0.25">
      <c r="A110" t="s">
        <v>5</v>
      </c>
      <c r="B110" t="str">
        <f>"48106"</f>
        <v>48106</v>
      </c>
      <c r="C110" t="str">
        <f>"006"</f>
        <v>006</v>
      </c>
      <c r="D110">
        <v>2013</v>
      </c>
      <c r="E110">
        <v>9515500</v>
      </c>
      <c r="F110">
        <v>1721900</v>
      </c>
      <c r="G110" t="s">
        <v>11</v>
      </c>
      <c r="H110" t="s">
        <v>38</v>
      </c>
      <c r="I110" t="s">
        <v>13</v>
      </c>
      <c r="J110" t="s">
        <v>13</v>
      </c>
    </row>
    <row r="111" spans="1:11" x14ac:dyDescent="0.25">
      <c r="A111" t="s">
        <v>39</v>
      </c>
      <c r="B111" t="s">
        <v>13</v>
      </c>
      <c r="C111" t="s">
        <v>7</v>
      </c>
      <c r="D111" t="s">
        <v>8</v>
      </c>
      <c r="E111">
        <v>21654100</v>
      </c>
      <c r="F111">
        <v>6113600</v>
      </c>
      <c r="G111" t="s">
        <v>11</v>
      </c>
      <c r="H111">
        <v>150982100</v>
      </c>
      <c r="I111" t="s">
        <v>13</v>
      </c>
      <c r="J111" t="s">
        <v>13</v>
      </c>
      <c r="K111">
        <v>4.05</v>
      </c>
    </row>
    <row r="113" spans="1:11" x14ac:dyDescent="0.25">
      <c r="A113" t="s">
        <v>63</v>
      </c>
      <c r="B113" t="str">
        <f>"32106"</f>
        <v>32106</v>
      </c>
      <c r="C113" t="str">
        <f>"001"</f>
        <v>001</v>
      </c>
      <c r="D113">
        <v>2008</v>
      </c>
      <c r="E113">
        <v>368400</v>
      </c>
      <c r="F113">
        <v>-116400</v>
      </c>
      <c r="G113" t="s">
        <v>49</v>
      </c>
      <c r="H113" t="s">
        <v>38</v>
      </c>
      <c r="I113" t="s">
        <v>13</v>
      </c>
      <c r="J113" t="s">
        <v>13</v>
      </c>
    </row>
    <row r="114" spans="1:11" x14ac:dyDescent="0.25">
      <c r="A114" t="s">
        <v>5</v>
      </c>
      <c r="B114" t="str">
        <f>"32106"</f>
        <v>32106</v>
      </c>
      <c r="C114" t="str">
        <f>"002"</f>
        <v>002</v>
      </c>
      <c r="D114">
        <v>2015</v>
      </c>
      <c r="E114">
        <v>2308800</v>
      </c>
      <c r="F114">
        <v>1688300</v>
      </c>
      <c r="G114" t="s">
        <v>11</v>
      </c>
      <c r="H114" t="s">
        <v>38</v>
      </c>
      <c r="I114" t="s">
        <v>13</v>
      </c>
      <c r="J114" t="s">
        <v>13</v>
      </c>
    </row>
    <row r="115" spans="1:11" x14ac:dyDescent="0.25">
      <c r="A115" t="s">
        <v>39</v>
      </c>
      <c r="B115" t="s">
        <v>13</v>
      </c>
      <c r="C115" t="s">
        <v>7</v>
      </c>
      <c r="D115" t="s">
        <v>8</v>
      </c>
      <c r="E115">
        <v>2677200</v>
      </c>
      <c r="F115">
        <v>1688300</v>
      </c>
      <c r="G115" t="s">
        <v>11</v>
      </c>
      <c r="H115">
        <v>88361800</v>
      </c>
      <c r="I115" t="s">
        <v>13</v>
      </c>
      <c r="J115" t="s">
        <v>13</v>
      </c>
      <c r="K115">
        <v>1.91</v>
      </c>
    </row>
    <row r="117" spans="1:11" x14ac:dyDescent="0.25">
      <c r="A117" t="s">
        <v>64</v>
      </c>
      <c r="B117" t="str">
        <f>"56206"</f>
        <v>56206</v>
      </c>
      <c r="C117" t="str">
        <f>"006"</f>
        <v>006</v>
      </c>
      <c r="D117">
        <v>1999</v>
      </c>
      <c r="E117">
        <v>37854800</v>
      </c>
      <c r="F117">
        <v>29696800</v>
      </c>
      <c r="G117" t="s">
        <v>11</v>
      </c>
      <c r="H117" t="s">
        <v>38</v>
      </c>
      <c r="I117" t="s">
        <v>13</v>
      </c>
      <c r="J117" t="s">
        <v>13</v>
      </c>
    </row>
    <row r="118" spans="1:11" x14ac:dyDescent="0.25">
      <c r="A118" t="s">
        <v>5</v>
      </c>
      <c r="B118" t="str">
        <f>"56206"</f>
        <v>56206</v>
      </c>
      <c r="C118" t="str">
        <f>"007"</f>
        <v>007</v>
      </c>
      <c r="D118">
        <v>2006</v>
      </c>
      <c r="E118">
        <v>9005100</v>
      </c>
      <c r="F118">
        <v>8756800</v>
      </c>
      <c r="G118" t="s">
        <v>11</v>
      </c>
      <c r="H118" t="s">
        <v>38</v>
      </c>
      <c r="I118" t="s">
        <v>13</v>
      </c>
      <c r="J118" t="s">
        <v>13</v>
      </c>
    </row>
    <row r="119" spans="1:11" x14ac:dyDescent="0.25">
      <c r="A119" t="s">
        <v>5</v>
      </c>
      <c r="B119" t="str">
        <f>"56206"</f>
        <v>56206</v>
      </c>
      <c r="C119" t="str">
        <f>"008"</f>
        <v>008</v>
      </c>
      <c r="D119">
        <v>2006</v>
      </c>
      <c r="E119">
        <v>19273700</v>
      </c>
      <c r="F119">
        <v>1757100</v>
      </c>
      <c r="G119" t="s">
        <v>11</v>
      </c>
      <c r="H119" t="s">
        <v>38</v>
      </c>
      <c r="I119" t="s">
        <v>13</v>
      </c>
      <c r="J119" t="s">
        <v>13</v>
      </c>
    </row>
    <row r="120" spans="1:11" x14ac:dyDescent="0.25">
      <c r="A120" t="s">
        <v>5</v>
      </c>
      <c r="B120" t="str">
        <f>"56206"</f>
        <v>56206</v>
      </c>
      <c r="C120" t="str">
        <f>"009"</f>
        <v>009</v>
      </c>
      <c r="D120">
        <v>2008</v>
      </c>
      <c r="E120">
        <v>0</v>
      </c>
      <c r="F120">
        <v>-344100</v>
      </c>
      <c r="G120" t="s">
        <v>49</v>
      </c>
      <c r="H120" t="s">
        <v>38</v>
      </c>
      <c r="I120" t="s">
        <v>13</v>
      </c>
      <c r="J120" t="s">
        <v>13</v>
      </c>
    </row>
    <row r="121" spans="1:11" x14ac:dyDescent="0.25">
      <c r="A121" t="s">
        <v>39</v>
      </c>
      <c r="B121" t="s">
        <v>13</v>
      </c>
      <c r="C121" t="s">
        <v>7</v>
      </c>
      <c r="D121" t="s">
        <v>8</v>
      </c>
      <c r="E121">
        <v>66133600</v>
      </c>
      <c r="F121">
        <v>40210700</v>
      </c>
      <c r="G121" t="s">
        <v>11</v>
      </c>
      <c r="H121">
        <v>865524100</v>
      </c>
      <c r="I121" t="s">
        <v>13</v>
      </c>
      <c r="J121" t="s">
        <v>13</v>
      </c>
      <c r="K121">
        <v>4.6500000000000004</v>
      </c>
    </row>
    <row r="123" spans="1:11" x14ac:dyDescent="0.25">
      <c r="A123" t="s">
        <v>65</v>
      </c>
      <c r="B123" t="str">
        <f>"25106"</f>
        <v>25106</v>
      </c>
      <c r="C123" t="str">
        <f>"001"</f>
        <v>001</v>
      </c>
      <c r="D123">
        <v>2002</v>
      </c>
      <c r="E123">
        <v>9567200</v>
      </c>
      <c r="F123">
        <v>7834900</v>
      </c>
      <c r="G123" t="s">
        <v>11</v>
      </c>
      <c r="H123" t="s">
        <v>38</v>
      </c>
      <c r="I123" t="s">
        <v>13</v>
      </c>
      <c r="J123" t="s">
        <v>13</v>
      </c>
    </row>
    <row r="124" spans="1:11" x14ac:dyDescent="0.25">
      <c r="A124" t="s">
        <v>5</v>
      </c>
      <c r="B124" t="str">
        <f>"25106"</f>
        <v>25106</v>
      </c>
      <c r="C124" t="str">
        <f>"002"</f>
        <v>002</v>
      </c>
      <c r="D124">
        <v>2015</v>
      </c>
      <c r="E124">
        <v>37255800</v>
      </c>
      <c r="F124">
        <v>37023800</v>
      </c>
      <c r="G124" t="s">
        <v>11</v>
      </c>
      <c r="H124" t="s">
        <v>38</v>
      </c>
      <c r="I124" t="s">
        <v>13</v>
      </c>
      <c r="J124" t="s">
        <v>13</v>
      </c>
    </row>
    <row r="125" spans="1:11" x14ac:dyDescent="0.25">
      <c r="A125" t="s">
        <v>39</v>
      </c>
      <c r="B125" t="s">
        <v>13</v>
      </c>
      <c r="C125" t="s">
        <v>7</v>
      </c>
      <c r="D125" t="s">
        <v>8</v>
      </c>
      <c r="E125">
        <v>46823000</v>
      </c>
      <c r="F125">
        <v>44858700</v>
      </c>
      <c r="G125" t="s">
        <v>11</v>
      </c>
      <c r="H125">
        <v>147073100</v>
      </c>
      <c r="I125" t="s">
        <v>13</v>
      </c>
      <c r="J125" t="s">
        <v>13</v>
      </c>
      <c r="K125">
        <v>30.5</v>
      </c>
    </row>
    <row r="127" spans="1:11" x14ac:dyDescent="0.25">
      <c r="A127" t="s">
        <v>66</v>
      </c>
      <c r="B127" t="str">
        <f>"03206"</f>
        <v>03206</v>
      </c>
      <c r="C127" t="str">
        <f>"002"</f>
        <v>002</v>
      </c>
      <c r="D127">
        <v>2000</v>
      </c>
      <c r="E127">
        <v>3385900</v>
      </c>
      <c r="F127">
        <v>1394500</v>
      </c>
      <c r="G127" t="s">
        <v>11</v>
      </c>
      <c r="H127" t="s">
        <v>38</v>
      </c>
      <c r="I127" t="s">
        <v>13</v>
      </c>
      <c r="J127" t="s">
        <v>13</v>
      </c>
    </row>
    <row r="128" spans="1:11" x14ac:dyDescent="0.25">
      <c r="A128" t="s">
        <v>5</v>
      </c>
      <c r="B128" t="str">
        <f>"03206"</f>
        <v>03206</v>
      </c>
      <c r="C128" t="str">
        <f>"003"</f>
        <v>003</v>
      </c>
      <c r="D128">
        <v>2005</v>
      </c>
      <c r="E128">
        <v>10988300</v>
      </c>
      <c r="F128">
        <v>1162900</v>
      </c>
      <c r="G128" t="s">
        <v>11</v>
      </c>
      <c r="H128" t="s">
        <v>38</v>
      </c>
      <c r="I128" t="s">
        <v>13</v>
      </c>
      <c r="J128" t="s">
        <v>13</v>
      </c>
    </row>
    <row r="129" spans="1:11" x14ac:dyDescent="0.25">
      <c r="A129" t="s">
        <v>5</v>
      </c>
      <c r="B129" t="str">
        <f>"03206"</f>
        <v>03206</v>
      </c>
      <c r="C129" t="str">
        <f>"004"</f>
        <v>004</v>
      </c>
      <c r="D129">
        <v>2007</v>
      </c>
      <c r="E129">
        <v>14236600</v>
      </c>
      <c r="F129">
        <v>1709400</v>
      </c>
      <c r="G129" t="s">
        <v>11</v>
      </c>
      <c r="H129" t="s">
        <v>38</v>
      </c>
      <c r="I129" t="s">
        <v>13</v>
      </c>
      <c r="J129" t="s">
        <v>13</v>
      </c>
    </row>
    <row r="130" spans="1:11" x14ac:dyDescent="0.25">
      <c r="A130" t="s">
        <v>5</v>
      </c>
      <c r="B130" t="str">
        <f>"03206"</f>
        <v>03206</v>
      </c>
      <c r="C130" t="str">
        <f>"005"</f>
        <v>005</v>
      </c>
      <c r="D130">
        <v>2010</v>
      </c>
      <c r="E130">
        <v>6623000</v>
      </c>
      <c r="F130">
        <v>926800</v>
      </c>
      <c r="G130" t="s">
        <v>11</v>
      </c>
      <c r="H130" t="s">
        <v>38</v>
      </c>
      <c r="I130" t="s">
        <v>13</v>
      </c>
      <c r="J130" t="s">
        <v>13</v>
      </c>
    </row>
    <row r="131" spans="1:11" x14ac:dyDescent="0.25">
      <c r="A131" t="s">
        <v>5</v>
      </c>
      <c r="B131" t="str">
        <f>"03206"</f>
        <v>03206</v>
      </c>
      <c r="C131" t="str">
        <f>"006"</f>
        <v>006</v>
      </c>
      <c r="D131">
        <v>2015</v>
      </c>
      <c r="E131">
        <v>6840400</v>
      </c>
      <c r="F131">
        <v>2037100</v>
      </c>
      <c r="G131" t="s">
        <v>11</v>
      </c>
      <c r="H131" t="s">
        <v>38</v>
      </c>
      <c r="I131" t="s">
        <v>13</v>
      </c>
      <c r="J131" t="s">
        <v>13</v>
      </c>
    </row>
    <row r="132" spans="1:11" x14ac:dyDescent="0.25">
      <c r="A132" t="s">
        <v>39</v>
      </c>
      <c r="B132" t="s">
        <v>13</v>
      </c>
      <c r="C132" t="s">
        <v>7</v>
      </c>
      <c r="D132" t="s">
        <v>8</v>
      </c>
      <c r="E132">
        <v>42074200</v>
      </c>
      <c r="F132">
        <v>7230700</v>
      </c>
      <c r="G132" t="s">
        <v>11</v>
      </c>
      <c r="H132">
        <v>139456600</v>
      </c>
      <c r="I132" t="s">
        <v>13</v>
      </c>
      <c r="J132" t="s">
        <v>13</v>
      </c>
      <c r="K132">
        <v>5.18</v>
      </c>
    </row>
    <row r="134" spans="1:11" x14ac:dyDescent="0.25">
      <c r="A134" t="s">
        <v>67</v>
      </c>
      <c r="B134" t="str">
        <f>"14206"</f>
        <v>14206</v>
      </c>
      <c r="C134" t="str">
        <f>"004"</f>
        <v>004</v>
      </c>
      <c r="D134">
        <v>1994</v>
      </c>
      <c r="E134">
        <v>80922600</v>
      </c>
      <c r="F134">
        <v>70857500</v>
      </c>
      <c r="G134" t="s">
        <v>11</v>
      </c>
      <c r="H134" t="s">
        <v>38</v>
      </c>
      <c r="I134" t="s">
        <v>13</v>
      </c>
      <c r="J134" t="s">
        <v>13</v>
      </c>
    </row>
    <row r="135" spans="1:11" x14ac:dyDescent="0.25">
      <c r="A135" t="s">
        <v>5</v>
      </c>
      <c r="B135" t="str">
        <f>"14206"</f>
        <v>14206</v>
      </c>
      <c r="C135" t="str">
        <f>"006"</f>
        <v>006</v>
      </c>
      <c r="D135">
        <v>2009</v>
      </c>
      <c r="E135">
        <v>7027800</v>
      </c>
      <c r="F135">
        <v>6195100</v>
      </c>
      <c r="G135" t="s">
        <v>11</v>
      </c>
      <c r="H135" t="s">
        <v>38</v>
      </c>
      <c r="I135" t="s">
        <v>13</v>
      </c>
      <c r="J135" t="s">
        <v>13</v>
      </c>
    </row>
    <row r="136" spans="1:11" x14ac:dyDescent="0.25">
      <c r="A136" t="s">
        <v>5</v>
      </c>
      <c r="B136" t="str">
        <f>"14206"</f>
        <v>14206</v>
      </c>
      <c r="C136" t="str">
        <f>"007"</f>
        <v>007</v>
      </c>
      <c r="D136">
        <v>2016</v>
      </c>
      <c r="E136">
        <v>21978000</v>
      </c>
      <c r="F136">
        <v>21978000</v>
      </c>
      <c r="G136" t="s">
        <v>11</v>
      </c>
      <c r="H136" t="s">
        <v>38</v>
      </c>
      <c r="I136" t="s">
        <v>13</v>
      </c>
      <c r="J136" t="s">
        <v>13</v>
      </c>
    </row>
    <row r="137" spans="1:11" x14ac:dyDescent="0.25">
      <c r="A137" t="s">
        <v>5</v>
      </c>
      <c r="B137" t="str">
        <f>"14206"</f>
        <v>14206</v>
      </c>
      <c r="C137" t="str">
        <f>"008"</f>
        <v>008</v>
      </c>
      <c r="D137">
        <v>2018</v>
      </c>
      <c r="E137">
        <v>6999100</v>
      </c>
      <c r="F137">
        <v>-192900</v>
      </c>
      <c r="G137" t="s">
        <v>49</v>
      </c>
      <c r="H137" t="s">
        <v>38</v>
      </c>
      <c r="I137" t="s">
        <v>13</v>
      </c>
      <c r="J137" t="s">
        <v>13</v>
      </c>
    </row>
    <row r="138" spans="1:11" x14ac:dyDescent="0.25">
      <c r="A138" t="s">
        <v>39</v>
      </c>
      <c r="B138" t="s">
        <v>13</v>
      </c>
      <c r="C138" t="s">
        <v>7</v>
      </c>
      <c r="D138" t="s">
        <v>8</v>
      </c>
      <c r="E138">
        <v>116927500</v>
      </c>
      <c r="F138">
        <v>99030600</v>
      </c>
      <c r="G138" t="s">
        <v>11</v>
      </c>
      <c r="H138">
        <v>1233748100</v>
      </c>
      <c r="I138" t="s">
        <v>13</v>
      </c>
      <c r="J138" t="s">
        <v>13</v>
      </c>
      <c r="K138">
        <v>8.0299999999999994</v>
      </c>
    </row>
    <row r="140" spans="1:11" x14ac:dyDescent="0.25">
      <c r="A140" t="s">
        <v>68</v>
      </c>
      <c r="B140" t="str">
        <f>"45106"</f>
        <v>45106</v>
      </c>
      <c r="C140" t="str">
        <f>"004"</f>
        <v>004</v>
      </c>
      <c r="D140">
        <v>1995</v>
      </c>
      <c r="E140">
        <v>44455800</v>
      </c>
      <c r="F140">
        <v>44030900</v>
      </c>
      <c r="G140" t="s">
        <v>11</v>
      </c>
      <c r="H140" t="s">
        <v>38</v>
      </c>
      <c r="I140" t="s">
        <v>13</v>
      </c>
      <c r="J140" t="s">
        <v>13</v>
      </c>
    </row>
    <row r="141" spans="1:11" x14ac:dyDescent="0.25">
      <c r="A141" t="s">
        <v>39</v>
      </c>
      <c r="B141" t="s">
        <v>13</v>
      </c>
      <c r="C141" t="s">
        <v>7</v>
      </c>
      <c r="D141" t="s">
        <v>8</v>
      </c>
      <c r="E141">
        <v>44455800</v>
      </c>
      <c r="F141">
        <v>44030900</v>
      </c>
      <c r="G141" t="s">
        <v>11</v>
      </c>
      <c r="H141">
        <v>206892400</v>
      </c>
      <c r="I141" t="s">
        <v>13</v>
      </c>
      <c r="J141" t="s">
        <v>13</v>
      </c>
      <c r="K141">
        <v>21.28</v>
      </c>
    </row>
    <row r="143" spans="1:11" x14ac:dyDescent="0.25">
      <c r="A143" t="s">
        <v>69</v>
      </c>
      <c r="B143" t="str">
        <f>"13106"</f>
        <v>13106</v>
      </c>
      <c r="C143" t="str">
        <f>"003"</f>
        <v>003</v>
      </c>
      <c r="D143">
        <v>2009</v>
      </c>
      <c r="E143">
        <v>5120200</v>
      </c>
      <c r="F143">
        <v>4957800</v>
      </c>
      <c r="G143" t="s">
        <v>11</v>
      </c>
      <c r="H143" t="s">
        <v>38</v>
      </c>
      <c r="I143" t="s">
        <v>13</v>
      </c>
      <c r="J143" t="s">
        <v>13</v>
      </c>
    </row>
    <row r="144" spans="1:11" x14ac:dyDescent="0.25">
      <c r="A144" t="s">
        <v>5</v>
      </c>
      <c r="B144" t="str">
        <f>"13106"</f>
        <v>13106</v>
      </c>
      <c r="C144" t="str">
        <f>"004"</f>
        <v>004</v>
      </c>
      <c r="D144">
        <v>2009</v>
      </c>
      <c r="E144">
        <v>1741900</v>
      </c>
      <c r="F144">
        <v>-589700</v>
      </c>
      <c r="G144" t="s">
        <v>49</v>
      </c>
      <c r="H144" t="s">
        <v>38</v>
      </c>
      <c r="I144" t="s">
        <v>13</v>
      </c>
      <c r="J144" t="s">
        <v>13</v>
      </c>
    </row>
    <row r="145" spans="1:11" x14ac:dyDescent="0.25">
      <c r="A145" t="s">
        <v>5</v>
      </c>
      <c r="B145" t="str">
        <f>"13106"</f>
        <v>13106</v>
      </c>
      <c r="C145" t="str">
        <f>"005"</f>
        <v>005</v>
      </c>
      <c r="D145">
        <v>2009</v>
      </c>
      <c r="E145">
        <v>6157900</v>
      </c>
      <c r="F145">
        <v>-832300</v>
      </c>
      <c r="G145" t="s">
        <v>49</v>
      </c>
      <c r="H145" t="s">
        <v>38</v>
      </c>
      <c r="I145" t="s">
        <v>13</v>
      </c>
      <c r="J145" t="s">
        <v>13</v>
      </c>
    </row>
    <row r="146" spans="1:11" x14ac:dyDescent="0.25">
      <c r="A146" t="s">
        <v>5</v>
      </c>
      <c r="B146" t="str">
        <f>"23106"</f>
        <v>23106</v>
      </c>
      <c r="C146" t="str">
        <f>"005"</f>
        <v>005</v>
      </c>
      <c r="D146">
        <v>2009</v>
      </c>
      <c r="E146">
        <v>374000</v>
      </c>
      <c r="F146">
        <v>5200</v>
      </c>
      <c r="G146" t="s">
        <v>11</v>
      </c>
      <c r="H146" t="s">
        <v>38</v>
      </c>
      <c r="I146" t="s">
        <v>13</v>
      </c>
      <c r="J146" t="s">
        <v>13</v>
      </c>
    </row>
    <row r="147" spans="1:11" x14ac:dyDescent="0.25">
      <c r="A147" t="s">
        <v>39</v>
      </c>
      <c r="B147" t="s">
        <v>13</v>
      </c>
      <c r="C147" t="s">
        <v>7</v>
      </c>
      <c r="D147" t="s">
        <v>8</v>
      </c>
      <c r="E147">
        <v>13394000</v>
      </c>
      <c r="F147">
        <v>4963000</v>
      </c>
      <c r="G147" t="s">
        <v>11</v>
      </c>
      <c r="H147">
        <v>234814700</v>
      </c>
      <c r="I147" t="s">
        <v>13</v>
      </c>
      <c r="J147" t="s">
        <v>13</v>
      </c>
      <c r="K147">
        <v>2.11</v>
      </c>
    </row>
    <row r="149" spans="1:11" x14ac:dyDescent="0.25">
      <c r="A149" t="s">
        <v>70</v>
      </c>
      <c r="B149" t="str">
        <f>"05106"</f>
        <v>05106</v>
      </c>
      <c r="C149" t="str">
        <f>"001"</f>
        <v>001</v>
      </c>
      <c r="D149">
        <v>2013</v>
      </c>
      <c r="E149">
        <v>33790200</v>
      </c>
      <c r="F149">
        <v>26591500</v>
      </c>
      <c r="G149" t="s">
        <v>11</v>
      </c>
      <c r="H149" t="s">
        <v>38</v>
      </c>
      <c r="I149" t="s">
        <v>13</v>
      </c>
      <c r="J149" t="s">
        <v>13</v>
      </c>
    </row>
    <row r="150" spans="1:11" x14ac:dyDescent="0.25">
      <c r="A150" t="s">
        <v>5</v>
      </c>
      <c r="B150" t="str">
        <f>"05106"</f>
        <v>05106</v>
      </c>
      <c r="C150" t="str">
        <f>"002"</f>
        <v>002</v>
      </c>
      <c r="D150">
        <v>2016</v>
      </c>
      <c r="E150">
        <v>9173400</v>
      </c>
      <c r="F150">
        <v>6782300</v>
      </c>
      <c r="G150" t="s">
        <v>11</v>
      </c>
      <c r="H150" t="s">
        <v>38</v>
      </c>
      <c r="I150" t="s">
        <v>13</v>
      </c>
      <c r="J150" t="s">
        <v>13</v>
      </c>
    </row>
    <row r="151" spans="1:11" x14ac:dyDescent="0.25">
      <c r="A151" t="s">
        <v>39</v>
      </c>
      <c r="B151" t="s">
        <v>13</v>
      </c>
      <c r="C151" t="s">
        <v>7</v>
      </c>
      <c r="D151" t="s">
        <v>8</v>
      </c>
      <c r="E151">
        <v>42963600</v>
      </c>
      <c r="F151">
        <v>33373800</v>
      </c>
      <c r="G151" t="s">
        <v>11</v>
      </c>
      <c r="H151">
        <v>1428502400</v>
      </c>
      <c r="I151" t="s">
        <v>13</v>
      </c>
      <c r="J151" t="s">
        <v>13</v>
      </c>
      <c r="K151">
        <v>2.34</v>
      </c>
    </row>
    <row r="153" spans="1:11" x14ac:dyDescent="0.25">
      <c r="A153" t="s">
        <v>71</v>
      </c>
      <c r="B153" t="str">
        <f>"33106"</f>
        <v>33106</v>
      </c>
      <c r="C153" t="str">
        <f>"001"</f>
        <v>001</v>
      </c>
      <c r="D153">
        <v>2004</v>
      </c>
      <c r="E153">
        <v>7078900</v>
      </c>
      <c r="F153">
        <v>7022900</v>
      </c>
      <c r="G153" t="s">
        <v>11</v>
      </c>
      <c r="H153" t="s">
        <v>38</v>
      </c>
      <c r="I153" t="s">
        <v>13</v>
      </c>
      <c r="J153" t="s">
        <v>13</v>
      </c>
    </row>
    <row r="154" spans="1:11" x14ac:dyDescent="0.25">
      <c r="A154" t="s">
        <v>39</v>
      </c>
      <c r="B154" t="s">
        <v>13</v>
      </c>
      <c r="C154" t="s">
        <v>7</v>
      </c>
      <c r="D154" t="s">
        <v>8</v>
      </c>
      <c r="E154">
        <v>7078900</v>
      </c>
      <c r="F154">
        <v>7022900</v>
      </c>
      <c r="G154" t="s">
        <v>11</v>
      </c>
      <c r="H154">
        <v>76744800</v>
      </c>
      <c r="I154" t="s">
        <v>13</v>
      </c>
      <c r="J154" t="s">
        <v>13</v>
      </c>
      <c r="K154">
        <v>9.15</v>
      </c>
    </row>
    <row r="156" spans="1:11" x14ac:dyDescent="0.25">
      <c r="A156" t="s">
        <v>72</v>
      </c>
      <c r="B156" t="str">
        <f t="shared" ref="B156:B162" si="0">"53206"</f>
        <v>53206</v>
      </c>
      <c r="C156" t="str">
        <f>"008"</f>
        <v>008</v>
      </c>
      <c r="D156">
        <v>1995</v>
      </c>
      <c r="E156">
        <v>16348900</v>
      </c>
      <c r="F156">
        <v>14702600</v>
      </c>
      <c r="G156" t="s">
        <v>11</v>
      </c>
      <c r="H156" t="s">
        <v>38</v>
      </c>
      <c r="I156" t="s">
        <v>13</v>
      </c>
      <c r="J156" t="s">
        <v>13</v>
      </c>
    </row>
    <row r="157" spans="1:11" x14ac:dyDescent="0.25">
      <c r="A157" t="s">
        <v>5</v>
      </c>
      <c r="B157" t="str">
        <f t="shared" si="0"/>
        <v>53206</v>
      </c>
      <c r="C157" t="str">
        <f>"009"</f>
        <v>009</v>
      </c>
      <c r="D157">
        <v>1998</v>
      </c>
      <c r="E157">
        <v>9695400</v>
      </c>
      <c r="F157">
        <v>6029100</v>
      </c>
      <c r="G157" t="s">
        <v>11</v>
      </c>
      <c r="H157" t="s">
        <v>38</v>
      </c>
      <c r="I157" t="s">
        <v>13</v>
      </c>
      <c r="J157" t="s">
        <v>13</v>
      </c>
    </row>
    <row r="158" spans="1:11" x14ac:dyDescent="0.25">
      <c r="A158" t="s">
        <v>5</v>
      </c>
      <c r="B158" t="str">
        <f t="shared" si="0"/>
        <v>53206</v>
      </c>
      <c r="C158" t="str">
        <f>"010"</f>
        <v>010</v>
      </c>
      <c r="D158">
        <v>2001</v>
      </c>
      <c r="E158">
        <v>167431900</v>
      </c>
      <c r="F158">
        <v>165668500</v>
      </c>
      <c r="G158" t="s">
        <v>11</v>
      </c>
      <c r="H158" t="s">
        <v>38</v>
      </c>
      <c r="I158" t="s">
        <v>13</v>
      </c>
      <c r="J158" t="s">
        <v>13</v>
      </c>
    </row>
    <row r="159" spans="1:11" x14ac:dyDescent="0.25">
      <c r="A159" t="s">
        <v>5</v>
      </c>
      <c r="B159" t="str">
        <f t="shared" si="0"/>
        <v>53206</v>
      </c>
      <c r="C159" t="str">
        <f>"011"</f>
        <v>011</v>
      </c>
      <c r="D159">
        <v>2002</v>
      </c>
      <c r="E159">
        <v>9484600</v>
      </c>
      <c r="F159">
        <v>7521400</v>
      </c>
      <c r="G159" t="s">
        <v>11</v>
      </c>
      <c r="H159" t="s">
        <v>38</v>
      </c>
      <c r="I159" t="s">
        <v>13</v>
      </c>
      <c r="J159" t="s">
        <v>13</v>
      </c>
    </row>
    <row r="160" spans="1:11" x14ac:dyDescent="0.25">
      <c r="A160" t="s">
        <v>5</v>
      </c>
      <c r="B160" t="str">
        <f t="shared" si="0"/>
        <v>53206</v>
      </c>
      <c r="C160" t="str">
        <f>"012"</f>
        <v>012</v>
      </c>
      <c r="D160">
        <v>2003</v>
      </c>
      <c r="E160">
        <v>2154300</v>
      </c>
      <c r="F160">
        <v>1359000</v>
      </c>
      <c r="G160" t="s">
        <v>11</v>
      </c>
      <c r="H160" t="s">
        <v>38</v>
      </c>
      <c r="I160" t="s">
        <v>13</v>
      </c>
      <c r="J160" t="s">
        <v>13</v>
      </c>
    </row>
    <row r="161" spans="1:11" x14ac:dyDescent="0.25">
      <c r="A161" t="s">
        <v>5</v>
      </c>
      <c r="B161" t="str">
        <f t="shared" si="0"/>
        <v>53206</v>
      </c>
      <c r="C161" t="str">
        <f>"013"</f>
        <v>013</v>
      </c>
      <c r="D161">
        <v>2005</v>
      </c>
      <c r="E161">
        <v>51977300</v>
      </c>
      <c r="F161">
        <v>28122800</v>
      </c>
      <c r="G161" t="s">
        <v>11</v>
      </c>
      <c r="H161" t="s">
        <v>38</v>
      </c>
      <c r="I161" t="s">
        <v>13</v>
      </c>
      <c r="J161" t="s">
        <v>13</v>
      </c>
    </row>
    <row r="162" spans="1:11" x14ac:dyDescent="0.25">
      <c r="A162" t="s">
        <v>5</v>
      </c>
      <c r="B162" t="str">
        <f t="shared" si="0"/>
        <v>53206</v>
      </c>
      <c r="C162" t="str">
        <f>"014"</f>
        <v>014</v>
      </c>
      <c r="D162">
        <v>2007</v>
      </c>
      <c r="E162">
        <v>13420800</v>
      </c>
      <c r="F162">
        <v>2910100</v>
      </c>
      <c r="G162" t="s">
        <v>11</v>
      </c>
      <c r="H162" t="s">
        <v>38</v>
      </c>
      <c r="I162" t="s">
        <v>13</v>
      </c>
      <c r="J162" t="s">
        <v>13</v>
      </c>
    </row>
    <row r="163" spans="1:11" x14ac:dyDescent="0.25">
      <c r="A163" t="s">
        <v>39</v>
      </c>
      <c r="B163" t="s">
        <v>13</v>
      </c>
      <c r="C163" t="s">
        <v>7</v>
      </c>
      <c r="D163" t="s">
        <v>8</v>
      </c>
      <c r="E163">
        <v>270513200</v>
      </c>
      <c r="F163">
        <v>226313500</v>
      </c>
      <c r="G163" t="s">
        <v>11</v>
      </c>
      <c r="H163">
        <v>1785854900</v>
      </c>
      <c r="I163" t="s">
        <v>13</v>
      </c>
      <c r="J163" t="s">
        <v>13</v>
      </c>
      <c r="K163">
        <v>12.67</v>
      </c>
    </row>
    <row r="165" spans="1:11" x14ac:dyDescent="0.25">
      <c r="A165" t="s">
        <v>73</v>
      </c>
      <c r="B165" t="str">
        <f>"24206"</f>
        <v>24206</v>
      </c>
      <c r="C165" t="str">
        <f>"009"</f>
        <v>009</v>
      </c>
      <c r="D165">
        <v>1991</v>
      </c>
      <c r="E165">
        <v>685000</v>
      </c>
      <c r="F165">
        <v>555700</v>
      </c>
      <c r="G165" t="s">
        <v>11</v>
      </c>
      <c r="H165" t="s">
        <v>38</v>
      </c>
      <c r="I165" t="s">
        <v>13</v>
      </c>
      <c r="J165" t="s">
        <v>13</v>
      </c>
    </row>
    <row r="166" spans="1:11" x14ac:dyDescent="0.25">
      <c r="A166" t="s">
        <v>5</v>
      </c>
      <c r="B166" t="str">
        <f>"69206"</f>
        <v>69206</v>
      </c>
      <c r="C166" t="str">
        <f>"010"</f>
        <v>010</v>
      </c>
      <c r="D166">
        <v>1993</v>
      </c>
      <c r="E166">
        <v>9109200</v>
      </c>
      <c r="F166">
        <v>9059900</v>
      </c>
      <c r="G166" t="s">
        <v>11</v>
      </c>
      <c r="H166" t="s">
        <v>38</v>
      </c>
      <c r="I166" t="s">
        <v>13</v>
      </c>
      <c r="J166" t="s">
        <v>13</v>
      </c>
    </row>
    <row r="167" spans="1:11" x14ac:dyDescent="0.25">
      <c r="A167" t="s">
        <v>5</v>
      </c>
      <c r="B167" t="str">
        <f>"24206"</f>
        <v>24206</v>
      </c>
      <c r="C167" t="str">
        <f>"014"</f>
        <v>014</v>
      </c>
      <c r="D167">
        <v>2006</v>
      </c>
      <c r="E167">
        <v>3271000</v>
      </c>
      <c r="F167">
        <v>3078700</v>
      </c>
      <c r="G167" t="s">
        <v>11</v>
      </c>
      <c r="H167" t="s">
        <v>38</v>
      </c>
      <c r="I167" t="s">
        <v>13</v>
      </c>
      <c r="J167" t="s">
        <v>13</v>
      </c>
    </row>
    <row r="168" spans="1:11" x14ac:dyDescent="0.25">
      <c r="A168" t="s">
        <v>5</v>
      </c>
      <c r="B168" t="str">
        <f>"24206"</f>
        <v>24206</v>
      </c>
      <c r="C168" t="str">
        <f>"015"</f>
        <v>015</v>
      </c>
      <c r="D168">
        <v>2008</v>
      </c>
      <c r="E168">
        <v>12974900</v>
      </c>
      <c r="F168">
        <v>483400</v>
      </c>
      <c r="G168" t="s">
        <v>11</v>
      </c>
      <c r="H168" t="s">
        <v>38</v>
      </c>
      <c r="I168" t="s">
        <v>13</v>
      </c>
      <c r="J168" t="s">
        <v>13</v>
      </c>
    </row>
    <row r="169" spans="1:11" x14ac:dyDescent="0.25">
      <c r="A169" t="s">
        <v>39</v>
      </c>
      <c r="B169" t="s">
        <v>13</v>
      </c>
      <c r="C169" t="s">
        <v>7</v>
      </c>
      <c r="D169" t="s">
        <v>8</v>
      </c>
      <c r="E169">
        <v>26040100</v>
      </c>
      <c r="F169">
        <v>13177700</v>
      </c>
      <c r="G169" t="s">
        <v>11</v>
      </c>
      <c r="H169">
        <v>290692300</v>
      </c>
      <c r="I169" t="s">
        <v>13</v>
      </c>
      <c r="J169" t="s">
        <v>13</v>
      </c>
      <c r="K169">
        <v>4.53</v>
      </c>
    </row>
    <row r="171" spans="1:11" x14ac:dyDescent="0.25">
      <c r="A171" t="s">
        <v>74</v>
      </c>
      <c r="B171" t="str">
        <f>"67106"</f>
        <v>67106</v>
      </c>
      <c r="C171" t="str">
        <f>"001"</f>
        <v>001</v>
      </c>
      <c r="D171">
        <v>2013</v>
      </c>
      <c r="E171">
        <v>14601000</v>
      </c>
      <c r="F171">
        <v>-79600</v>
      </c>
      <c r="G171" t="s">
        <v>49</v>
      </c>
      <c r="H171" t="s">
        <v>38</v>
      </c>
      <c r="I171" t="s">
        <v>13</v>
      </c>
      <c r="J171" t="s">
        <v>13</v>
      </c>
    </row>
    <row r="172" spans="1:11" x14ac:dyDescent="0.25">
      <c r="A172" t="s">
        <v>39</v>
      </c>
      <c r="B172" t="s">
        <v>13</v>
      </c>
      <c r="C172" t="s">
        <v>7</v>
      </c>
      <c r="D172" t="s">
        <v>8</v>
      </c>
      <c r="E172">
        <v>14601000</v>
      </c>
      <c r="F172">
        <v>0</v>
      </c>
      <c r="G172" t="s">
        <v>11</v>
      </c>
      <c r="H172">
        <v>186982700</v>
      </c>
      <c r="I172" t="s">
        <v>13</v>
      </c>
      <c r="J172" t="s">
        <v>13</v>
      </c>
      <c r="K172">
        <v>0</v>
      </c>
    </row>
    <row r="174" spans="1:11" x14ac:dyDescent="0.25">
      <c r="A174" t="s">
        <v>75</v>
      </c>
      <c r="B174" t="str">
        <f>"65106"</f>
        <v>65106</v>
      </c>
      <c r="C174" t="str">
        <f>"001"</f>
        <v>001</v>
      </c>
      <c r="D174">
        <v>2004</v>
      </c>
      <c r="E174">
        <v>3791300</v>
      </c>
      <c r="F174">
        <v>1886300</v>
      </c>
      <c r="G174" t="s">
        <v>11</v>
      </c>
      <c r="H174" t="s">
        <v>38</v>
      </c>
      <c r="I174" t="s">
        <v>13</v>
      </c>
      <c r="J174" t="s">
        <v>13</v>
      </c>
    </row>
    <row r="175" spans="1:11" x14ac:dyDescent="0.25">
      <c r="A175" t="s">
        <v>5</v>
      </c>
      <c r="B175" t="str">
        <f>"65106"</f>
        <v>65106</v>
      </c>
      <c r="C175" t="str">
        <f>"002"</f>
        <v>002</v>
      </c>
      <c r="D175">
        <v>2005</v>
      </c>
      <c r="E175">
        <v>3140500</v>
      </c>
      <c r="F175">
        <v>966200</v>
      </c>
      <c r="G175" t="s">
        <v>11</v>
      </c>
      <c r="H175" t="s">
        <v>38</v>
      </c>
      <c r="I175" t="s">
        <v>13</v>
      </c>
      <c r="J175" t="s">
        <v>13</v>
      </c>
    </row>
    <row r="176" spans="1:11" x14ac:dyDescent="0.25">
      <c r="A176" t="s">
        <v>39</v>
      </c>
      <c r="B176" t="s">
        <v>13</v>
      </c>
      <c r="C176" t="s">
        <v>7</v>
      </c>
      <c r="D176" t="s">
        <v>8</v>
      </c>
      <c r="E176">
        <v>6931800</v>
      </c>
      <c r="F176">
        <v>2852500</v>
      </c>
      <c r="G176" t="s">
        <v>11</v>
      </c>
      <c r="H176">
        <v>33877000</v>
      </c>
      <c r="I176" t="s">
        <v>13</v>
      </c>
      <c r="J176" t="s">
        <v>13</v>
      </c>
      <c r="K176">
        <v>8.42</v>
      </c>
    </row>
    <row r="178" spans="1:11" x14ac:dyDescent="0.25">
      <c r="A178" t="s">
        <v>76</v>
      </c>
      <c r="B178" t="str">
        <f>"58106"</f>
        <v>58106</v>
      </c>
      <c r="C178" t="str">
        <f>"001"</f>
        <v>001</v>
      </c>
      <c r="D178">
        <v>1997</v>
      </c>
      <c r="E178">
        <v>24529200</v>
      </c>
      <c r="F178">
        <v>11228300</v>
      </c>
      <c r="G178" t="s">
        <v>11</v>
      </c>
      <c r="H178" t="s">
        <v>38</v>
      </c>
      <c r="I178" t="s">
        <v>13</v>
      </c>
      <c r="J178" t="s">
        <v>13</v>
      </c>
    </row>
    <row r="179" spans="1:11" x14ac:dyDescent="0.25">
      <c r="A179" t="s">
        <v>39</v>
      </c>
      <c r="B179" t="s">
        <v>13</v>
      </c>
      <c r="C179" t="s">
        <v>7</v>
      </c>
      <c r="D179" t="s">
        <v>8</v>
      </c>
      <c r="E179">
        <v>24529200</v>
      </c>
      <c r="F179">
        <v>11228300</v>
      </c>
      <c r="G179" t="s">
        <v>11</v>
      </c>
      <c r="H179">
        <v>35298500</v>
      </c>
      <c r="I179" t="s">
        <v>13</v>
      </c>
      <c r="J179" t="s">
        <v>13</v>
      </c>
      <c r="K179">
        <v>31.81</v>
      </c>
    </row>
    <row r="181" spans="1:11" x14ac:dyDescent="0.25">
      <c r="A181" t="s">
        <v>77</v>
      </c>
      <c r="B181" t="str">
        <f>"71106"</f>
        <v>71106</v>
      </c>
      <c r="C181" t="str">
        <f>"001"</f>
        <v>001</v>
      </c>
      <c r="D181">
        <v>2006</v>
      </c>
      <c r="E181">
        <v>4738300</v>
      </c>
      <c r="F181">
        <v>1237600</v>
      </c>
      <c r="G181" t="s">
        <v>11</v>
      </c>
      <c r="H181" t="s">
        <v>38</v>
      </c>
      <c r="I181" t="s">
        <v>13</v>
      </c>
      <c r="J181" t="s">
        <v>13</v>
      </c>
    </row>
    <row r="182" spans="1:11" x14ac:dyDescent="0.25">
      <c r="A182" t="s">
        <v>5</v>
      </c>
      <c r="B182" t="str">
        <f>"71106"</f>
        <v>71106</v>
      </c>
      <c r="C182" t="str">
        <f>"002"</f>
        <v>002</v>
      </c>
      <c r="D182">
        <v>2006</v>
      </c>
      <c r="E182">
        <v>34954300</v>
      </c>
      <c r="F182">
        <v>29843300</v>
      </c>
      <c r="G182" t="s">
        <v>11</v>
      </c>
      <c r="H182" t="s">
        <v>38</v>
      </c>
      <c r="I182" t="s">
        <v>13</v>
      </c>
      <c r="J182" t="s">
        <v>13</v>
      </c>
    </row>
    <row r="183" spans="1:11" x14ac:dyDescent="0.25">
      <c r="A183" t="s">
        <v>5</v>
      </c>
      <c r="B183" t="str">
        <f>"71106"</f>
        <v>71106</v>
      </c>
      <c r="C183" t="str">
        <f>"003"</f>
        <v>003</v>
      </c>
      <c r="D183">
        <v>2009</v>
      </c>
      <c r="E183">
        <v>5921400</v>
      </c>
      <c r="F183">
        <v>2024200</v>
      </c>
      <c r="G183" t="s">
        <v>11</v>
      </c>
      <c r="H183" t="s">
        <v>38</v>
      </c>
      <c r="I183" t="s">
        <v>13</v>
      </c>
      <c r="J183" t="s">
        <v>13</v>
      </c>
    </row>
    <row r="184" spans="1:11" x14ac:dyDescent="0.25">
      <c r="A184" t="s">
        <v>39</v>
      </c>
      <c r="B184" t="s">
        <v>13</v>
      </c>
      <c r="C184" t="s">
        <v>7</v>
      </c>
      <c r="D184" t="s">
        <v>8</v>
      </c>
      <c r="E184">
        <v>45614000</v>
      </c>
      <c r="F184">
        <v>33105100</v>
      </c>
      <c r="G184" t="s">
        <v>11</v>
      </c>
      <c r="H184">
        <v>108088400</v>
      </c>
      <c r="I184" t="s">
        <v>13</v>
      </c>
      <c r="J184" t="s">
        <v>13</v>
      </c>
      <c r="K184">
        <v>30.63</v>
      </c>
    </row>
    <row r="186" spans="1:11" x14ac:dyDescent="0.25">
      <c r="A186" t="s">
        <v>78</v>
      </c>
      <c r="B186" t="str">
        <f>"44107"</f>
        <v>44107</v>
      </c>
      <c r="C186" t="str">
        <f>"002"</f>
        <v>002</v>
      </c>
      <c r="D186">
        <v>1993</v>
      </c>
      <c r="E186">
        <v>18231500</v>
      </c>
      <c r="F186">
        <v>16118800</v>
      </c>
      <c r="G186" t="s">
        <v>11</v>
      </c>
      <c r="H186" t="s">
        <v>38</v>
      </c>
      <c r="I186" t="s">
        <v>13</v>
      </c>
      <c r="J186" t="s">
        <v>13</v>
      </c>
    </row>
    <row r="187" spans="1:11" x14ac:dyDescent="0.25">
      <c r="A187" t="s">
        <v>39</v>
      </c>
      <c r="B187" t="s">
        <v>13</v>
      </c>
      <c r="C187" t="s">
        <v>7</v>
      </c>
      <c r="D187" t="s">
        <v>8</v>
      </c>
      <c r="E187">
        <v>18231500</v>
      </c>
      <c r="F187">
        <v>16118800</v>
      </c>
      <c r="G187" t="s">
        <v>11</v>
      </c>
      <c r="H187">
        <v>71713300</v>
      </c>
      <c r="I187" t="s">
        <v>13</v>
      </c>
      <c r="J187" t="s">
        <v>13</v>
      </c>
      <c r="K187">
        <v>22.48</v>
      </c>
    </row>
    <row r="189" spans="1:11" x14ac:dyDescent="0.25">
      <c r="A189" t="s">
        <v>79</v>
      </c>
      <c r="B189" t="str">
        <f>"13107"</f>
        <v>13107</v>
      </c>
      <c r="C189" t="str">
        <f>"003"</f>
        <v>003</v>
      </c>
      <c r="D189">
        <v>2009</v>
      </c>
      <c r="E189">
        <v>5171700</v>
      </c>
      <c r="F189">
        <v>2082400</v>
      </c>
      <c r="G189" t="s">
        <v>11</v>
      </c>
      <c r="H189" t="s">
        <v>38</v>
      </c>
      <c r="I189" t="s">
        <v>13</v>
      </c>
      <c r="J189" t="s">
        <v>13</v>
      </c>
    </row>
    <row r="190" spans="1:11" x14ac:dyDescent="0.25">
      <c r="A190" t="s">
        <v>5</v>
      </c>
      <c r="B190" t="str">
        <f>"13107"</f>
        <v>13107</v>
      </c>
      <c r="C190" t="str">
        <f>"005"</f>
        <v>005</v>
      </c>
      <c r="D190">
        <v>2018</v>
      </c>
      <c r="E190">
        <v>6253500</v>
      </c>
      <c r="F190">
        <v>504900</v>
      </c>
      <c r="G190" t="s">
        <v>11</v>
      </c>
      <c r="H190" t="s">
        <v>38</v>
      </c>
      <c r="I190" t="s">
        <v>13</v>
      </c>
      <c r="J190" t="s">
        <v>13</v>
      </c>
    </row>
    <row r="191" spans="1:11" x14ac:dyDescent="0.25">
      <c r="A191" t="s">
        <v>39</v>
      </c>
      <c r="B191" t="s">
        <v>13</v>
      </c>
      <c r="C191" t="s">
        <v>7</v>
      </c>
      <c r="D191" t="s">
        <v>8</v>
      </c>
      <c r="E191">
        <v>11425200</v>
      </c>
      <c r="F191">
        <v>2587300</v>
      </c>
      <c r="G191" t="s">
        <v>11</v>
      </c>
      <c r="H191">
        <v>131306600</v>
      </c>
      <c r="I191" t="s">
        <v>13</v>
      </c>
      <c r="J191" t="s">
        <v>13</v>
      </c>
      <c r="K191">
        <v>1.97</v>
      </c>
    </row>
    <row r="193" spans="1:11" x14ac:dyDescent="0.25">
      <c r="A193" t="s">
        <v>80</v>
      </c>
      <c r="B193" t="str">
        <f>"27206"</f>
        <v>27206</v>
      </c>
      <c r="C193" t="str">
        <f>"003"</f>
        <v>003</v>
      </c>
      <c r="D193">
        <v>2002</v>
      </c>
      <c r="E193">
        <v>14103800</v>
      </c>
      <c r="F193">
        <v>13607700</v>
      </c>
      <c r="G193" t="s">
        <v>11</v>
      </c>
      <c r="H193" t="s">
        <v>38</v>
      </c>
      <c r="I193" t="s">
        <v>13</v>
      </c>
      <c r="J193" t="s">
        <v>13</v>
      </c>
    </row>
    <row r="194" spans="1:11" x14ac:dyDescent="0.25">
      <c r="A194" t="s">
        <v>5</v>
      </c>
      <c r="B194" t="str">
        <f>"27206"</f>
        <v>27206</v>
      </c>
      <c r="C194" t="str">
        <f>"004"</f>
        <v>004</v>
      </c>
      <c r="D194">
        <v>2003</v>
      </c>
      <c r="E194">
        <v>7030000</v>
      </c>
      <c r="F194">
        <v>6567800</v>
      </c>
      <c r="G194" t="s">
        <v>11</v>
      </c>
      <c r="H194" t="s">
        <v>38</v>
      </c>
      <c r="I194" t="s">
        <v>13</v>
      </c>
      <c r="J194" t="s">
        <v>13</v>
      </c>
    </row>
    <row r="195" spans="1:11" x14ac:dyDescent="0.25">
      <c r="A195" t="s">
        <v>5</v>
      </c>
      <c r="B195" t="str">
        <f>"27206"</f>
        <v>27206</v>
      </c>
      <c r="C195" t="str">
        <f>"005"</f>
        <v>005</v>
      </c>
      <c r="D195">
        <v>2008</v>
      </c>
      <c r="E195">
        <v>429900</v>
      </c>
      <c r="F195">
        <v>-291800</v>
      </c>
      <c r="G195" t="s">
        <v>49</v>
      </c>
      <c r="H195" t="s">
        <v>38</v>
      </c>
      <c r="I195" t="s">
        <v>13</v>
      </c>
      <c r="J195" t="s">
        <v>13</v>
      </c>
    </row>
    <row r="196" spans="1:11" x14ac:dyDescent="0.25">
      <c r="A196" t="s">
        <v>5</v>
      </c>
      <c r="B196" t="str">
        <f>"27206"</f>
        <v>27206</v>
      </c>
      <c r="C196" t="str">
        <f>"006"</f>
        <v>006</v>
      </c>
      <c r="D196">
        <v>2017</v>
      </c>
      <c r="E196">
        <v>8286300</v>
      </c>
      <c r="F196">
        <v>494100</v>
      </c>
      <c r="G196" t="s">
        <v>11</v>
      </c>
      <c r="H196" t="s">
        <v>38</v>
      </c>
      <c r="I196" t="s">
        <v>13</v>
      </c>
      <c r="J196" t="s">
        <v>13</v>
      </c>
    </row>
    <row r="197" spans="1:11" x14ac:dyDescent="0.25">
      <c r="A197" t="s">
        <v>5</v>
      </c>
      <c r="B197" t="str">
        <f>"27206"</f>
        <v>27206</v>
      </c>
      <c r="C197" t="str">
        <f>"007"</f>
        <v>007</v>
      </c>
      <c r="D197">
        <v>2017</v>
      </c>
      <c r="E197">
        <v>0</v>
      </c>
      <c r="F197">
        <v>0</v>
      </c>
      <c r="G197" t="s">
        <v>11</v>
      </c>
      <c r="H197" t="s">
        <v>38</v>
      </c>
      <c r="I197" t="s">
        <v>13</v>
      </c>
      <c r="J197" t="s">
        <v>13</v>
      </c>
    </row>
    <row r="198" spans="1:11" x14ac:dyDescent="0.25">
      <c r="A198" t="s">
        <v>39</v>
      </c>
      <c r="B198" t="s">
        <v>13</v>
      </c>
      <c r="C198" t="s">
        <v>7</v>
      </c>
      <c r="D198" t="s">
        <v>8</v>
      </c>
      <c r="E198">
        <v>29850000</v>
      </c>
      <c r="F198">
        <v>20669600</v>
      </c>
      <c r="G198" t="s">
        <v>11</v>
      </c>
      <c r="H198">
        <v>252519900</v>
      </c>
      <c r="I198" t="s">
        <v>13</v>
      </c>
      <c r="J198" t="s">
        <v>13</v>
      </c>
      <c r="K198">
        <v>8.19</v>
      </c>
    </row>
    <row r="200" spans="1:11" x14ac:dyDescent="0.25">
      <c r="A200" t="s">
        <v>81</v>
      </c>
      <c r="B200" t="str">
        <f>"61206"</f>
        <v>61206</v>
      </c>
      <c r="C200" t="str">
        <f>"004"</f>
        <v>004</v>
      </c>
      <c r="D200">
        <v>2007</v>
      </c>
      <c r="E200">
        <v>4575100</v>
      </c>
      <c r="F200">
        <v>4557200</v>
      </c>
      <c r="G200" t="s">
        <v>11</v>
      </c>
      <c r="H200" t="s">
        <v>38</v>
      </c>
      <c r="I200" t="s">
        <v>13</v>
      </c>
      <c r="J200" t="s">
        <v>13</v>
      </c>
    </row>
    <row r="201" spans="1:11" x14ac:dyDescent="0.25">
      <c r="A201" t="s">
        <v>5</v>
      </c>
      <c r="B201" t="str">
        <f>"61206"</f>
        <v>61206</v>
      </c>
      <c r="C201" t="str">
        <f>"005"</f>
        <v>005</v>
      </c>
      <c r="D201">
        <v>2008</v>
      </c>
      <c r="E201">
        <v>2807700</v>
      </c>
      <c r="F201">
        <v>2753600</v>
      </c>
      <c r="G201" t="s">
        <v>11</v>
      </c>
      <c r="H201" t="s">
        <v>38</v>
      </c>
      <c r="I201" t="s">
        <v>13</v>
      </c>
      <c r="J201" t="s">
        <v>13</v>
      </c>
    </row>
    <row r="202" spans="1:11" x14ac:dyDescent="0.25">
      <c r="A202" t="s">
        <v>5</v>
      </c>
      <c r="B202" t="str">
        <f>"61206"</f>
        <v>61206</v>
      </c>
      <c r="C202" t="str">
        <f>"006"</f>
        <v>006</v>
      </c>
      <c r="D202">
        <v>2015</v>
      </c>
      <c r="E202">
        <v>3795700</v>
      </c>
      <c r="F202">
        <v>494900</v>
      </c>
      <c r="G202" t="s">
        <v>11</v>
      </c>
      <c r="H202" t="s">
        <v>38</v>
      </c>
      <c r="I202" t="s">
        <v>13</v>
      </c>
      <c r="J202" t="s">
        <v>13</v>
      </c>
    </row>
    <row r="203" spans="1:11" x14ac:dyDescent="0.25">
      <c r="A203" t="s">
        <v>5</v>
      </c>
      <c r="B203" t="str">
        <f>"61206"</f>
        <v>61206</v>
      </c>
      <c r="C203" t="str">
        <f>"007"</f>
        <v>007</v>
      </c>
      <c r="D203">
        <v>2015</v>
      </c>
      <c r="E203">
        <v>2644800</v>
      </c>
      <c r="F203">
        <v>919800</v>
      </c>
      <c r="G203" t="s">
        <v>11</v>
      </c>
      <c r="H203" t="s">
        <v>38</v>
      </c>
      <c r="I203" t="s">
        <v>13</v>
      </c>
      <c r="J203" t="s">
        <v>13</v>
      </c>
    </row>
    <row r="204" spans="1:11" x14ac:dyDescent="0.25">
      <c r="A204" t="s">
        <v>39</v>
      </c>
      <c r="B204" t="s">
        <v>13</v>
      </c>
      <c r="C204" t="s">
        <v>7</v>
      </c>
      <c r="D204" t="s">
        <v>8</v>
      </c>
      <c r="E204">
        <v>13823300</v>
      </c>
      <c r="F204">
        <v>8725500</v>
      </c>
      <c r="G204" t="s">
        <v>11</v>
      </c>
      <c r="H204">
        <v>126131600</v>
      </c>
      <c r="I204" t="s">
        <v>13</v>
      </c>
      <c r="J204" t="s">
        <v>13</v>
      </c>
      <c r="K204">
        <v>6.92</v>
      </c>
    </row>
    <row r="206" spans="1:11" x14ac:dyDescent="0.25">
      <c r="A206" t="s">
        <v>82</v>
      </c>
      <c r="B206" t="str">
        <f>"09206"</f>
        <v>09206</v>
      </c>
      <c r="C206" t="str">
        <f>"004"</f>
        <v>004</v>
      </c>
      <c r="D206">
        <v>2005</v>
      </c>
      <c r="E206">
        <v>23914200</v>
      </c>
      <c r="F206">
        <v>20126800</v>
      </c>
      <c r="G206" t="s">
        <v>11</v>
      </c>
      <c r="H206" t="s">
        <v>38</v>
      </c>
      <c r="I206" t="s">
        <v>13</v>
      </c>
      <c r="J206" t="s">
        <v>13</v>
      </c>
    </row>
    <row r="207" spans="1:11" x14ac:dyDescent="0.25">
      <c r="A207" t="s">
        <v>39</v>
      </c>
      <c r="B207" t="s">
        <v>13</v>
      </c>
      <c r="C207" t="s">
        <v>7</v>
      </c>
      <c r="D207" t="s">
        <v>8</v>
      </c>
      <c r="E207">
        <v>23914200</v>
      </c>
      <c r="F207">
        <v>20126800</v>
      </c>
      <c r="G207" t="s">
        <v>11</v>
      </c>
      <c r="H207">
        <v>283584600</v>
      </c>
      <c r="I207" t="s">
        <v>13</v>
      </c>
      <c r="J207" t="s">
        <v>13</v>
      </c>
      <c r="K207">
        <v>7.1</v>
      </c>
    </row>
    <row r="209" spans="1:11" x14ac:dyDescent="0.25">
      <c r="A209" t="s">
        <v>83</v>
      </c>
      <c r="B209" t="str">
        <f>"58107"</f>
        <v>58107</v>
      </c>
      <c r="C209" t="str">
        <f>"001"</f>
        <v>001</v>
      </c>
      <c r="D209">
        <v>1994</v>
      </c>
      <c r="E209">
        <v>16395200</v>
      </c>
      <c r="F209">
        <v>14413600</v>
      </c>
      <c r="G209" t="s">
        <v>11</v>
      </c>
      <c r="H209" t="s">
        <v>38</v>
      </c>
      <c r="I209" t="s">
        <v>13</v>
      </c>
      <c r="J209" t="s">
        <v>13</v>
      </c>
    </row>
    <row r="210" spans="1:11" x14ac:dyDescent="0.25">
      <c r="A210" t="s">
        <v>39</v>
      </c>
      <c r="B210" t="s">
        <v>13</v>
      </c>
      <c r="C210" t="s">
        <v>7</v>
      </c>
      <c r="D210" t="s">
        <v>8</v>
      </c>
      <c r="E210">
        <v>16395200</v>
      </c>
      <c r="F210">
        <v>14413600</v>
      </c>
      <c r="G210" t="s">
        <v>11</v>
      </c>
      <c r="H210">
        <v>79782200</v>
      </c>
      <c r="I210" t="s">
        <v>13</v>
      </c>
      <c r="J210" t="s">
        <v>13</v>
      </c>
      <c r="K210">
        <v>18.07</v>
      </c>
    </row>
    <row r="212" spans="1:11" x14ac:dyDescent="0.25">
      <c r="A212" t="s">
        <v>84</v>
      </c>
      <c r="B212" t="str">
        <f>"22206"</f>
        <v>22206</v>
      </c>
      <c r="C212" t="str">
        <f>"004"</f>
        <v>004</v>
      </c>
      <c r="D212">
        <v>2005</v>
      </c>
      <c r="E212">
        <v>8996200</v>
      </c>
      <c r="F212">
        <v>3905900</v>
      </c>
      <c r="G212" t="s">
        <v>11</v>
      </c>
      <c r="H212" t="s">
        <v>38</v>
      </c>
      <c r="I212" t="s">
        <v>13</v>
      </c>
      <c r="J212" t="s">
        <v>13</v>
      </c>
    </row>
    <row r="213" spans="1:11" x14ac:dyDescent="0.25">
      <c r="A213" t="s">
        <v>39</v>
      </c>
      <c r="B213" t="s">
        <v>13</v>
      </c>
      <c r="C213" t="s">
        <v>7</v>
      </c>
      <c r="D213" t="s">
        <v>8</v>
      </c>
      <c r="E213">
        <v>8996200</v>
      </c>
      <c r="F213">
        <v>3905900</v>
      </c>
      <c r="G213" t="s">
        <v>11</v>
      </c>
      <c r="H213">
        <v>132108200</v>
      </c>
      <c r="I213" t="s">
        <v>13</v>
      </c>
      <c r="J213" t="s">
        <v>13</v>
      </c>
      <c r="K213">
        <v>2.96</v>
      </c>
    </row>
    <row r="215" spans="1:11" x14ac:dyDescent="0.25">
      <c r="A215" t="s">
        <v>85</v>
      </c>
      <c r="B215" t="str">
        <f>"58108"</f>
        <v>58108</v>
      </c>
      <c r="C215" t="str">
        <f>"002"</f>
        <v>002</v>
      </c>
      <c r="D215">
        <v>1997</v>
      </c>
      <c r="E215">
        <v>214200</v>
      </c>
      <c r="F215">
        <v>176800</v>
      </c>
      <c r="G215" t="s">
        <v>11</v>
      </c>
      <c r="H215" t="s">
        <v>38</v>
      </c>
      <c r="I215" t="s">
        <v>13</v>
      </c>
      <c r="J215" t="s">
        <v>13</v>
      </c>
    </row>
    <row r="216" spans="1:11" x14ac:dyDescent="0.25">
      <c r="A216" t="s">
        <v>39</v>
      </c>
      <c r="B216" t="s">
        <v>13</v>
      </c>
      <c r="C216" t="s">
        <v>7</v>
      </c>
      <c r="D216" t="s">
        <v>8</v>
      </c>
      <c r="E216">
        <v>214200</v>
      </c>
      <c r="F216">
        <v>176800</v>
      </c>
      <c r="G216" t="s">
        <v>11</v>
      </c>
      <c r="H216">
        <v>9412100</v>
      </c>
      <c r="I216" t="s">
        <v>13</v>
      </c>
      <c r="J216" t="s">
        <v>13</v>
      </c>
      <c r="K216">
        <v>1.88</v>
      </c>
    </row>
    <row r="218" spans="1:11" x14ac:dyDescent="0.25">
      <c r="A218" t="s">
        <v>86</v>
      </c>
      <c r="B218" t="str">
        <f>"17106"</f>
        <v>17106</v>
      </c>
      <c r="C218" t="str">
        <f>"002"</f>
        <v>002</v>
      </c>
      <c r="D218">
        <v>1996</v>
      </c>
      <c r="E218">
        <v>10282500</v>
      </c>
      <c r="F218">
        <v>9947600</v>
      </c>
      <c r="G218" t="s">
        <v>11</v>
      </c>
      <c r="H218" t="s">
        <v>38</v>
      </c>
      <c r="I218" t="s">
        <v>13</v>
      </c>
      <c r="J218" t="s">
        <v>13</v>
      </c>
    </row>
    <row r="219" spans="1:11" x14ac:dyDescent="0.25">
      <c r="A219" t="s">
        <v>5</v>
      </c>
      <c r="B219" t="str">
        <f>"17106"</f>
        <v>17106</v>
      </c>
      <c r="C219" t="str">
        <f>"003"</f>
        <v>003</v>
      </c>
      <c r="D219">
        <v>2007</v>
      </c>
      <c r="E219">
        <v>1165300</v>
      </c>
      <c r="F219">
        <v>-355200</v>
      </c>
      <c r="G219" t="s">
        <v>49</v>
      </c>
      <c r="H219" t="s">
        <v>38</v>
      </c>
      <c r="I219" t="s">
        <v>13</v>
      </c>
      <c r="J219" t="s">
        <v>13</v>
      </c>
    </row>
    <row r="220" spans="1:11" x14ac:dyDescent="0.25">
      <c r="A220" t="s">
        <v>39</v>
      </c>
      <c r="B220" t="s">
        <v>13</v>
      </c>
      <c r="C220" t="s">
        <v>7</v>
      </c>
      <c r="D220" t="s">
        <v>8</v>
      </c>
      <c r="E220">
        <v>11447800</v>
      </c>
      <c r="F220">
        <v>9947600</v>
      </c>
      <c r="G220" t="s">
        <v>11</v>
      </c>
      <c r="H220">
        <v>48976700</v>
      </c>
      <c r="I220" t="s">
        <v>13</v>
      </c>
      <c r="J220" t="s">
        <v>13</v>
      </c>
      <c r="K220">
        <v>20.309999999999999</v>
      </c>
    </row>
    <row r="222" spans="1:11" x14ac:dyDescent="0.25">
      <c r="A222" t="s">
        <v>87</v>
      </c>
      <c r="B222" t="str">
        <f>"08206"</f>
        <v>08206</v>
      </c>
      <c r="C222" t="str">
        <f>"002"</f>
        <v>002</v>
      </c>
      <c r="D222">
        <v>2006</v>
      </c>
      <c r="E222">
        <v>5808700</v>
      </c>
      <c r="F222">
        <v>4811200</v>
      </c>
      <c r="G222" t="s">
        <v>11</v>
      </c>
      <c r="H222" t="s">
        <v>38</v>
      </c>
      <c r="I222" t="s">
        <v>13</v>
      </c>
      <c r="J222" t="s">
        <v>13</v>
      </c>
    </row>
    <row r="223" spans="1:11" x14ac:dyDescent="0.25">
      <c r="A223" t="s">
        <v>5</v>
      </c>
      <c r="B223" t="str">
        <f>"08206"</f>
        <v>08206</v>
      </c>
      <c r="C223" t="str">
        <f>"003"</f>
        <v>003</v>
      </c>
      <c r="D223">
        <v>2007</v>
      </c>
      <c r="E223">
        <v>10353300</v>
      </c>
      <c r="F223">
        <v>10226100</v>
      </c>
      <c r="G223" t="s">
        <v>11</v>
      </c>
      <c r="H223" t="s">
        <v>38</v>
      </c>
      <c r="I223" t="s">
        <v>13</v>
      </c>
      <c r="J223" t="s">
        <v>13</v>
      </c>
    </row>
    <row r="224" spans="1:11" x14ac:dyDescent="0.25">
      <c r="A224" t="s">
        <v>5</v>
      </c>
      <c r="B224" t="str">
        <f>"08206"</f>
        <v>08206</v>
      </c>
      <c r="C224" t="str">
        <f>"004"</f>
        <v>004</v>
      </c>
      <c r="D224">
        <v>2007</v>
      </c>
      <c r="E224">
        <v>18370900</v>
      </c>
      <c r="F224">
        <v>12958500</v>
      </c>
      <c r="G224" t="s">
        <v>11</v>
      </c>
      <c r="H224" t="s">
        <v>38</v>
      </c>
      <c r="I224" t="s">
        <v>13</v>
      </c>
      <c r="J224" t="s">
        <v>13</v>
      </c>
    </row>
    <row r="225" spans="1:11" x14ac:dyDescent="0.25">
      <c r="A225" t="s">
        <v>39</v>
      </c>
      <c r="B225" t="s">
        <v>13</v>
      </c>
      <c r="C225" t="s">
        <v>7</v>
      </c>
      <c r="D225" t="s">
        <v>8</v>
      </c>
      <c r="E225">
        <v>34532900</v>
      </c>
      <c r="F225">
        <v>27995800</v>
      </c>
      <c r="G225" t="s">
        <v>11</v>
      </c>
      <c r="H225">
        <v>227650100</v>
      </c>
      <c r="I225" t="s">
        <v>13</v>
      </c>
      <c r="J225" t="s">
        <v>13</v>
      </c>
      <c r="K225">
        <v>12.3</v>
      </c>
    </row>
    <row r="227" spans="1:11" x14ac:dyDescent="0.25">
      <c r="A227" t="s">
        <v>88</v>
      </c>
      <c r="B227" t="str">
        <f>"23206"</f>
        <v>23206</v>
      </c>
      <c r="C227" t="str">
        <f>"004"</f>
        <v>004</v>
      </c>
      <c r="D227">
        <v>2005</v>
      </c>
      <c r="E227">
        <v>184500</v>
      </c>
      <c r="F227">
        <v>76100</v>
      </c>
      <c r="G227" t="s">
        <v>11</v>
      </c>
      <c r="H227" t="s">
        <v>38</v>
      </c>
      <c r="I227" t="s">
        <v>13</v>
      </c>
      <c r="J227" t="s">
        <v>13</v>
      </c>
    </row>
    <row r="228" spans="1:11" x14ac:dyDescent="0.25">
      <c r="A228" t="s">
        <v>5</v>
      </c>
      <c r="B228" t="str">
        <f>"23206"</f>
        <v>23206</v>
      </c>
      <c r="C228" t="str">
        <f>"005"</f>
        <v>005</v>
      </c>
      <c r="D228">
        <v>2005</v>
      </c>
      <c r="E228">
        <v>1913000</v>
      </c>
      <c r="F228">
        <v>384000</v>
      </c>
      <c r="G228" t="s">
        <v>11</v>
      </c>
      <c r="H228" t="s">
        <v>38</v>
      </c>
      <c r="I228" t="s">
        <v>13</v>
      </c>
      <c r="J228" t="s">
        <v>13</v>
      </c>
    </row>
    <row r="229" spans="1:11" x14ac:dyDescent="0.25">
      <c r="A229" t="s">
        <v>5</v>
      </c>
      <c r="B229" t="str">
        <f>"23206"</f>
        <v>23206</v>
      </c>
      <c r="C229" t="str">
        <f>"006"</f>
        <v>006</v>
      </c>
      <c r="D229">
        <v>2006</v>
      </c>
      <c r="E229">
        <v>2057700</v>
      </c>
      <c r="F229">
        <v>887400</v>
      </c>
      <c r="G229" t="s">
        <v>11</v>
      </c>
      <c r="H229" t="s">
        <v>38</v>
      </c>
      <c r="I229" t="s">
        <v>13</v>
      </c>
      <c r="J229" t="s">
        <v>13</v>
      </c>
    </row>
    <row r="230" spans="1:11" x14ac:dyDescent="0.25">
      <c r="A230" t="s">
        <v>5</v>
      </c>
      <c r="B230" t="str">
        <f>"53210"</f>
        <v>53210</v>
      </c>
      <c r="C230" t="str">
        <f>"006"</f>
        <v>006</v>
      </c>
      <c r="D230">
        <v>2006</v>
      </c>
      <c r="E230">
        <v>1894000</v>
      </c>
      <c r="F230">
        <v>1791900</v>
      </c>
      <c r="G230" t="s">
        <v>11</v>
      </c>
      <c r="H230" t="s">
        <v>38</v>
      </c>
      <c r="I230" t="s">
        <v>13</v>
      </c>
      <c r="J230" t="s">
        <v>13</v>
      </c>
    </row>
    <row r="231" spans="1:11" x14ac:dyDescent="0.25">
      <c r="A231" t="s">
        <v>5</v>
      </c>
      <c r="B231" t="str">
        <f>"23206"</f>
        <v>23206</v>
      </c>
      <c r="C231" t="str">
        <f>"007"</f>
        <v>007</v>
      </c>
      <c r="D231">
        <v>2013</v>
      </c>
      <c r="E231">
        <v>5815300</v>
      </c>
      <c r="F231">
        <v>1696500</v>
      </c>
      <c r="G231" t="s">
        <v>11</v>
      </c>
      <c r="H231" t="s">
        <v>38</v>
      </c>
      <c r="I231" t="s">
        <v>13</v>
      </c>
      <c r="J231" t="s">
        <v>13</v>
      </c>
    </row>
    <row r="232" spans="1:11" x14ac:dyDescent="0.25">
      <c r="A232" t="s">
        <v>39</v>
      </c>
      <c r="B232" t="s">
        <v>13</v>
      </c>
      <c r="C232" t="s">
        <v>7</v>
      </c>
      <c r="D232" t="s">
        <v>8</v>
      </c>
      <c r="E232">
        <v>11864500</v>
      </c>
      <c r="F232">
        <v>4835900</v>
      </c>
      <c r="G232" t="s">
        <v>11</v>
      </c>
      <c r="H232">
        <v>190921900</v>
      </c>
      <c r="I232" t="s">
        <v>13</v>
      </c>
      <c r="J232" t="s">
        <v>13</v>
      </c>
      <c r="K232">
        <v>2.5299999999999998</v>
      </c>
    </row>
    <row r="234" spans="1:11" x14ac:dyDescent="0.25">
      <c r="A234" t="s">
        <v>89</v>
      </c>
      <c r="B234" t="str">
        <f>"67002"</f>
        <v>67002</v>
      </c>
      <c r="C234" t="str">
        <f>"001A"</f>
        <v>001A</v>
      </c>
      <c r="D234">
        <v>2014</v>
      </c>
      <c r="E234">
        <v>289769000</v>
      </c>
      <c r="F234">
        <v>223782100</v>
      </c>
      <c r="G234" t="s">
        <v>11</v>
      </c>
      <c r="H234" t="s">
        <v>38</v>
      </c>
      <c r="I234" t="s">
        <v>13</v>
      </c>
      <c r="J234" t="s">
        <v>13</v>
      </c>
    </row>
    <row r="235" spans="1:11" x14ac:dyDescent="0.25">
      <c r="A235" t="s">
        <v>39</v>
      </c>
      <c r="B235" t="s">
        <v>13</v>
      </c>
      <c r="C235" t="s">
        <v>7</v>
      </c>
      <c r="D235" t="s">
        <v>8</v>
      </c>
      <c r="E235">
        <v>289769000</v>
      </c>
      <c r="F235">
        <v>223782100</v>
      </c>
      <c r="G235" t="s">
        <v>11</v>
      </c>
      <c r="H235">
        <v>1390356400</v>
      </c>
      <c r="I235" t="s">
        <v>13</v>
      </c>
      <c r="J235" t="s">
        <v>13</v>
      </c>
      <c r="K235">
        <v>16.100000000000001</v>
      </c>
    </row>
    <row r="236" spans="1:11" x14ac:dyDescent="0.25">
      <c r="A236" t="s">
        <v>89</v>
      </c>
      <c r="B236" t="str">
        <f>"67206"</f>
        <v>67206</v>
      </c>
      <c r="C236" t="str">
        <f>"004"</f>
        <v>004</v>
      </c>
      <c r="D236">
        <v>2015</v>
      </c>
      <c r="E236">
        <v>1958500</v>
      </c>
      <c r="F236">
        <v>1799700</v>
      </c>
      <c r="G236" t="s">
        <v>11</v>
      </c>
      <c r="H236" t="s">
        <v>38</v>
      </c>
      <c r="I236" t="s">
        <v>13</v>
      </c>
      <c r="J236" t="s">
        <v>13</v>
      </c>
    </row>
    <row r="237" spans="1:11" x14ac:dyDescent="0.25">
      <c r="A237" t="s">
        <v>5</v>
      </c>
      <c r="B237" t="str">
        <f>"67206"</f>
        <v>67206</v>
      </c>
      <c r="C237" t="str">
        <f>"005"</f>
        <v>005</v>
      </c>
      <c r="D237">
        <v>2015</v>
      </c>
      <c r="E237">
        <v>67208800</v>
      </c>
      <c r="F237">
        <v>65801800</v>
      </c>
      <c r="G237" t="s">
        <v>11</v>
      </c>
      <c r="H237" t="s">
        <v>38</v>
      </c>
      <c r="I237" t="s">
        <v>13</v>
      </c>
      <c r="J237" t="s">
        <v>13</v>
      </c>
    </row>
    <row r="238" spans="1:11" x14ac:dyDescent="0.25">
      <c r="A238" t="s">
        <v>5</v>
      </c>
      <c r="B238" t="str">
        <f>"67206"</f>
        <v>67206</v>
      </c>
      <c r="C238" t="str">
        <f>"006"</f>
        <v>006</v>
      </c>
      <c r="D238">
        <v>2016</v>
      </c>
      <c r="E238">
        <v>43020700</v>
      </c>
      <c r="F238">
        <v>27228300</v>
      </c>
      <c r="G238" t="s">
        <v>11</v>
      </c>
      <c r="H238" t="s">
        <v>38</v>
      </c>
      <c r="I238" t="s">
        <v>13</v>
      </c>
      <c r="J238" t="s">
        <v>13</v>
      </c>
    </row>
    <row r="239" spans="1:11" x14ac:dyDescent="0.25">
      <c r="A239" t="s">
        <v>5</v>
      </c>
      <c r="B239" t="str">
        <f>"67206"</f>
        <v>67206</v>
      </c>
      <c r="C239" t="str">
        <f>"007"</f>
        <v>007</v>
      </c>
      <c r="D239">
        <v>2018</v>
      </c>
      <c r="E239">
        <v>2986300</v>
      </c>
      <c r="F239">
        <v>2325700</v>
      </c>
      <c r="G239" t="s">
        <v>11</v>
      </c>
      <c r="H239" t="s">
        <v>38</v>
      </c>
      <c r="I239" t="s">
        <v>13</v>
      </c>
      <c r="J239" t="s">
        <v>13</v>
      </c>
    </row>
    <row r="240" spans="1:11" x14ac:dyDescent="0.25">
      <c r="A240" t="s">
        <v>5</v>
      </c>
      <c r="B240" t="str">
        <f>"67206"</f>
        <v>67206</v>
      </c>
      <c r="C240" t="str">
        <f>"008"</f>
        <v>008</v>
      </c>
      <c r="D240">
        <v>2018</v>
      </c>
      <c r="E240">
        <v>32795600</v>
      </c>
      <c r="F240">
        <v>6267400</v>
      </c>
      <c r="G240" t="s">
        <v>11</v>
      </c>
      <c r="H240" t="s">
        <v>38</v>
      </c>
      <c r="I240" t="s">
        <v>13</v>
      </c>
      <c r="J240" t="s">
        <v>13</v>
      </c>
    </row>
    <row r="241" spans="1:11" x14ac:dyDescent="0.25">
      <c r="A241" t="s">
        <v>39</v>
      </c>
      <c r="B241" t="s">
        <v>13</v>
      </c>
      <c r="C241" t="s">
        <v>7</v>
      </c>
      <c r="D241" t="s">
        <v>8</v>
      </c>
      <c r="E241">
        <v>147969900</v>
      </c>
      <c r="F241">
        <v>103422900</v>
      </c>
      <c r="G241" t="s">
        <v>11</v>
      </c>
      <c r="H241">
        <v>7536677900</v>
      </c>
      <c r="I241" t="s">
        <v>13</v>
      </c>
      <c r="J241" t="s">
        <v>13</v>
      </c>
      <c r="K241">
        <v>1.37</v>
      </c>
    </row>
    <row r="243" spans="1:11" x14ac:dyDescent="0.25">
      <c r="A243" t="s">
        <v>90</v>
      </c>
      <c r="B243" t="str">
        <f>"13109"</f>
        <v>13109</v>
      </c>
      <c r="C243" t="str">
        <f>"001"</f>
        <v>001</v>
      </c>
      <c r="D243">
        <v>2008</v>
      </c>
      <c r="E243">
        <v>1038900</v>
      </c>
      <c r="F243">
        <v>205900</v>
      </c>
      <c r="G243" t="s">
        <v>11</v>
      </c>
      <c r="H243" t="s">
        <v>38</v>
      </c>
      <c r="I243" t="s">
        <v>13</v>
      </c>
      <c r="J243" t="s">
        <v>13</v>
      </c>
    </row>
    <row r="244" spans="1:11" x14ac:dyDescent="0.25">
      <c r="A244" t="s">
        <v>5</v>
      </c>
      <c r="B244" t="str">
        <f>"23109"</f>
        <v>23109</v>
      </c>
      <c r="C244" t="str">
        <f>"001"</f>
        <v>001</v>
      </c>
      <c r="D244">
        <v>2008</v>
      </c>
      <c r="E244">
        <v>5169500</v>
      </c>
      <c r="F244">
        <v>768900</v>
      </c>
      <c r="G244" t="s">
        <v>11</v>
      </c>
      <c r="H244" t="s">
        <v>38</v>
      </c>
      <c r="I244" t="s">
        <v>13</v>
      </c>
      <c r="J244" t="s">
        <v>13</v>
      </c>
    </row>
    <row r="245" spans="1:11" x14ac:dyDescent="0.25">
      <c r="A245" t="s">
        <v>5</v>
      </c>
      <c r="B245" t="str">
        <f>"13109"</f>
        <v>13109</v>
      </c>
      <c r="C245" t="str">
        <f>"002"</f>
        <v>002</v>
      </c>
      <c r="D245">
        <v>2013</v>
      </c>
      <c r="E245">
        <v>748900</v>
      </c>
      <c r="F245">
        <v>727800</v>
      </c>
      <c r="G245" t="s">
        <v>11</v>
      </c>
      <c r="H245" t="s">
        <v>38</v>
      </c>
      <c r="I245" t="s">
        <v>13</v>
      </c>
      <c r="J245" t="s">
        <v>13</v>
      </c>
    </row>
    <row r="246" spans="1:11" x14ac:dyDescent="0.25">
      <c r="A246" t="s">
        <v>39</v>
      </c>
      <c r="B246" t="s">
        <v>13</v>
      </c>
      <c r="C246" t="s">
        <v>7</v>
      </c>
      <c r="D246" t="s">
        <v>8</v>
      </c>
      <c r="E246">
        <v>6957300</v>
      </c>
      <c r="F246">
        <v>1702600</v>
      </c>
      <c r="G246" t="s">
        <v>11</v>
      </c>
      <c r="H246">
        <v>110752000</v>
      </c>
      <c r="I246" t="s">
        <v>13</v>
      </c>
      <c r="J246" t="s">
        <v>13</v>
      </c>
      <c r="K246">
        <v>1.54</v>
      </c>
    </row>
    <row r="248" spans="1:11" x14ac:dyDescent="0.25">
      <c r="A248" t="s">
        <v>91</v>
      </c>
      <c r="B248" t="str">
        <f>"40107"</f>
        <v>40107</v>
      </c>
      <c r="C248" t="str">
        <f>"002"</f>
        <v>002</v>
      </c>
      <c r="D248">
        <v>1995</v>
      </c>
      <c r="E248">
        <v>38453700</v>
      </c>
      <c r="F248">
        <v>26473800</v>
      </c>
      <c r="G248" t="s">
        <v>11</v>
      </c>
      <c r="H248" t="s">
        <v>38</v>
      </c>
      <c r="I248" t="s">
        <v>13</v>
      </c>
      <c r="J248" t="s">
        <v>13</v>
      </c>
    </row>
    <row r="249" spans="1:11" x14ac:dyDescent="0.25">
      <c r="A249" t="s">
        <v>5</v>
      </c>
      <c r="B249" t="str">
        <f>"40107"</f>
        <v>40107</v>
      </c>
      <c r="C249" t="str">
        <f>"003"</f>
        <v>003</v>
      </c>
      <c r="D249">
        <v>2005</v>
      </c>
      <c r="E249">
        <v>48774300</v>
      </c>
      <c r="F249">
        <v>25805400</v>
      </c>
      <c r="G249" t="s">
        <v>11</v>
      </c>
      <c r="H249" t="s">
        <v>38</v>
      </c>
      <c r="I249" t="s">
        <v>13</v>
      </c>
      <c r="J249" t="s">
        <v>13</v>
      </c>
    </row>
    <row r="250" spans="1:11" x14ac:dyDescent="0.25">
      <c r="A250" t="s">
        <v>5</v>
      </c>
      <c r="B250" t="str">
        <f>"40107"</f>
        <v>40107</v>
      </c>
      <c r="C250" t="str">
        <f>"004"</f>
        <v>004</v>
      </c>
      <c r="D250">
        <v>2005</v>
      </c>
      <c r="E250">
        <v>19367500</v>
      </c>
      <c r="F250">
        <v>-431100</v>
      </c>
      <c r="G250" t="s">
        <v>49</v>
      </c>
      <c r="H250" t="s">
        <v>38</v>
      </c>
      <c r="I250" t="s">
        <v>13</v>
      </c>
      <c r="J250" t="s">
        <v>13</v>
      </c>
    </row>
    <row r="251" spans="1:11" x14ac:dyDescent="0.25">
      <c r="A251" t="s">
        <v>39</v>
      </c>
      <c r="B251" t="s">
        <v>13</v>
      </c>
      <c r="C251" t="s">
        <v>7</v>
      </c>
      <c r="D251" t="s">
        <v>8</v>
      </c>
      <c r="E251">
        <v>106595500</v>
      </c>
      <c r="F251">
        <v>52279200</v>
      </c>
      <c r="G251" t="s">
        <v>11</v>
      </c>
      <c r="H251">
        <v>1005880400</v>
      </c>
      <c r="I251" t="s">
        <v>13</v>
      </c>
      <c r="J251" t="s">
        <v>13</v>
      </c>
      <c r="K251">
        <v>5.2</v>
      </c>
    </row>
    <row r="253" spans="1:11" x14ac:dyDescent="0.25">
      <c r="A253" t="s">
        <v>92</v>
      </c>
      <c r="B253" t="str">
        <f>"54106"</f>
        <v>54106</v>
      </c>
      <c r="C253" t="str">
        <f>"001"</f>
        <v>001</v>
      </c>
      <c r="D253">
        <v>1998</v>
      </c>
      <c r="E253">
        <v>85000</v>
      </c>
      <c r="F253">
        <v>73700</v>
      </c>
      <c r="G253" t="s">
        <v>11</v>
      </c>
      <c r="H253" t="s">
        <v>38</v>
      </c>
      <c r="I253" t="s">
        <v>13</v>
      </c>
      <c r="J253" t="s">
        <v>13</v>
      </c>
    </row>
    <row r="254" spans="1:11" x14ac:dyDescent="0.25">
      <c r="A254" t="s">
        <v>5</v>
      </c>
      <c r="B254" t="str">
        <f>"54106"</f>
        <v>54106</v>
      </c>
      <c r="C254" t="str">
        <f>"002"</f>
        <v>002</v>
      </c>
      <c r="D254">
        <v>2002</v>
      </c>
      <c r="E254">
        <v>2049300</v>
      </c>
      <c r="F254">
        <v>776900</v>
      </c>
      <c r="G254" t="s">
        <v>11</v>
      </c>
      <c r="H254" t="s">
        <v>38</v>
      </c>
      <c r="I254" t="s">
        <v>13</v>
      </c>
      <c r="J254" t="s">
        <v>13</v>
      </c>
    </row>
    <row r="255" spans="1:11" x14ac:dyDescent="0.25">
      <c r="A255" t="s">
        <v>39</v>
      </c>
      <c r="B255" t="s">
        <v>13</v>
      </c>
      <c r="C255" t="s">
        <v>7</v>
      </c>
      <c r="D255" t="s">
        <v>8</v>
      </c>
      <c r="E255">
        <v>2134300</v>
      </c>
      <c r="F255">
        <v>850600</v>
      </c>
      <c r="G255" t="s">
        <v>11</v>
      </c>
      <c r="H255">
        <v>32044800</v>
      </c>
      <c r="I255" t="s">
        <v>13</v>
      </c>
      <c r="J255" t="s">
        <v>13</v>
      </c>
      <c r="K255">
        <v>2.65</v>
      </c>
    </row>
    <row r="257" spans="1:11" x14ac:dyDescent="0.25">
      <c r="A257" t="s">
        <v>93</v>
      </c>
      <c r="B257" t="str">
        <f>"64206"</f>
        <v>64206</v>
      </c>
      <c r="C257" t="str">
        <f>"005"</f>
        <v>005</v>
      </c>
      <c r="D257">
        <v>2015</v>
      </c>
      <c r="E257">
        <v>10193500</v>
      </c>
      <c r="F257">
        <v>10069600</v>
      </c>
      <c r="G257" t="s">
        <v>11</v>
      </c>
      <c r="H257" t="s">
        <v>38</v>
      </c>
      <c r="I257" t="s">
        <v>13</v>
      </c>
      <c r="J257" t="s">
        <v>13</v>
      </c>
    </row>
    <row r="258" spans="1:11" x14ac:dyDescent="0.25">
      <c r="A258" t="s">
        <v>39</v>
      </c>
      <c r="B258" t="s">
        <v>13</v>
      </c>
      <c r="C258" t="s">
        <v>7</v>
      </c>
      <c r="D258" t="s">
        <v>8</v>
      </c>
      <c r="E258">
        <v>10193500</v>
      </c>
      <c r="F258">
        <v>10069600</v>
      </c>
      <c r="G258" t="s">
        <v>11</v>
      </c>
      <c r="H258">
        <v>972118600</v>
      </c>
      <c r="I258" t="s">
        <v>13</v>
      </c>
      <c r="J258" t="s">
        <v>13</v>
      </c>
      <c r="K258">
        <v>1.04</v>
      </c>
    </row>
    <row r="260" spans="1:11" x14ac:dyDescent="0.25">
      <c r="A260" t="s">
        <v>94</v>
      </c>
      <c r="B260" t="str">
        <f>"09111"</f>
        <v>09111</v>
      </c>
      <c r="C260" t="str">
        <f>"004"</f>
        <v>004</v>
      </c>
      <c r="D260">
        <v>2013</v>
      </c>
      <c r="E260">
        <v>3587300</v>
      </c>
      <c r="F260">
        <v>1342100</v>
      </c>
      <c r="G260" t="s">
        <v>11</v>
      </c>
      <c r="H260" t="s">
        <v>38</v>
      </c>
      <c r="I260" t="s">
        <v>13</v>
      </c>
      <c r="J260" t="s">
        <v>13</v>
      </c>
    </row>
    <row r="261" spans="1:11" x14ac:dyDescent="0.25">
      <c r="A261" t="s">
        <v>39</v>
      </c>
      <c r="B261" t="s">
        <v>13</v>
      </c>
      <c r="C261" t="s">
        <v>7</v>
      </c>
      <c r="D261" t="s">
        <v>8</v>
      </c>
      <c r="E261">
        <v>3587300</v>
      </c>
      <c r="F261">
        <v>1342100</v>
      </c>
      <c r="G261" t="s">
        <v>11</v>
      </c>
      <c r="H261">
        <v>87427300</v>
      </c>
      <c r="I261" t="s">
        <v>13</v>
      </c>
      <c r="J261" t="s">
        <v>13</v>
      </c>
      <c r="K261">
        <v>1.54</v>
      </c>
    </row>
    <row r="263" spans="1:11" x14ac:dyDescent="0.25">
      <c r="A263" t="s">
        <v>95</v>
      </c>
      <c r="B263" t="str">
        <f>"51104"</f>
        <v>51104</v>
      </c>
      <c r="C263" t="str">
        <f>"001"</f>
        <v>001</v>
      </c>
      <c r="D263">
        <v>2007</v>
      </c>
      <c r="E263">
        <v>7128400</v>
      </c>
      <c r="F263">
        <v>5296600</v>
      </c>
      <c r="G263" t="s">
        <v>11</v>
      </c>
      <c r="H263" t="s">
        <v>38</v>
      </c>
      <c r="I263" t="s">
        <v>13</v>
      </c>
      <c r="J263" t="s">
        <v>13</v>
      </c>
    </row>
    <row r="264" spans="1:11" x14ac:dyDescent="0.25">
      <c r="A264" t="s">
        <v>5</v>
      </c>
      <c r="B264" t="str">
        <f>"51104"</f>
        <v>51104</v>
      </c>
      <c r="C264" t="str">
        <f>"003"</f>
        <v>003</v>
      </c>
      <c r="D264">
        <v>2011</v>
      </c>
      <c r="E264">
        <v>37340400</v>
      </c>
      <c r="F264">
        <v>8707700</v>
      </c>
      <c r="G264" t="s">
        <v>11</v>
      </c>
      <c r="H264" t="s">
        <v>38</v>
      </c>
      <c r="I264" t="s">
        <v>13</v>
      </c>
      <c r="J264" t="s">
        <v>13</v>
      </c>
    </row>
    <row r="265" spans="1:11" x14ac:dyDescent="0.25">
      <c r="A265" t="s">
        <v>5</v>
      </c>
      <c r="B265" t="str">
        <f>"51104"</f>
        <v>51104</v>
      </c>
      <c r="C265" t="str">
        <f>"004"</f>
        <v>004</v>
      </c>
      <c r="D265">
        <v>2014</v>
      </c>
      <c r="E265">
        <v>34079600</v>
      </c>
      <c r="F265">
        <v>18635400</v>
      </c>
      <c r="G265" t="s">
        <v>11</v>
      </c>
      <c r="H265" t="s">
        <v>38</v>
      </c>
      <c r="I265" t="s">
        <v>13</v>
      </c>
      <c r="J265" t="s">
        <v>13</v>
      </c>
    </row>
    <row r="266" spans="1:11" x14ac:dyDescent="0.25">
      <c r="A266" t="s">
        <v>39</v>
      </c>
      <c r="B266" t="s">
        <v>13</v>
      </c>
      <c r="C266" t="s">
        <v>7</v>
      </c>
      <c r="D266" t="s">
        <v>8</v>
      </c>
      <c r="E266">
        <v>78548400</v>
      </c>
      <c r="F266">
        <v>32639700</v>
      </c>
      <c r="G266" t="s">
        <v>11</v>
      </c>
      <c r="H266">
        <v>2316135600</v>
      </c>
      <c r="I266" t="s">
        <v>13</v>
      </c>
      <c r="J266" t="s">
        <v>13</v>
      </c>
      <c r="K266">
        <v>1.41</v>
      </c>
    </row>
    <row r="268" spans="1:11" x14ac:dyDescent="0.25">
      <c r="A268" t="s">
        <v>96</v>
      </c>
      <c r="B268" t="str">
        <f>"13111"</f>
        <v>13111</v>
      </c>
      <c r="C268" t="str">
        <f>"004"</f>
        <v>004</v>
      </c>
      <c r="D268">
        <v>2013</v>
      </c>
      <c r="E268">
        <v>13329900</v>
      </c>
      <c r="F268">
        <v>3288900</v>
      </c>
      <c r="G268" t="s">
        <v>11</v>
      </c>
      <c r="H268" t="s">
        <v>38</v>
      </c>
      <c r="I268" t="s">
        <v>13</v>
      </c>
      <c r="J268" t="s">
        <v>13</v>
      </c>
    </row>
    <row r="269" spans="1:11" x14ac:dyDescent="0.25">
      <c r="A269" t="s">
        <v>39</v>
      </c>
      <c r="B269" t="s">
        <v>13</v>
      </c>
      <c r="C269" t="s">
        <v>7</v>
      </c>
      <c r="D269" t="s">
        <v>8</v>
      </c>
      <c r="E269">
        <v>13329900</v>
      </c>
      <c r="F269">
        <v>3288900</v>
      </c>
      <c r="G269" t="s">
        <v>11</v>
      </c>
      <c r="H269">
        <v>173297900</v>
      </c>
      <c r="I269" t="s">
        <v>13</v>
      </c>
      <c r="J269" t="s">
        <v>13</v>
      </c>
      <c r="K269">
        <v>1.9</v>
      </c>
    </row>
    <row r="271" spans="1:11" x14ac:dyDescent="0.25">
      <c r="A271" t="s">
        <v>97</v>
      </c>
      <c r="B271" t="str">
        <f>"03111"</f>
        <v>03111</v>
      </c>
      <c r="C271" t="str">
        <f>"001"</f>
        <v>001</v>
      </c>
      <c r="D271">
        <v>2005</v>
      </c>
      <c r="E271">
        <v>18043500</v>
      </c>
      <c r="F271">
        <v>15726000</v>
      </c>
      <c r="G271" t="s">
        <v>11</v>
      </c>
      <c r="H271" t="s">
        <v>38</v>
      </c>
      <c r="I271" t="s">
        <v>13</v>
      </c>
      <c r="J271" t="s">
        <v>13</v>
      </c>
    </row>
    <row r="272" spans="1:11" x14ac:dyDescent="0.25">
      <c r="A272" t="s">
        <v>39</v>
      </c>
      <c r="B272" t="s">
        <v>13</v>
      </c>
      <c r="C272" t="s">
        <v>7</v>
      </c>
      <c r="D272" t="s">
        <v>8</v>
      </c>
      <c r="E272">
        <v>18043500</v>
      </c>
      <c r="F272">
        <v>15726000</v>
      </c>
      <c r="G272" t="s">
        <v>11</v>
      </c>
      <c r="H272">
        <v>110219100</v>
      </c>
      <c r="I272" t="s">
        <v>13</v>
      </c>
      <c r="J272" t="s">
        <v>13</v>
      </c>
      <c r="K272">
        <v>14.27</v>
      </c>
    </row>
    <row r="274" spans="1:11" x14ac:dyDescent="0.25">
      <c r="A274" t="s">
        <v>98</v>
      </c>
      <c r="B274" t="str">
        <f>"29111"</f>
        <v>29111</v>
      </c>
      <c r="C274" t="str">
        <f>"001"</f>
        <v>001</v>
      </c>
      <c r="D274">
        <v>1995</v>
      </c>
      <c r="E274">
        <v>5722200</v>
      </c>
      <c r="F274">
        <v>5092000</v>
      </c>
      <c r="G274" t="s">
        <v>11</v>
      </c>
      <c r="H274" t="s">
        <v>38</v>
      </c>
      <c r="I274" t="s">
        <v>13</v>
      </c>
      <c r="J274" t="s">
        <v>13</v>
      </c>
    </row>
    <row r="275" spans="1:11" x14ac:dyDescent="0.25">
      <c r="A275" t="s">
        <v>39</v>
      </c>
      <c r="B275" t="s">
        <v>13</v>
      </c>
      <c r="C275" t="s">
        <v>7</v>
      </c>
      <c r="D275" t="s">
        <v>8</v>
      </c>
      <c r="E275">
        <v>5722200</v>
      </c>
      <c r="F275">
        <v>5092000</v>
      </c>
      <c r="G275" t="s">
        <v>11</v>
      </c>
      <c r="H275">
        <v>23798000</v>
      </c>
      <c r="I275" t="s">
        <v>13</v>
      </c>
      <c r="J275" t="s">
        <v>13</v>
      </c>
      <c r="K275">
        <v>21.4</v>
      </c>
    </row>
    <row r="277" spans="1:11" x14ac:dyDescent="0.25">
      <c r="A277" t="s">
        <v>99</v>
      </c>
      <c r="B277" t="str">
        <f>"20111"</f>
        <v>20111</v>
      </c>
      <c r="C277" t="str">
        <f>"001"</f>
        <v>001</v>
      </c>
      <c r="D277">
        <v>2011</v>
      </c>
      <c r="E277">
        <v>2655100</v>
      </c>
      <c r="F277">
        <v>891800</v>
      </c>
      <c r="G277" t="s">
        <v>11</v>
      </c>
      <c r="H277" t="s">
        <v>38</v>
      </c>
      <c r="I277" t="s">
        <v>13</v>
      </c>
      <c r="J277" t="s">
        <v>13</v>
      </c>
    </row>
    <row r="278" spans="1:11" x14ac:dyDescent="0.25">
      <c r="A278" t="s">
        <v>39</v>
      </c>
      <c r="B278" t="s">
        <v>13</v>
      </c>
      <c r="C278" t="s">
        <v>7</v>
      </c>
      <c r="D278" t="s">
        <v>8</v>
      </c>
      <c r="E278">
        <v>2655100</v>
      </c>
      <c r="F278">
        <v>891800</v>
      </c>
      <c r="G278" t="s">
        <v>11</v>
      </c>
      <c r="H278">
        <v>117997900</v>
      </c>
      <c r="I278" t="s">
        <v>13</v>
      </c>
      <c r="J278" t="s">
        <v>13</v>
      </c>
      <c r="K278">
        <v>0.76</v>
      </c>
    </row>
    <row r="280" spans="1:11" x14ac:dyDescent="0.25">
      <c r="A280" t="s">
        <v>100</v>
      </c>
      <c r="B280" t="str">
        <f>"59111"</f>
        <v>59111</v>
      </c>
      <c r="C280" t="str">
        <f>"001"</f>
        <v>001</v>
      </c>
      <c r="D280">
        <v>2011</v>
      </c>
      <c r="E280">
        <v>1225700</v>
      </c>
      <c r="F280">
        <v>648700</v>
      </c>
      <c r="G280" t="s">
        <v>11</v>
      </c>
      <c r="H280" t="s">
        <v>38</v>
      </c>
      <c r="I280" t="s">
        <v>13</v>
      </c>
      <c r="J280" t="s">
        <v>13</v>
      </c>
    </row>
    <row r="281" spans="1:11" x14ac:dyDescent="0.25">
      <c r="A281" t="s">
        <v>39</v>
      </c>
      <c r="B281" t="s">
        <v>13</v>
      </c>
      <c r="C281" t="s">
        <v>7</v>
      </c>
      <c r="D281" t="s">
        <v>8</v>
      </c>
      <c r="E281">
        <v>1225700</v>
      </c>
      <c r="F281">
        <v>648700</v>
      </c>
      <c r="G281" t="s">
        <v>11</v>
      </c>
      <c r="H281">
        <v>43448600</v>
      </c>
      <c r="I281" t="s">
        <v>13</v>
      </c>
      <c r="J281" t="s">
        <v>13</v>
      </c>
      <c r="K281">
        <v>1.49</v>
      </c>
    </row>
    <row r="283" spans="1:11" x14ac:dyDescent="0.25">
      <c r="A283" t="s">
        <v>101</v>
      </c>
      <c r="B283" t="str">
        <f>"41111"</f>
        <v>41111</v>
      </c>
      <c r="C283" t="str">
        <f>"001"</f>
        <v>001</v>
      </c>
      <c r="D283">
        <v>1993</v>
      </c>
      <c r="E283">
        <v>2714600</v>
      </c>
      <c r="F283">
        <v>2632400</v>
      </c>
      <c r="G283" t="s">
        <v>11</v>
      </c>
      <c r="H283" t="s">
        <v>38</v>
      </c>
      <c r="I283" t="s">
        <v>13</v>
      </c>
      <c r="J283" t="s">
        <v>13</v>
      </c>
    </row>
    <row r="284" spans="1:11" x14ac:dyDescent="0.25">
      <c r="A284" t="s">
        <v>5</v>
      </c>
      <c r="B284" t="str">
        <f>"41111"</f>
        <v>41111</v>
      </c>
      <c r="C284" t="str">
        <f>"002"</f>
        <v>002</v>
      </c>
      <c r="D284">
        <v>1998</v>
      </c>
      <c r="E284">
        <v>1554600</v>
      </c>
      <c r="F284">
        <v>718600</v>
      </c>
      <c r="G284" t="s">
        <v>11</v>
      </c>
      <c r="H284" t="s">
        <v>38</v>
      </c>
      <c r="I284" t="s">
        <v>13</v>
      </c>
      <c r="J284" t="s">
        <v>13</v>
      </c>
    </row>
    <row r="285" spans="1:11" x14ac:dyDescent="0.25">
      <c r="A285" t="s">
        <v>5</v>
      </c>
      <c r="B285" t="str">
        <f>"41111"</f>
        <v>41111</v>
      </c>
      <c r="C285" t="str">
        <f>"003"</f>
        <v>003</v>
      </c>
      <c r="D285">
        <v>2005</v>
      </c>
      <c r="E285">
        <v>43168200</v>
      </c>
      <c r="F285">
        <v>42835900</v>
      </c>
      <c r="G285" t="s">
        <v>11</v>
      </c>
      <c r="H285" t="s">
        <v>38</v>
      </c>
      <c r="I285" t="s">
        <v>13</v>
      </c>
      <c r="J285" t="s">
        <v>13</v>
      </c>
    </row>
    <row r="286" spans="1:11" x14ac:dyDescent="0.25">
      <c r="A286" t="s">
        <v>39</v>
      </c>
      <c r="B286" t="s">
        <v>13</v>
      </c>
      <c r="C286" t="s">
        <v>7</v>
      </c>
      <c r="D286" t="s">
        <v>8</v>
      </c>
      <c r="E286">
        <v>47437400</v>
      </c>
      <c r="F286">
        <v>46186900</v>
      </c>
      <c r="G286" t="s">
        <v>11</v>
      </c>
      <c r="H286">
        <v>96585700</v>
      </c>
      <c r="I286" t="s">
        <v>13</v>
      </c>
      <c r="J286" t="s">
        <v>13</v>
      </c>
      <c r="K286">
        <v>47.82</v>
      </c>
    </row>
    <row r="288" spans="1:11" x14ac:dyDescent="0.25">
      <c r="A288" t="s">
        <v>102</v>
      </c>
      <c r="B288" t="str">
        <f>"59112"</f>
        <v>59112</v>
      </c>
      <c r="C288" t="str">
        <f>"001"</f>
        <v>001</v>
      </c>
      <c r="D288">
        <v>2009</v>
      </c>
      <c r="E288">
        <v>821400</v>
      </c>
      <c r="F288">
        <v>576600</v>
      </c>
      <c r="G288" t="s">
        <v>11</v>
      </c>
      <c r="H288" t="s">
        <v>38</v>
      </c>
      <c r="I288" t="s">
        <v>13</v>
      </c>
      <c r="J288" t="s">
        <v>13</v>
      </c>
    </row>
    <row r="289" spans="1:11" x14ac:dyDescent="0.25">
      <c r="A289" t="s">
        <v>5</v>
      </c>
      <c r="B289" t="str">
        <f>"59112"</f>
        <v>59112</v>
      </c>
      <c r="C289" t="str">
        <f>"002"</f>
        <v>002</v>
      </c>
      <c r="D289">
        <v>2017</v>
      </c>
      <c r="E289">
        <v>2645300</v>
      </c>
      <c r="F289">
        <v>40200</v>
      </c>
      <c r="G289" t="s">
        <v>11</v>
      </c>
      <c r="H289" t="s">
        <v>38</v>
      </c>
      <c r="I289" t="s">
        <v>13</v>
      </c>
      <c r="J289" t="s">
        <v>13</v>
      </c>
    </row>
    <row r="290" spans="1:11" x14ac:dyDescent="0.25">
      <c r="A290" t="s">
        <v>39</v>
      </c>
      <c r="B290" t="s">
        <v>13</v>
      </c>
      <c r="C290" t="s">
        <v>7</v>
      </c>
      <c r="D290" t="s">
        <v>8</v>
      </c>
      <c r="E290">
        <v>3466700</v>
      </c>
      <c r="F290">
        <v>616800</v>
      </c>
      <c r="G290" t="s">
        <v>11</v>
      </c>
      <c r="H290">
        <v>154197700</v>
      </c>
      <c r="I290" t="s">
        <v>13</v>
      </c>
      <c r="J290" t="s">
        <v>13</v>
      </c>
      <c r="K290">
        <v>0.4</v>
      </c>
    </row>
    <row r="292" spans="1:11" x14ac:dyDescent="0.25">
      <c r="A292" t="s">
        <v>103</v>
      </c>
      <c r="B292" t="str">
        <f>"45211"</f>
        <v>45211</v>
      </c>
      <c r="C292" t="str">
        <f>"003"</f>
        <v>003</v>
      </c>
      <c r="D292">
        <v>2015</v>
      </c>
      <c r="E292">
        <v>310100</v>
      </c>
      <c r="F292">
        <v>27600</v>
      </c>
      <c r="G292" t="s">
        <v>11</v>
      </c>
      <c r="H292" t="s">
        <v>38</v>
      </c>
      <c r="I292" t="s">
        <v>13</v>
      </c>
      <c r="J292" t="s">
        <v>13</v>
      </c>
    </row>
    <row r="293" spans="1:11" x14ac:dyDescent="0.25">
      <c r="A293" t="s">
        <v>5</v>
      </c>
      <c r="B293" t="str">
        <f>"45211"</f>
        <v>45211</v>
      </c>
      <c r="C293" t="str">
        <f>"004"</f>
        <v>004</v>
      </c>
      <c r="D293">
        <v>2018</v>
      </c>
      <c r="E293">
        <v>700</v>
      </c>
      <c r="F293">
        <v>100</v>
      </c>
      <c r="G293" t="s">
        <v>11</v>
      </c>
      <c r="H293" t="s">
        <v>38</v>
      </c>
      <c r="I293" t="s">
        <v>13</v>
      </c>
      <c r="J293" t="s">
        <v>13</v>
      </c>
    </row>
    <row r="294" spans="1:11" x14ac:dyDescent="0.25">
      <c r="A294" t="s">
        <v>5</v>
      </c>
      <c r="B294" t="str">
        <f>"45211"</f>
        <v>45211</v>
      </c>
      <c r="C294" t="str">
        <f>"005"</f>
        <v>005</v>
      </c>
      <c r="D294">
        <v>2018</v>
      </c>
      <c r="E294">
        <v>5688500</v>
      </c>
      <c r="F294">
        <v>4754300</v>
      </c>
      <c r="G294" t="s">
        <v>11</v>
      </c>
      <c r="H294" t="s">
        <v>38</v>
      </c>
      <c r="I294" t="s">
        <v>13</v>
      </c>
      <c r="J294" t="s">
        <v>13</v>
      </c>
    </row>
    <row r="295" spans="1:11" x14ac:dyDescent="0.25">
      <c r="A295" t="s">
        <v>39</v>
      </c>
      <c r="B295" t="s">
        <v>13</v>
      </c>
      <c r="C295" t="s">
        <v>7</v>
      </c>
      <c r="D295" t="s">
        <v>8</v>
      </c>
      <c r="E295">
        <v>5999300</v>
      </c>
      <c r="F295">
        <v>4782000</v>
      </c>
      <c r="G295" t="s">
        <v>11</v>
      </c>
      <c r="H295">
        <v>1433294900</v>
      </c>
      <c r="I295" t="s">
        <v>13</v>
      </c>
      <c r="J295" t="s">
        <v>13</v>
      </c>
      <c r="K295">
        <v>0.33</v>
      </c>
    </row>
    <row r="297" spans="1:11" x14ac:dyDescent="0.25">
      <c r="A297" t="s">
        <v>104</v>
      </c>
      <c r="B297" t="str">
        <f>"48111"</f>
        <v>48111</v>
      </c>
      <c r="C297" t="str">
        <f>"001"</f>
        <v>001</v>
      </c>
      <c r="D297">
        <v>1999</v>
      </c>
      <c r="E297">
        <v>8048400</v>
      </c>
      <c r="F297">
        <v>3365400</v>
      </c>
      <c r="G297" t="s">
        <v>11</v>
      </c>
      <c r="H297" t="s">
        <v>38</v>
      </c>
      <c r="I297" t="s">
        <v>13</v>
      </c>
      <c r="J297" t="s">
        <v>13</v>
      </c>
    </row>
    <row r="298" spans="1:11" x14ac:dyDescent="0.25">
      <c r="A298" t="s">
        <v>39</v>
      </c>
      <c r="B298" t="s">
        <v>13</v>
      </c>
      <c r="C298" t="s">
        <v>7</v>
      </c>
      <c r="D298" t="s">
        <v>8</v>
      </c>
      <c r="E298">
        <v>8048400</v>
      </c>
      <c r="F298">
        <v>3365400</v>
      </c>
      <c r="G298" t="s">
        <v>11</v>
      </c>
      <c r="H298">
        <v>33684500</v>
      </c>
      <c r="I298" t="s">
        <v>13</v>
      </c>
      <c r="J298" t="s">
        <v>13</v>
      </c>
      <c r="K298">
        <v>9.99</v>
      </c>
    </row>
    <row r="300" spans="1:11" x14ac:dyDescent="0.25">
      <c r="A300" t="s">
        <v>105</v>
      </c>
      <c r="B300" t="str">
        <f>"03211"</f>
        <v>03211</v>
      </c>
      <c r="C300" t="str">
        <f>"003"</f>
        <v>003</v>
      </c>
      <c r="D300">
        <v>2007</v>
      </c>
      <c r="E300">
        <v>0</v>
      </c>
      <c r="F300">
        <v>-222800</v>
      </c>
      <c r="G300" t="s">
        <v>49</v>
      </c>
      <c r="H300" t="s">
        <v>38</v>
      </c>
      <c r="I300" t="s">
        <v>13</v>
      </c>
      <c r="J300" t="s">
        <v>13</v>
      </c>
    </row>
    <row r="301" spans="1:11" x14ac:dyDescent="0.25">
      <c r="A301" t="s">
        <v>39</v>
      </c>
      <c r="B301" t="s">
        <v>13</v>
      </c>
      <c r="C301" t="s">
        <v>7</v>
      </c>
      <c r="D301" t="s">
        <v>8</v>
      </c>
      <c r="E301">
        <v>0</v>
      </c>
      <c r="F301">
        <v>0</v>
      </c>
      <c r="G301" t="s">
        <v>11</v>
      </c>
      <c r="H301">
        <v>164973600</v>
      </c>
      <c r="I301" t="s">
        <v>13</v>
      </c>
      <c r="J301" t="s">
        <v>13</v>
      </c>
      <c r="K301">
        <v>0</v>
      </c>
    </row>
    <row r="303" spans="1:11" x14ac:dyDescent="0.25">
      <c r="A303" t="s">
        <v>106</v>
      </c>
      <c r="B303" t="str">
        <f>"08211"</f>
        <v>08211</v>
      </c>
      <c r="C303" t="str">
        <f>"004"</f>
        <v>004</v>
      </c>
      <c r="D303">
        <v>2005</v>
      </c>
      <c r="E303">
        <v>4912300</v>
      </c>
      <c r="F303">
        <v>2756000</v>
      </c>
      <c r="G303" t="s">
        <v>11</v>
      </c>
      <c r="H303" t="s">
        <v>38</v>
      </c>
      <c r="I303" t="s">
        <v>13</v>
      </c>
      <c r="J303" t="s">
        <v>13</v>
      </c>
    </row>
    <row r="304" spans="1:11" x14ac:dyDescent="0.25">
      <c r="A304" t="s">
        <v>5</v>
      </c>
      <c r="B304" t="str">
        <f>"08211"</f>
        <v>08211</v>
      </c>
      <c r="C304" t="str">
        <f>"006"</f>
        <v>006</v>
      </c>
      <c r="D304">
        <v>2017</v>
      </c>
      <c r="E304">
        <v>4047900</v>
      </c>
      <c r="F304">
        <v>3232000</v>
      </c>
      <c r="G304" t="s">
        <v>11</v>
      </c>
      <c r="H304" t="s">
        <v>38</v>
      </c>
      <c r="I304" t="s">
        <v>13</v>
      </c>
      <c r="J304" t="s">
        <v>13</v>
      </c>
    </row>
    <row r="305" spans="1:11" x14ac:dyDescent="0.25">
      <c r="A305" t="s">
        <v>5</v>
      </c>
      <c r="B305" t="str">
        <f>"08211"</f>
        <v>08211</v>
      </c>
      <c r="C305" t="str">
        <f>"007"</f>
        <v>007</v>
      </c>
      <c r="D305">
        <v>2017</v>
      </c>
      <c r="E305">
        <v>66600</v>
      </c>
      <c r="F305">
        <v>20800</v>
      </c>
      <c r="G305" t="s">
        <v>11</v>
      </c>
      <c r="H305" t="s">
        <v>38</v>
      </c>
      <c r="I305" t="s">
        <v>13</v>
      </c>
      <c r="J305" t="s">
        <v>13</v>
      </c>
    </row>
    <row r="306" spans="1:11" x14ac:dyDescent="0.25">
      <c r="A306" t="s">
        <v>39</v>
      </c>
      <c r="B306" t="s">
        <v>13</v>
      </c>
      <c r="C306" t="s">
        <v>7</v>
      </c>
      <c r="D306" t="s">
        <v>8</v>
      </c>
      <c r="E306">
        <v>9026800</v>
      </c>
      <c r="F306">
        <v>6008800</v>
      </c>
      <c r="G306" t="s">
        <v>11</v>
      </c>
      <c r="H306">
        <v>281736000</v>
      </c>
      <c r="I306" t="s">
        <v>13</v>
      </c>
      <c r="J306" t="s">
        <v>13</v>
      </c>
      <c r="K306">
        <v>2.13</v>
      </c>
    </row>
    <row r="308" spans="1:11" x14ac:dyDescent="0.25">
      <c r="A308" t="s">
        <v>107</v>
      </c>
      <c r="B308" t="str">
        <f t="shared" ref="B308:B317" si="1">"09211"</f>
        <v>09211</v>
      </c>
      <c r="C308" t="str">
        <f>"004"</f>
        <v>004</v>
      </c>
      <c r="D308">
        <v>1994</v>
      </c>
      <c r="E308">
        <v>11685800</v>
      </c>
      <c r="F308">
        <v>5665300</v>
      </c>
      <c r="G308" t="s">
        <v>11</v>
      </c>
      <c r="H308" t="s">
        <v>38</v>
      </c>
      <c r="I308" t="s">
        <v>13</v>
      </c>
      <c r="J308" t="s">
        <v>13</v>
      </c>
    </row>
    <row r="309" spans="1:11" x14ac:dyDescent="0.25">
      <c r="A309" t="s">
        <v>5</v>
      </c>
      <c r="B309" t="str">
        <f t="shared" si="1"/>
        <v>09211</v>
      </c>
      <c r="C309" t="str">
        <f>"005"</f>
        <v>005</v>
      </c>
      <c r="D309">
        <v>1998</v>
      </c>
      <c r="E309">
        <v>60652400</v>
      </c>
      <c r="F309">
        <v>24759000</v>
      </c>
      <c r="G309" t="s">
        <v>11</v>
      </c>
      <c r="H309" t="s">
        <v>38</v>
      </c>
      <c r="I309" t="s">
        <v>13</v>
      </c>
      <c r="J309" t="s">
        <v>13</v>
      </c>
    </row>
    <row r="310" spans="1:11" x14ac:dyDescent="0.25">
      <c r="A310" t="s">
        <v>5</v>
      </c>
      <c r="B310" t="str">
        <f t="shared" si="1"/>
        <v>09211</v>
      </c>
      <c r="C310" t="str">
        <f>"007"</f>
        <v>007</v>
      </c>
      <c r="D310">
        <v>2001</v>
      </c>
      <c r="E310">
        <v>6483600</v>
      </c>
      <c r="F310">
        <v>4982000</v>
      </c>
      <c r="G310" t="s">
        <v>11</v>
      </c>
      <c r="H310" t="s">
        <v>38</v>
      </c>
      <c r="I310" t="s">
        <v>13</v>
      </c>
      <c r="J310" t="s">
        <v>13</v>
      </c>
    </row>
    <row r="311" spans="1:11" x14ac:dyDescent="0.25">
      <c r="A311" t="s">
        <v>5</v>
      </c>
      <c r="B311" t="str">
        <f t="shared" si="1"/>
        <v>09211</v>
      </c>
      <c r="C311" t="str">
        <f>"008"</f>
        <v>008</v>
      </c>
      <c r="D311">
        <v>2002</v>
      </c>
      <c r="E311">
        <v>4192600</v>
      </c>
      <c r="F311">
        <v>3753600</v>
      </c>
      <c r="G311" t="s">
        <v>11</v>
      </c>
      <c r="H311" t="s">
        <v>38</v>
      </c>
      <c r="I311" t="s">
        <v>13</v>
      </c>
      <c r="J311" t="s">
        <v>13</v>
      </c>
    </row>
    <row r="312" spans="1:11" x14ac:dyDescent="0.25">
      <c r="A312" t="s">
        <v>5</v>
      </c>
      <c r="B312" t="str">
        <f t="shared" si="1"/>
        <v>09211</v>
      </c>
      <c r="C312" t="str">
        <f>"010"</f>
        <v>010</v>
      </c>
      <c r="D312">
        <v>2005</v>
      </c>
      <c r="E312">
        <v>2645600</v>
      </c>
      <c r="F312">
        <v>2645600</v>
      </c>
      <c r="G312" t="s">
        <v>11</v>
      </c>
      <c r="H312" t="s">
        <v>38</v>
      </c>
      <c r="I312" t="s">
        <v>13</v>
      </c>
      <c r="J312" t="s">
        <v>13</v>
      </c>
    </row>
    <row r="313" spans="1:11" x14ac:dyDescent="0.25">
      <c r="A313" t="s">
        <v>5</v>
      </c>
      <c r="B313" t="str">
        <f t="shared" si="1"/>
        <v>09211</v>
      </c>
      <c r="C313" t="str">
        <f>"011"</f>
        <v>011</v>
      </c>
      <c r="D313">
        <v>2008</v>
      </c>
      <c r="E313">
        <v>48939600</v>
      </c>
      <c r="F313">
        <v>48860100</v>
      </c>
      <c r="G313" t="s">
        <v>11</v>
      </c>
      <c r="H313" t="s">
        <v>38</v>
      </c>
      <c r="I313" t="s">
        <v>13</v>
      </c>
      <c r="J313" t="s">
        <v>13</v>
      </c>
    </row>
    <row r="314" spans="1:11" x14ac:dyDescent="0.25">
      <c r="A314" t="s">
        <v>5</v>
      </c>
      <c r="B314" t="str">
        <f t="shared" si="1"/>
        <v>09211</v>
      </c>
      <c r="C314" t="str">
        <f>"012"</f>
        <v>012</v>
      </c>
      <c r="D314">
        <v>2012</v>
      </c>
      <c r="E314">
        <v>17486000</v>
      </c>
      <c r="F314">
        <v>12099300</v>
      </c>
      <c r="G314" t="s">
        <v>11</v>
      </c>
      <c r="H314" t="s">
        <v>38</v>
      </c>
      <c r="I314" t="s">
        <v>13</v>
      </c>
      <c r="J314" t="s">
        <v>13</v>
      </c>
    </row>
    <row r="315" spans="1:11" x14ac:dyDescent="0.25">
      <c r="A315" t="s">
        <v>5</v>
      </c>
      <c r="B315" t="str">
        <f t="shared" si="1"/>
        <v>09211</v>
      </c>
      <c r="C315" t="str">
        <f>"013"</f>
        <v>013</v>
      </c>
      <c r="D315">
        <v>2015</v>
      </c>
      <c r="E315">
        <v>9282000</v>
      </c>
      <c r="F315">
        <v>5779000</v>
      </c>
      <c r="G315" t="s">
        <v>11</v>
      </c>
      <c r="H315" t="s">
        <v>38</v>
      </c>
      <c r="I315" t="s">
        <v>13</v>
      </c>
      <c r="J315" t="s">
        <v>13</v>
      </c>
    </row>
    <row r="316" spans="1:11" x14ac:dyDescent="0.25">
      <c r="A316" t="s">
        <v>5</v>
      </c>
      <c r="B316" t="str">
        <f t="shared" si="1"/>
        <v>09211</v>
      </c>
      <c r="C316" t="str">
        <f>"014"</f>
        <v>014</v>
      </c>
      <c r="D316">
        <v>2015</v>
      </c>
      <c r="E316">
        <v>86448200</v>
      </c>
      <c r="F316">
        <v>86448200</v>
      </c>
      <c r="G316" t="s">
        <v>11</v>
      </c>
      <c r="H316" t="s">
        <v>38</v>
      </c>
      <c r="I316" t="s">
        <v>13</v>
      </c>
      <c r="J316" t="s">
        <v>13</v>
      </c>
    </row>
    <row r="317" spans="1:11" x14ac:dyDescent="0.25">
      <c r="A317" t="s">
        <v>5</v>
      </c>
      <c r="B317" t="str">
        <f t="shared" si="1"/>
        <v>09211</v>
      </c>
      <c r="C317" t="str">
        <f>"015"</f>
        <v>015</v>
      </c>
      <c r="D317">
        <v>2018</v>
      </c>
      <c r="E317">
        <v>2041200</v>
      </c>
      <c r="F317">
        <v>156100</v>
      </c>
      <c r="G317" t="s">
        <v>11</v>
      </c>
      <c r="H317" t="s">
        <v>38</v>
      </c>
      <c r="I317" t="s">
        <v>13</v>
      </c>
      <c r="J317" t="s">
        <v>13</v>
      </c>
    </row>
    <row r="318" spans="1:11" x14ac:dyDescent="0.25">
      <c r="A318" t="s">
        <v>39</v>
      </c>
      <c r="B318" t="s">
        <v>13</v>
      </c>
      <c r="C318" t="s">
        <v>7</v>
      </c>
      <c r="D318" t="s">
        <v>8</v>
      </c>
      <c r="E318">
        <v>249857000</v>
      </c>
      <c r="F318">
        <v>195148200</v>
      </c>
      <c r="G318" t="s">
        <v>11</v>
      </c>
      <c r="H318">
        <v>1116087900</v>
      </c>
      <c r="I318" t="s">
        <v>13</v>
      </c>
      <c r="J318" t="s">
        <v>13</v>
      </c>
      <c r="K318">
        <v>17.489999999999998</v>
      </c>
    </row>
    <row r="320" spans="1:11" x14ac:dyDescent="0.25">
      <c r="A320" t="s">
        <v>108</v>
      </c>
      <c r="B320" t="str">
        <f>"48112"</f>
        <v>48112</v>
      </c>
      <c r="C320" t="str">
        <f>"002"</f>
        <v>002</v>
      </c>
      <c r="D320">
        <v>1999</v>
      </c>
      <c r="E320">
        <v>1139400</v>
      </c>
      <c r="F320">
        <v>1071400</v>
      </c>
      <c r="G320" t="s">
        <v>11</v>
      </c>
      <c r="H320" t="s">
        <v>38</v>
      </c>
      <c r="I320" t="s">
        <v>13</v>
      </c>
      <c r="J320" t="s">
        <v>13</v>
      </c>
    </row>
    <row r="321" spans="1:11" x14ac:dyDescent="0.25">
      <c r="A321" t="s">
        <v>39</v>
      </c>
      <c r="B321" t="s">
        <v>13</v>
      </c>
      <c r="C321" t="s">
        <v>7</v>
      </c>
      <c r="D321" t="s">
        <v>8</v>
      </c>
      <c r="E321">
        <v>1139400</v>
      </c>
      <c r="F321">
        <v>1071400</v>
      </c>
      <c r="G321" t="s">
        <v>11</v>
      </c>
      <c r="H321">
        <v>24254700</v>
      </c>
      <c r="I321" t="s">
        <v>13</v>
      </c>
      <c r="J321" t="s">
        <v>13</v>
      </c>
      <c r="K321">
        <v>4.42</v>
      </c>
    </row>
    <row r="323" spans="1:11" x14ac:dyDescent="0.25">
      <c r="A323" t="s">
        <v>109</v>
      </c>
      <c r="B323" t="str">
        <f>"48113"</f>
        <v>48113</v>
      </c>
      <c r="C323" t="str">
        <f>"002"</f>
        <v>002</v>
      </c>
      <c r="D323">
        <v>2000</v>
      </c>
      <c r="E323">
        <v>3275700</v>
      </c>
      <c r="F323">
        <v>2844600</v>
      </c>
      <c r="G323" t="s">
        <v>11</v>
      </c>
      <c r="H323" t="s">
        <v>38</v>
      </c>
      <c r="I323" t="s">
        <v>13</v>
      </c>
      <c r="J323" t="s">
        <v>13</v>
      </c>
    </row>
    <row r="324" spans="1:11" x14ac:dyDescent="0.25">
      <c r="A324" t="s">
        <v>5</v>
      </c>
      <c r="B324" t="str">
        <f>"48113"</f>
        <v>48113</v>
      </c>
      <c r="C324" t="str">
        <f>"003"</f>
        <v>003</v>
      </c>
      <c r="D324">
        <v>2003</v>
      </c>
      <c r="E324">
        <v>5867700</v>
      </c>
      <c r="F324">
        <v>3754100</v>
      </c>
      <c r="G324" t="s">
        <v>11</v>
      </c>
      <c r="H324" t="s">
        <v>38</v>
      </c>
      <c r="I324" t="s">
        <v>13</v>
      </c>
      <c r="J324" t="s">
        <v>13</v>
      </c>
    </row>
    <row r="325" spans="1:11" x14ac:dyDescent="0.25">
      <c r="A325" t="s">
        <v>39</v>
      </c>
      <c r="B325" t="s">
        <v>13</v>
      </c>
      <c r="C325" t="s">
        <v>7</v>
      </c>
      <c r="D325" t="s">
        <v>8</v>
      </c>
      <c r="E325">
        <v>9143400</v>
      </c>
      <c r="F325">
        <v>6598700</v>
      </c>
      <c r="G325" t="s">
        <v>11</v>
      </c>
      <c r="H325">
        <v>67395500</v>
      </c>
      <c r="I325" t="s">
        <v>13</v>
      </c>
      <c r="J325" t="s">
        <v>13</v>
      </c>
      <c r="K325">
        <v>9.7899999999999991</v>
      </c>
    </row>
    <row r="327" spans="1:11" x14ac:dyDescent="0.25">
      <c r="A327" t="s">
        <v>110</v>
      </c>
      <c r="B327" t="str">
        <f>"53111"</f>
        <v>53111</v>
      </c>
      <c r="C327" t="str">
        <f>"004"</f>
        <v>004</v>
      </c>
      <c r="D327">
        <v>1998</v>
      </c>
      <c r="E327">
        <v>39532200</v>
      </c>
      <c r="F327">
        <v>21724900</v>
      </c>
      <c r="G327" t="s">
        <v>11</v>
      </c>
      <c r="H327" t="s">
        <v>38</v>
      </c>
      <c r="I327" t="s">
        <v>13</v>
      </c>
      <c r="J327" t="s">
        <v>13</v>
      </c>
    </row>
    <row r="328" spans="1:11" x14ac:dyDescent="0.25">
      <c r="A328" t="s">
        <v>39</v>
      </c>
      <c r="B328" t="s">
        <v>13</v>
      </c>
      <c r="C328" t="s">
        <v>7</v>
      </c>
      <c r="D328" t="s">
        <v>8</v>
      </c>
      <c r="E328">
        <v>39532200</v>
      </c>
      <c r="F328">
        <v>21724900</v>
      </c>
      <c r="G328" t="s">
        <v>11</v>
      </c>
      <c r="H328">
        <v>129746900</v>
      </c>
      <c r="I328" t="s">
        <v>13</v>
      </c>
      <c r="J328" t="s">
        <v>13</v>
      </c>
      <c r="K328">
        <v>16.739999999999998</v>
      </c>
    </row>
    <row r="330" spans="1:11" x14ac:dyDescent="0.25">
      <c r="A330" t="s">
        <v>111</v>
      </c>
      <c r="B330" t="str">
        <f>"68211"</f>
        <v>68211</v>
      </c>
      <c r="C330" t="str">
        <f>"008"</f>
        <v>008</v>
      </c>
      <c r="D330">
        <v>2018</v>
      </c>
      <c r="E330">
        <v>2064700</v>
      </c>
      <c r="F330">
        <v>1283500</v>
      </c>
      <c r="G330" t="s">
        <v>11</v>
      </c>
      <c r="H330" t="s">
        <v>38</v>
      </c>
      <c r="I330" t="s">
        <v>13</v>
      </c>
      <c r="J330" t="s">
        <v>13</v>
      </c>
    </row>
    <row r="331" spans="1:11" x14ac:dyDescent="0.25">
      <c r="A331" t="s">
        <v>5</v>
      </c>
      <c r="B331" t="str">
        <f>"68211"</f>
        <v>68211</v>
      </c>
      <c r="C331" t="str">
        <f>"009"</f>
        <v>009</v>
      </c>
      <c r="D331">
        <v>2018</v>
      </c>
      <c r="E331">
        <v>5791800</v>
      </c>
      <c r="F331">
        <v>1161500</v>
      </c>
      <c r="G331" t="s">
        <v>11</v>
      </c>
      <c r="H331" t="s">
        <v>38</v>
      </c>
      <c r="I331" t="s">
        <v>13</v>
      </c>
      <c r="J331" t="s">
        <v>13</v>
      </c>
    </row>
    <row r="332" spans="1:11" x14ac:dyDescent="0.25">
      <c r="A332" t="s">
        <v>39</v>
      </c>
      <c r="B332" t="s">
        <v>13</v>
      </c>
      <c r="C332" t="s">
        <v>7</v>
      </c>
      <c r="D332" t="s">
        <v>8</v>
      </c>
      <c r="E332">
        <v>7856500</v>
      </c>
      <c r="F332">
        <v>2445000</v>
      </c>
      <c r="G332" t="s">
        <v>11</v>
      </c>
      <c r="H332">
        <v>234782100</v>
      </c>
      <c r="I332" t="s">
        <v>13</v>
      </c>
      <c r="J332" t="s">
        <v>13</v>
      </c>
      <c r="K332">
        <v>1.04</v>
      </c>
    </row>
    <row r="334" spans="1:11" x14ac:dyDescent="0.25">
      <c r="A334" t="s">
        <v>112</v>
      </c>
      <c r="B334" t="str">
        <f>"37211"</f>
        <v>37211</v>
      </c>
      <c r="C334" t="str">
        <f>"002"</f>
        <v>002</v>
      </c>
      <c r="D334">
        <v>1993</v>
      </c>
      <c r="E334">
        <v>20564400</v>
      </c>
      <c r="F334">
        <v>16049700</v>
      </c>
      <c r="G334" t="s">
        <v>11</v>
      </c>
      <c r="H334" t="s">
        <v>38</v>
      </c>
      <c r="I334" t="s">
        <v>13</v>
      </c>
      <c r="J334" t="s">
        <v>13</v>
      </c>
    </row>
    <row r="335" spans="1:11" x14ac:dyDescent="0.25">
      <c r="A335" t="s">
        <v>5</v>
      </c>
      <c r="B335" t="str">
        <f>"10211"</f>
        <v>10211</v>
      </c>
      <c r="C335" t="str">
        <f>"002"</f>
        <v>002</v>
      </c>
      <c r="D335">
        <v>1993</v>
      </c>
      <c r="E335">
        <v>6014900</v>
      </c>
      <c r="F335">
        <v>5757400</v>
      </c>
      <c r="G335" t="s">
        <v>11</v>
      </c>
      <c r="H335" t="s">
        <v>38</v>
      </c>
      <c r="I335" t="s">
        <v>13</v>
      </c>
      <c r="J335" t="s">
        <v>13</v>
      </c>
    </row>
    <row r="336" spans="1:11" x14ac:dyDescent="0.25">
      <c r="A336" t="s">
        <v>39</v>
      </c>
      <c r="B336" t="s">
        <v>13</v>
      </c>
      <c r="C336" t="s">
        <v>7</v>
      </c>
      <c r="D336" t="s">
        <v>8</v>
      </c>
      <c r="E336">
        <v>26579300</v>
      </c>
      <c r="F336">
        <v>21807100</v>
      </c>
      <c r="G336" t="s">
        <v>11</v>
      </c>
      <c r="H336">
        <v>85414600</v>
      </c>
      <c r="I336" t="s">
        <v>13</v>
      </c>
      <c r="J336" t="s">
        <v>13</v>
      </c>
      <c r="K336">
        <v>25.53</v>
      </c>
    </row>
    <row r="338" spans="1:11" x14ac:dyDescent="0.25">
      <c r="A338" t="s">
        <v>113</v>
      </c>
      <c r="B338" t="str">
        <f>"38111"</f>
        <v>38111</v>
      </c>
      <c r="C338" t="str">
        <f>"001"</f>
        <v>001</v>
      </c>
      <c r="D338">
        <v>2005</v>
      </c>
      <c r="E338">
        <v>7098000</v>
      </c>
      <c r="F338">
        <v>4493900</v>
      </c>
      <c r="G338" t="s">
        <v>11</v>
      </c>
      <c r="H338" t="s">
        <v>38</v>
      </c>
      <c r="I338" t="s">
        <v>13</v>
      </c>
      <c r="J338" t="s">
        <v>13</v>
      </c>
    </row>
    <row r="339" spans="1:11" x14ac:dyDescent="0.25">
      <c r="A339" t="s">
        <v>5</v>
      </c>
      <c r="B339" t="str">
        <f>"38111"</f>
        <v>38111</v>
      </c>
      <c r="C339" t="str">
        <f>"002"</f>
        <v>002</v>
      </c>
      <c r="D339">
        <v>2017</v>
      </c>
      <c r="E339">
        <v>2273700</v>
      </c>
      <c r="F339">
        <v>1841800</v>
      </c>
      <c r="G339" t="s">
        <v>11</v>
      </c>
      <c r="H339" t="s">
        <v>38</v>
      </c>
      <c r="I339" t="s">
        <v>13</v>
      </c>
      <c r="J339" t="s">
        <v>13</v>
      </c>
    </row>
    <row r="340" spans="1:11" x14ac:dyDescent="0.25">
      <c r="A340" t="s">
        <v>5</v>
      </c>
      <c r="B340" t="str">
        <f>"38111"</f>
        <v>38111</v>
      </c>
      <c r="C340" t="str">
        <f>"003"</f>
        <v>003</v>
      </c>
      <c r="D340">
        <v>2018</v>
      </c>
      <c r="E340">
        <v>179000</v>
      </c>
      <c r="F340">
        <v>63200</v>
      </c>
      <c r="G340" t="s">
        <v>11</v>
      </c>
      <c r="H340" t="s">
        <v>38</v>
      </c>
      <c r="I340" t="s">
        <v>13</v>
      </c>
      <c r="J340" t="s">
        <v>13</v>
      </c>
    </row>
    <row r="341" spans="1:11" x14ac:dyDescent="0.25">
      <c r="A341" t="s">
        <v>39</v>
      </c>
      <c r="B341" t="s">
        <v>13</v>
      </c>
      <c r="C341" t="s">
        <v>7</v>
      </c>
      <c r="D341" t="s">
        <v>8</v>
      </c>
      <c r="E341">
        <v>9550700</v>
      </c>
      <c r="F341">
        <v>6398900</v>
      </c>
      <c r="G341" t="s">
        <v>11</v>
      </c>
      <c r="H341">
        <v>44390100</v>
      </c>
      <c r="I341" t="s">
        <v>13</v>
      </c>
      <c r="J341" t="s">
        <v>13</v>
      </c>
      <c r="K341">
        <v>14.42</v>
      </c>
    </row>
    <row r="343" spans="1:11" x14ac:dyDescent="0.25">
      <c r="A343" t="s">
        <v>114</v>
      </c>
      <c r="B343" t="str">
        <f>"17111"</f>
        <v>17111</v>
      </c>
      <c r="C343" t="str">
        <f>"003"</f>
        <v>003</v>
      </c>
      <c r="D343">
        <v>2002</v>
      </c>
      <c r="E343">
        <v>7673500</v>
      </c>
      <c r="F343">
        <v>3236600</v>
      </c>
      <c r="G343" t="s">
        <v>11</v>
      </c>
      <c r="H343" t="s">
        <v>38</v>
      </c>
      <c r="I343" t="s">
        <v>13</v>
      </c>
      <c r="J343" t="s">
        <v>13</v>
      </c>
    </row>
    <row r="344" spans="1:11" x14ac:dyDescent="0.25">
      <c r="A344" t="s">
        <v>5</v>
      </c>
      <c r="B344" t="str">
        <f>"17111"</f>
        <v>17111</v>
      </c>
      <c r="C344" t="str">
        <f>"004"</f>
        <v>004</v>
      </c>
      <c r="D344">
        <v>2006</v>
      </c>
      <c r="E344">
        <v>3104600</v>
      </c>
      <c r="F344">
        <v>1228000</v>
      </c>
      <c r="G344" t="s">
        <v>11</v>
      </c>
      <c r="H344" t="s">
        <v>38</v>
      </c>
      <c r="I344" t="s">
        <v>13</v>
      </c>
      <c r="J344" t="s">
        <v>13</v>
      </c>
    </row>
    <row r="345" spans="1:11" x14ac:dyDescent="0.25">
      <c r="A345" t="s">
        <v>39</v>
      </c>
      <c r="B345" t="s">
        <v>13</v>
      </c>
      <c r="C345" t="s">
        <v>7</v>
      </c>
      <c r="D345" t="s">
        <v>8</v>
      </c>
      <c r="E345">
        <v>10778100</v>
      </c>
      <c r="F345">
        <v>4464600</v>
      </c>
      <c r="G345" t="s">
        <v>11</v>
      </c>
      <c r="H345">
        <v>54690900</v>
      </c>
      <c r="I345" t="s">
        <v>13</v>
      </c>
      <c r="J345" t="s">
        <v>13</v>
      </c>
      <c r="K345">
        <v>8.16</v>
      </c>
    </row>
    <row r="347" spans="1:11" x14ac:dyDescent="0.25">
      <c r="A347" t="s">
        <v>115</v>
      </c>
      <c r="B347" t="str">
        <f>"69111"</f>
        <v>69111</v>
      </c>
      <c r="C347" t="str">
        <f>"002"</f>
        <v>002</v>
      </c>
      <c r="D347">
        <v>2005</v>
      </c>
      <c r="E347">
        <v>3779500</v>
      </c>
      <c r="F347">
        <v>2536400</v>
      </c>
      <c r="G347" t="s">
        <v>11</v>
      </c>
      <c r="H347" t="s">
        <v>38</v>
      </c>
      <c r="I347" t="s">
        <v>13</v>
      </c>
      <c r="J347" t="s">
        <v>13</v>
      </c>
    </row>
    <row r="348" spans="1:11" x14ac:dyDescent="0.25">
      <c r="A348" t="s">
        <v>39</v>
      </c>
      <c r="B348" t="s">
        <v>13</v>
      </c>
      <c r="C348" t="s">
        <v>7</v>
      </c>
      <c r="D348" t="s">
        <v>8</v>
      </c>
      <c r="E348">
        <v>3779500</v>
      </c>
      <c r="F348">
        <v>2536400</v>
      </c>
      <c r="G348" t="s">
        <v>11</v>
      </c>
      <c r="H348">
        <v>27455800</v>
      </c>
      <c r="I348" t="s">
        <v>13</v>
      </c>
      <c r="J348" t="s">
        <v>13</v>
      </c>
      <c r="K348">
        <v>9.24</v>
      </c>
    </row>
    <row r="350" spans="1:11" x14ac:dyDescent="0.25">
      <c r="A350" t="s">
        <v>116</v>
      </c>
      <c r="B350" t="str">
        <f>"11211"</f>
        <v>11211</v>
      </c>
      <c r="C350" t="str">
        <f>"003"</f>
        <v>003</v>
      </c>
      <c r="D350">
        <v>1995</v>
      </c>
      <c r="E350">
        <v>27918000</v>
      </c>
      <c r="F350">
        <v>24336800</v>
      </c>
      <c r="G350" t="s">
        <v>11</v>
      </c>
      <c r="H350" t="s">
        <v>38</v>
      </c>
      <c r="I350" t="s">
        <v>13</v>
      </c>
      <c r="J350" t="s">
        <v>13</v>
      </c>
    </row>
    <row r="351" spans="1:11" x14ac:dyDescent="0.25">
      <c r="A351" t="s">
        <v>5</v>
      </c>
      <c r="B351" t="str">
        <f>"11211"</f>
        <v>11211</v>
      </c>
      <c r="C351" t="str">
        <f>"004"</f>
        <v>004</v>
      </c>
      <c r="D351">
        <v>2015</v>
      </c>
      <c r="E351">
        <v>31333400</v>
      </c>
      <c r="F351">
        <v>28209300</v>
      </c>
      <c r="G351" t="s">
        <v>11</v>
      </c>
      <c r="H351" t="s">
        <v>38</v>
      </c>
      <c r="I351" t="s">
        <v>13</v>
      </c>
      <c r="J351" t="s">
        <v>13</v>
      </c>
    </row>
    <row r="352" spans="1:11" x14ac:dyDescent="0.25">
      <c r="A352" t="s">
        <v>39</v>
      </c>
      <c r="B352" t="s">
        <v>13</v>
      </c>
      <c r="C352" t="s">
        <v>7</v>
      </c>
      <c r="D352" t="s">
        <v>8</v>
      </c>
      <c r="E352">
        <v>59251400</v>
      </c>
      <c r="F352">
        <v>52546100</v>
      </c>
      <c r="G352" t="s">
        <v>11</v>
      </c>
      <c r="H352">
        <v>475533400</v>
      </c>
      <c r="I352" t="s">
        <v>13</v>
      </c>
      <c r="J352" t="s">
        <v>13</v>
      </c>
      <c r="K352">
        <v>11.05</v>
      </c>
    </row>
    <row r="354" spans="1:11" x14ac:dyDescent="0.25">
      <c r="A354" t="s">
        <v>117</v>
      </c>
      <c r="B354" t="str">
        <f>"44111"</f>
        <v>44111</v>
      </c>
      <c r="C354" t="str">
        <f>"002"</f>
        <v>002</v>
      </c>
      <c r="D354">
        <v>2015</v>
      </c>
      <c r="E354">
        <v>12879600</v>
      </c>
      <c r="F354">
        <v>-2857200</v>
      </c>
      <c r="G354" t="s">
        <v>49</v>
      </c>
      <c r="H354" t="s">
        <v>38</v>
      </c>
      <c r="I354" t="s">
        <v>13</v>
      </c>
      <c r="J354" t="s">
        <v>13</v>
      </c>
    </row>
    <row r="355" spans="1:11" x14ac:dyDescent="0.25">
      <c r="A355" t="s">
        <v>39</v>
      </c>
      <c r="B355" t="s">
        <v>13</v>
      </c>
      <c r="C355" t="s">
        <v>7</v>
      </c>
      <c r="D355" t="s">
        <v>8</v>
      </c>
      <c r="E355">
        <v>12879600</v>
      </c>
      <c r="F355">
        <v>0</v>
      </c>
      <c r="G355" t="s">
        <v>11</v>
      </c>
      <c r="H355">
        <v>321121600</v>
      </c>
      <c r="I355" t="s">
        <v>13</v>
      </c>
      <c r="J355" t="s">
        <v>13</v>
      </c>
      <c r="K355">
        <v>0</v>
      </c>
    </row>
    <row r="357" spans="1:11" x14ac:dyDescent="0.25">
      <c r="A357" t="s">
        <v>118</v>
      </c>
      <c r="B357" t="str">
        <f t="shared" ref="B357:B362" si="2">"13112"</f>
        <v>13112</v>
      </c>
      <c r="C357" t="str">
        <f>"005"</f>
        <v>005</v>
      </c>
      <c r="D357">
        <v>2003</v>
      </c>
      <c r="E357">
        <v>67829100</v>
      </c>
      <c r="F357">
        <v>64933000</v>
      </c>
      <c r="G357" t="s">
        <v>11</v>
      </c>
      <c r="H357" t="s">
        <v>38</v>
      </c>
      <c r="I357" t="s">
        <v>13</v>
      </c>
      <c r="J357" t="s">
        <v>13</v>
      </c>
    </row>
    <row r="358" spans="1:11" x14ac:dyDescent="0.25">
      <c r="A358" t="s">
        <v>5</v>
      </c>
      <c r="B358" t="str">
        <f t="shared" si="2"/>
        <v>13112</v>
      </c>
      <c r="C358" t="str">
        <f>"006"</f>
        <v>006</v>
      </c>
      <c r="D358">
        <v>2005</v>
      </c>
      <c r="E358">
        <v>8649100</v>
      </c>
      <c r="F358">
        <v>2580300</v>
      </c>
      <c r="G358" t="s">
        <v>11</v>
      </c>
      <c r="H358" t="s">
        <v>38</v>
      </c>
      <c r="I358" t="s">
        <v>13</v>
      </c>
      <c r="J358" t="s">
        <v>13</v>
      </c>
    </row>
    <row r="359" spans="1:11" x14ac:dyDescent="0.25">
      <c r="A359" t="s">
        <v>5</v>
      </c>
      <c r="B359" t="str">
        <f t="shared" si="2"/>
        <v>13112</v>
      </c>
      <c r="C359" t="str">
        <f>"007"</f>
        <v>007</v>
      </c>
      <c r="D359">
        <v>2005</v>
      </c>
      <c r="E359">
        <v>47339200</v>
      </c>
      <c r="F359">
        <v>32920200</v>
      </c>
      <c r="G359" t="s">
        <v>11</v>
      </c>
      <c r="H359" t="s">
        <v>38</v>
      </c>
      <c r="I359" t="s">
        <v>13</v>
      </c>
      <c r="J359" t="s">
        <v>13</v>
      </c>
    </row>
    <row r="360" spans="1:11" x14ac:dyDescent="0.25">
      <c r="A360" t="s">
        <v>5</v>
      </c>
      <c r="B360" t="str">
        <f t="shared" si="2"/>
        <v>13112</v>
      </c>
      <c r="C360" t="str">
        <f>"008"</f>
        <v>008</v>
      </c>
      <c r="D360">
        <v>2018</v>
      </c>
      <c r="E360">
        <v>2715600</v>
      </c>
      <c r="F360">
        <v>104000</v>
      </c>
      <c r="G360" t="s">
        <v>11</v>
      </c>
      <c r="H360" t="s">
        <v>38</v>
      </c>
      <c r="I360" t="s">
        <v>13</v>
      </c>
      <c r="J360" t="s">
        <v>13</v>
      </c>
    </row>
    <row r="361" spans="1:11" x14ac:dyDescent="0.25">
      <c r="A361" t="s">
        <v>5</v>
      </c>
      <c r="B361" t="str">
        <f t="shared" si="2"/>
        <v>13112</v>
      </c>
      <c r="C361" t="str">
        <f>"009"</f>
        <v>009</v>
      </c>
      <c r="D361">
        <v>2018</v>
      </c>
      <c r="E361">
        <v>9971900</v>
      </c>
      <c r="F361">
        <v>78400</v>
      </c>
      <c r="G361" t="s">
        <v>11</v>
      </c>
      <c r="H361" t="s">
        <v>38</v>
      </c>
      <c r="I361" t="s">
        <v>13</v>
      </c>
      <c r="J361" t="s">
        <v>13</v>
      </c>
    </row>
    <row r="362" spans="1:11" x14ac:dyDescent="0.25">
      <c r="A362" t="s">
        <v>5</v>
      </c>
      <c r="B362" t="str">
        <f t="shared" si="2"/>
        <v>13112</v>
      </c>
      <c r="C362" t="str">
        <f>"010"</f>
        <v>010</v>
      </c>
      <c r="D362">
        <v>2018</v>
      </c>
      <c r="E362">
        <v>1268000</v>
      </c>
      <c r="F362">
        <v>46000</v>
      </c>
      <c r="G362" t="s">
        <v>11</v>
      </c>
      <c r="H362" t="s">
        <v>38</v>
      </c>
      <c r="I362" t="s">
        <v>13</v>
      </c>
      <c r="J362" t="s">
        <v>13</v>
      </c>
    </row>
    <row r="363" spans="1:11" x14ac:dyDescent="0.25">
      <c r="A363" t="s">
        <v>39</v>
      </c>
      <c r="B363" t="s">
        <v>13</v>
      </c>
      <c r="C363" t="s">
        <v>7</v>
      </c>
      <c r="D363" t="s">
        <v>8</v>
      </c>
      <c r="E363">
        <v>137772900</v>
      </c>
      <c r="F363">
        <v>100661900</v>
      </c>
      <c r="G363" t="s">
        <v>11</v>
      </c>
      <c r="H363">
        <v>798718600</v>
      </c>
      <c r="I363" t="s">
        <v>13</v>
      </c>
      <c r="J363" t="s">
        <v>13</v>
      </c>
      <c r="K363">
        <v>12.6</v>
      </c>
    </row>
    <row r="365" spans="1:11" x14ac:dyDescent="0.25">
      <c r="A365" t="s">
        <v>119</v>
      </c>
      <c r="B365" t="str">
        <f>"21211"</f>
        <v>21211</v>
      </c>
      <c r="C365" t="str">
        <f>"001"</f>
        <v>001</v>
      </c>
      <c r="D365">
        <v>2002</v>
      </c>
      <c r="E365">
        <v>3759200</v>
      </c>
      <c r="F365">
        <v>2208200</v>
      </c>
      <c r="G365" t="s">
        <v>11</v>
      </c>
      <c r="H365" t="s">
        <v>38</v>
      </c>
      <c r="I365" t="s">
        <v>13</v>
      </c>
      <c r="J365" t="s">
        <v>13</v>
      </c>
    </row>
    <row r="366" spans="1:11" x14ac:dyDescent="0.25">
      <c r="A366" t="s">
        <v>39</v>
      </c>
      <c r="B366" t="s">
        <v>13</v>
      </c>
      <c r="C366" t="s">
        <v>7</v>
      </c>
      <c r="D366" t="s">
        <v>8</v>
      </c>
      <c r="E366">
        <v>3759200</v>
      </c>
      <c r="F366">
        <v>2208200</v>
      </c>
      <c r="G366" t="s">
        <v>11</v>
      </c>
      <c r="H366">
        <v>104782700</v>
      </c>
      <c r="I366" t="s">
        <v>13</v>
      </c>
      <c r="J366" t="s">
        <v>13</v>
      </c>
      <c r="K366">
        <v>2.11</v>
      </c>
    </row>
    <row r="368" spans="1:11" x14ac:dyDescent="0.25">
      <c r="A368" t="s">
        <v>120</v>
      </c>
      <c r="B368" t="str">
        <f>"38121"</f>
        <v>38121</v>
      </c>
      <c r="C368" t="str">
        <f>"001"</f>
        <v>001</v>
      </c>
      <c r="D368">
        <v>2001</v>
      </c>
      <c r="E368">
        <v>21621900</v>
      </c>
      <c r="F368">
        <v>17336300</v>
      </c>
      <c r="G368" t="s">
        <v>11</v>
      </c>
      <c r="H368" t="s">
        <v>38</v>
      </c>
      <c r="I368" t="s">
        <v>13</v>
      </c>
      <c r="J368" t="s">
        <v>13</v>
      </c>
    </row>
    <row r="369" spans="1:11" x14ac:dyDescent="0.25">
      <c r="A369" t="s">
        <v>39</v>
      </c>
      <c r="B369" t="s">
        <v>13</v>
      </c>
      <c r="C369" t="s">
        <v>7</v>
      </c>
      <c r="D369" t="s">
        <v>8</v>
      </c>
      <c r="E369">
        <v>21621900</v>
      </c>
      <c r="F369">
        <v>17336300</v>
      </c>
      <c r="G369" t="s">
        <v>11</v>
      </c>
      <c r="H369">
        <v>79187300</v>
      </c>
      <c r="I369" t="s">
        <v>13</v>
      </c>
      <c r="J369" t="s">
        <v>13</v>
      </c>
      <c r="K369">
        <v>21.89</v>
      </c>
    </row>
    <row r="371" spans="1:11" x14ac:dyDescent="0.25">
      <c r="A371" t="s">
        <v>121</v>
      </c>
      <c r="B371" t="str">
        <f>"13113"</f>
        <v>13113</v>
      </c>
      <c r="C371" t="str">
        <f>"003"</f>
        <v>003</v>
      </c>
      <c r="D371">
        <v>2008</v>
      </c>
      <c r="E371">
        <v>62492400</v>
      </c>
      <c r="F371">
        <v>34363800</v>
      </c>
      <c r="G371" t="s">
        <v>11</v>
      </c>
      <c r="H371" t="s">
        <v>38</v>
      </c>
      <c r="I371" t="s">
        <v>13</v>
      </c>
      <c r="J371" t="s">
        <v>13</v>
      </c>
    </row>
    <row r="372" spans="1:11" x14ac:dyDescent="0.25">
      <c r="A372" t="s">
        <v>39</v>
      </c>
      <c r="B372" t="s">
        <v>13</v>
      </c>
      <c r="C372" t="s">
        <v>7</v>
      </c>
      <c r="D372" t="s">
        <v>8</v>
      </c>
      <c r="E372">
        <v>62492400</v>
      </c>
      <c r="F372">
        <v>34363800</v>
      </c>
      <c r="G372" t="s">
        <v>11</v>
      </c>
      <c r="H372">
        <v>423233600</v>
      </c>
      <c r="I372" t="s">
        <v>13</v>
      </c>
      <c r="J372" t="s">
        <v>13</v>
      </c>
      <c r="K372">
        <v>8.1199999999999992</v>
      </c>
    </row>
    <row r="374" spans="1:11" x14ac:dyDescent="0.25">
      <c r="A374" t="s">
        <v>122</v>
      </c>
      <c r="B374" t="str">
        <f>"22211"</f>
        <v>22211</v>
      </c>
      <c r="C374" t="str">
        <f>"002"</f>
        <v>002</v>
      </c>
      <c r="D374">
        <v>1999</v>
      </c>
      <c r="E374">
        <v>9209100</v>
      </c>
      <c r="F374">
        <v>7506100</v>
      </c>
      <c r="G374" t="s">
        <v>11</v>
      </c>
      <c r="H374" t="s">
        <v>38</v>
      </c>
      <c r="I374" t="s">
        <v>13</v>
      </c>
      <c r="J374" t="s">
        <v>13</v>
      </c>
    </row>
    <row r="375" spans="1:11" x14ac:dyDescent="0.25">
      <c r="A375" t="s">
        <v>5</v>
      </c>
      <c r="B375" t="str">
        <f>"33211"</f>
        <v>33211</v>
      </c>
      <c r="C375" t="str">
        <f>"002"</f>
        <v>002</v>
      </c>
      <c r="D375">
        <v>1999</v>
      </c>
      <c r="E375">
        <v>2228100</v>
      </c>
      <c r="F375">
        <v>2161400</v>
      </c>
      <c r="G375" t="s">
        <v>11</v>
      </c>
      <c r="H375" t="s">
        <v>38</v>
      </c>
      <c r="I375" t="s">
        <v>13</v>
      </c>
      <c r="J375" t="s">
        <v>13</v>
      </c>
    </row>
    <row r="376" spans="1:11" x14ac:dyDescent="0.25">
      <c r="A376" t="s">
        <v>5</v>
      </c>
      <c r="B376" t="str">
        <f>"22211"</f>
        <v>22211</v>
      </c>
      <c r="C376" t="str">
        <f>"003"</f>
        <v>003</v>
      </c>
      <c r="D376">
        <v>2012</v>
      </c>
      <c r="E376">
        <v>4577000</v>
      </c>
      <c r="F376">
        <v>2273600</v>
      </c>
      <c r="G376" t="s">
        <v>11</v>
      </c>
      <c r="H376" t="s">
        <v>38</v>
      </c>
      <c r="I376" t="s">
        <v>13</v>
      </c>
      <c r="J376" t="s">
        <v>13</v>
      </c>
    </row>
    <row r="377" spans="1:11" x14ac:dyDescent="0.25">
      <c r="A377" t="s">
        <v>39</v>
      </c>
      <c r="B377" t="s">
        <v>13</v>
      </c>
      <c r="C377" t="s">
        <v>7</v>
      </c>
      <c r="D377" t="s">
        <v>8</v>
      </c>
      <c r="E377">
        <v>16014200</v>
      </c>
      <c r="F377">
        <v>11941100</v>
      </c>
      <c r="G377" t="s">
        <v>11</v>
      </c>
      <c r="H377">
        <v>135333200</v>
      </c>
      <c r="I377" t="s">
        <v>13</v>
      </c>
      <c r="J377" t="s">
        <v>13</v>
      </c>
      <c r="K377">
        <v>8.82</v>
      </c>
    </row>
    <row r="379" spans="1:11" x14ac:dyDescent="0.25">
      <c r="A379" t="s">
        <v>123</v>
      </c>
      <c r="B379" t="str">
        <f>"40211"</f>
        <v>40211</v>
      </c>
      <c r="C379" t="str">
        <f>"001"</f>
        <v>001</v>
      </c>
      <c r="D379">
        <v>1994</v>
      </c>
      <c r="E379">
        <v>263377100</v>
      </c>
      <c r="F379">
        <v>190552600</v>
      </c>
      <c r="G379" t="s">
        <v>11</v>
      </c>
      <c r="H379" t="s">
        <v>38</v>
      </c>
      <c r="I379" t="s">
        <v>13</v>
      </c>
      <c r="J379" t="s">
        <v>13</v>
      </c>
    </row>
    <row r="380" spans="1:11" x14ac:dyDescent="0.25">
      <c r="A380" t="s">
        <v>39</v>
      </c>
      <c r="B380" t="s">
        <v>13</v>
      </c>
      <c r="C380" t="s">
        <v>7</v>
      </c>
      <c r="D380" t="s">
        <v>8</v>
      </c>
      <c r="E380">
        <v>263377100</v>
      </c>
      <c r="F380">
        <v>190552600</v>
      </c>
      <c r="G380" t="s">
        <v>11</v>
      </c>
      <c r="H380">
        <v>1233560900</v>
      </c>
      <c r="I380" t="s">
        <v>13</v>
      </c>
      <c r="J380" t="s">
        <v>13</v>
      </c>
      <c r="K380">
        <v>15.45</v>
      </c>
    </row>
    <row r="382" spans="1:11" x14ac:dyDescent="0.25">
      <c r="A382" t="s">
        <v>124</v>
      </c>
      <c r="B382" t="str">
        <f>"03212"</f>
        <v>03212</v>
      </c>
      <c r="C382" t="str">
        <f>"007"</f>
        <v>007</v>
      </c>
      <c r="D382">
        <v>1995</v>
      </c>
      <c r="E382">
        <v>22459500</v>
      </c>
      <c r="F382">
        <v>21453100</v>
      </c>
      <c r="G382" t="s">
        <v>11</v>
      </c>
      <c r="H382" t="s">
        <v>38</v>
      </c>
      <c r="I382" t="s">
        <v>13</v>
      </c>
      <c r="J382" t="s">
        <v>13</v>
      </c>
    </row>
    <row r="383" spans="1:11" x14ac:dyDescent="0.25">
      <c r="A383" t="s">
        <v>5</v>
      </c>
      <c r="B383" t="str">
        <f>"03212"</f>
        <v>03212</v>
      </c>
      <c r="C383" t="str">
        <f>"008"</f>
        <v>008</v>
      </c>
      <c r="D383">
        <v>2017</v>
      </c>
      <c r="E383">
        <v>1671800</v>
      </c>
      <c r="F383">
        <v>1194300</v>
      </c>
      <c r="G383" t="s">
        <v>11</v>
      </c>
      <c r="H383" t="s">
        <v>38</v>
      </c>
      <c r="I383" t="s">
        <v>13</v>
      </c>
      <c r="J383" t="s">
        <v>13</v>
      </c>
    </row>
    <row r="384" spans="1:11" x14ac:dyDescent="0.25">
      <c r="A384" t="s">
        <v>5</v>
      </c>
      <c r="B384" t="str">
        <f>"03212"</f>
        <v>03212</v>
      </c>
      <c r="C384" t="str">
        <f>"009"</f>
        <v>009</v>
      </c>
      <c r="D384">
        <v>2018</v>
      </c>
      <c r="E384">
        <v>6433800</v>
      </c>
      <c r="F384">
        <v>21500</v>
      </c>
      <c r="G384" t="s">
        <v>11</v>
      </c>
      <c r="H384" t="s">
        <v>38</v>
      </c>
      <c r="I384" t="s">
        <v>13</v>
      </c>
      <c r="J384" t="s">
        <v>13</v>
      </c>
    </row>
    <row r="385" spans="1:11" x14ac:dyDescent="0.25">
      <c r="A385" t="s">
        <v>39</v>
      </c>
      <c r="B385" t="s">
        <v>13</v>
      </c>
      <c r="C385" t="s">
        <v>7</v>
      </c>
      <c r="D385" t="s">
        <v>8</v>
      </c>
      <c r="E385">
        <v>30565100</v>
      </c>
      <c r="F385">
        <v>22668900</v>
      </c>
      <c r="G385" t="s">
        <v>11</v>
      </c>
      <c r="H385">
        <v>178253200</v>
      </c>
      <c r="I385" t="s">
        <v>13</v>
      </c>
      <c r="J385" t="s">
        <v>13</v>
      </c>
      <c r="K385">
        <v>12.72</v>
      </c>
    </row>
    <row r="387" spans="1:11" x14ac:dyDescent="0.25">
      <c r="A387" t="s">
        <v>125</v>
      </c>
      <c r="B387" t="str">
        <f>"03116"</f>
        <v>03116</v>
      </c>
      <c r="C387" t="str">
        <f>"002"</f>
        <v>002</v>
      </c>
      <c r="D387">
        <v>2001</v>
      </c>
      <c r="E387">
        <v>1235700</v>
      </c>
      <c r="F387">
        <v>1205800</v>
      </c>
      <c r="G387" t="s">
        <v>11</v>
      </c>
      <c r="H387" t="s">
        <v>38</v>
      </c>
      <c r="I387" t="s">
        <v>13</v>
      </c>
      <c r="J387" t="s">
        <v>13</v>
      </c>
    </row>
    <row r="388" spans="1:11" x14ac:dyDescent="0.25">
      <c r="A388" t="s">
        <v>39</v>
      </c>
      <c r="B388" t="s">
        <v>13</v>
      </c>
      <c r="C388" t="s">
        <v>7</v>
      </c>
      <c r="D388" t="s">
        <v>8</v>
      </c>
      <c r="E388">
        <v>1235700</v>
      </c>
      <c r="F388">
        <v>1205800</v>
      </c>
      <c r="G388" t="s">
        <v>11</v>
      </c>
      <c r="H388">
        <v>13749500</v>
      </c>
      <c r="I388" t="s">
        <v>13</v>
      </c>
      <c r="J388" t="s">
        <v>13</v>
      </c>
      <c r="K388">
        <v>8.77</v>
      </c>
    </row>
    <row r="390" spans="1:11" x14ac:dyDescent="0.25">
      <c r="A390" t="s">
        <v>126</v>
      </c>
      <c r="B390" t="str">
        <f>"13116"</f>
        <v>13116</v>
      </c>
      <c r="C390" t="str">
        <f>"002"</f>
        <v>002</v>
      </c>
      <c r="D390">
        <v>2007</v>
      </c>
      <c r="E390">
        <v>5620600</v>
      </c>
      <c r="F390">
        <v>1194500</v>
      </c>
      <c r="G390" t="s">
        <v>11</v>
      </c>
      <c r="H390" t="s">
        <v>38</v>
      </c>
      <c r="I390" t="s">
        <v>13</v>
      </c>
      <c r="J390" t="s">
        <v>13</v>
      </c>
    </row>
    <row r="391" spans="1:11" x14ac:dyDescent="0.25">
      <c r="A391" t="s">
        <v>39</v>
      </c>
      <c r="B391" t="s">
        <v>13</v>
      </c>
      <c r="C391" t="s">
        <v>7</v>
      </c>
      <c r="D391" t="s">
        <v>8</v>
      </c>
      <c r="E391">
        <v>5620600</v>
      </c>
      <c r="F391">
        <v>1194500</v>
      </c>
      <c r="G391" t="s">
        <v>11</v>
      </c>
      <c r="H391">
        <v>104206100</v>
      </c>
      <c r="I391" t="s">
        <v>13</v>
      </c>
      <c r="J391" t="s">
        <v>13</v>
      </c>
      <c r="K391">
        <v>1.1499999999999999</v>
      </c>
    </row>
    <row r="393" spans="1:11" x14ac:dyDescent="0.25">
      <c r="A393" t="s">
        <v>127</v>
      </c>
      <c r="B393" t="str">
        <f>"64116"</f>
        <v>64116</v>
      </c>
      <c r="C393" t="str">
        <f>"003"</f>
        <v>003</v>
      </c>
      <c r="D393">
        <v>2015</v>
      </c>
      <c r="E393">
        <v>5926600</v>
      </c>
      <c r="F393">
        <v>3752000</v>
      </c>
      <c r="G393" t="s">
        <v>11</v>
      </c>
      <c r="H393" t="s">
        <v>38</v>
      </c>
      <c r="I393" t="s">
        <v>13</v>
      </c>
      <c r="J393" t="s">
        <v>13</v>
      </c>
    </row>
    <row r="394" spans="1:11" x14ac:dyDescent="0.25">
      <c r="A394" t="s">
        <v>39</v>
      </c>
      <c r="B394" t="s">
        <v>13</v>
      </c>
      <c r="C394" t="s">
        <v>7</v>
      </c>
      <c r="D394" t="s">
        <v>8</v>
      </c>
      <c r="E394">
        <v>5926600</v>
      </c>
      <c r="F394">
        <v>3752000</v>
      </c>
      <c r="G394" t="s">
        <v>11</v>
      </c>
      <c r="H394">
        <v>108647600</v>
      </c>
      <c r="I394" t="s">
        <v>13</v>
      </c>
      <c r="J394" t="s">
        <v>13</v>
      </c>
      <c r="K394">
        <v>3.45</v>
      </c>
    </row>
    <row r="396" spans="1:11" x14ac:dyDescent="0.25">
      <c r="A396" t="s">
        <v>128</v>
      </c>
      <c r="B396" t="str">
        <f>"33216"</f>
        <v>33216</v>
      </c>
      <c r="C396" t="str">
        <f>"006"</f>
        <v>006</v>
      </c>
      <c r="D396">
        <v>2003</v>
      </c>
      <c r="E396">
        <v>33151200</v>
      </c>
      <c r="F396">
        <v>28846300</v>
      </c>
      <c r="G396" t="s">
        <v>11</v>
      </c>
      <c r="H396" t="s">
        <v>38</v>
      </c>
      <c r="I396" t="s">
        <v>13</v>
      </c>
      <c r="J396" t="s">
        <v>13</v>
      </c>
    </row>
    <row r="397" spans="1:11" x14ac:dyDescent="0.25">
      <c r="A397" t="s">
        <v>5</v>
      </c>
      <c r="B397" t="str">
        <f>"33216"</f>
        <v>33216</v>
      </c>
      <c r="C397" t="str">
        <f>"007"</f>
        <v>007</v>
      </c>
      <c r="D397">
        <v>2006</v>
      </c>
      <c r="E397">
        <v>5161600</v>
      </c>
      <c r="F397">
        <v>2975300</v>
      </c>
      <c r="G397" t="s">
        <v>11</v>
      </c>
      <c r="H397" t="s">
        <v>38</v>
      </c>
      <c r="I397" t="s">
        <v>13</v>
      </c>
      <c r="J397" t="s">
        <v>13</v>
      </c>
    </row>
    <row r="398" spans="1:11" x14ac:dyDescent="0.25">
      <c r="A398" t="s">
        <v>5</v>
      </c>
      <c r="B398" t="str">
        <f>"33216"</f>
        <v>33216</v>
      </c>
      <c r="C398" t="str">
        <f>"008"</f>
        <v>008</v>
      </c>
      <c r="D398">
        <v>2018</v>
      </c>
      <c r="E398">
        <v>25400</v>
      </c>
      <c r="F398">
        <v>2900</v>
      </c>
      <c r="G398" t="s">
        <v>11</v>
      </c>
      <c r="H398" t="s">
        <v>38</v>
      </c>
      <c r="I398" t="s">
        <v>13</v>
      </c>
      <c r="J398" t="s">
        <v>13</v>
      </c>
    </row>
    <row r="399" spans="1:11" x14ac:dyDescent="0.25">
      <c r="A399" t="s">
        <v>39</v>
      </c>
      <c r="B399" t="s">
        <v>13</v>
      </c>
      <c r="C399" t="s">
        <v>7</v>
      </c>
      <c r="D399" t="s">
        <v>8</v>
      </c>
      <c r="E399">
        <v>38338200</v>
      </c>
      <c r="F399">
        <v>31824500</v>
      </c>
      <c r="G399" t="s">
        <v>11</v>
      </c>
      <c r="H399">
        <v>134846400</v>
      </c>
      <c r="I399" t="s">
        <v>13</v>
      </c>
      <c r="J399" t="s">
        <v>13</v>
      </c>
      <c r="K399">
        <v>23.6</v>
      </c>
    </row>
    <row r="401" spans="1:11" x14ac:dyDescent="0.25">
      <c r="A401" t="s">
        <v>129</v>
      </c>
      <c r="B401" t="str">
        <f t="shared" ref="B401:B409" si="3">"05216"</f>
        <v>05216</v>
      </c>
      <c r="C401" t="str">
        <f>"005"</f>
        <v>005</v>
      </c>
      <c r="D401">
        <v>1996</v>
      </c>
      <c r="E401">
        <v>46212000</v>
      </c>
      <c r="F401">
        <v>34671300</v>
      </c>
      <c r="G401" t="s">
        <v>11</v>
      </c>
      <c r="H401" t="s">
        <v>38</v>
      </c>
      <c r="I401" t="s">
        <v>13</v>
      </c>
      <c r="J401" t="s">
        <v>13</v>
      </c>
    </row>
    <row r="402" spans="1:11" x14ac:dyDescent="0.25">
      <c r="A402" t="s">
        <v>5</v>
      </c>
      <c r="B402" t="str">
        <f t="shared" si="3"/>
        <v>05216</v>
      </c>
      <c r="C402" t="str">
        <f>"006"</f>
        <v>006</v>
      </c>
      <c r="D402">
        <v>1998</v>
      </c>
      <c r="E402">
        <v>94872200</v>
      </c>
      <c r="F402">
        <v>87829300</v>
      </c>
      <c r="G402" t="s">
        <v>11</v>
      </c>
      <c r="H402" t="s">
        <v>38</v>
      </c>
      <c r="I402" t="s">
        <v>13</v>
      </c>
      <c r="J402" t="s">
        <v>13</v>
      </c>
    </row>
    <row r="403" spans="1:11" x14ac:dyDescent="0.25">
      <c r="A403" t="s">
        <v>5</v>
      </c>
      <c r="B403" t="str">
        <f t="shared" si="3"/>
        <v>05216</v>
      </c>
      <c r="C403" t="str">
        <f>"007"</f>
        <v>007</v>
      </c>
      <c r="D403">
        <v>2007</v>
      </c>
      <c r="E403">
        <v>18486400</v>
      </c>
      <c r="F403">
        <v>6430400</v>
      </c>
      <c r="G403" t="s">
        <v>11</v>
      </c>
      <c r="H403" t="s">
        <v>38</v>
      </c>
      <c r="I403" t="s">
        <v>13</v>
      </c>
      <c r="J403" t="s">
        <v>13</v>
      </c>
    </row>
    <row r="404" spans="1:11" x14ac:dyDescent="0.25">
      <c r="A404" t="s">
        <v>5</v>
      </c>
      <c r="B404" t="str">
        <f t="shared" si="3"/>
        <v>05216</v>
      </c>
      <c r="C404" t="str">
        <f>"008"</f>
        <v>008</v>
      </c>
      <c r="D404">
        <v>2007</v>
      </c>
      <c r="E404">
        <v>50891500</v>
      </c>
      <c r="F404">
        <v>14258300</v>
      </c>
      <c r="G404" t="s">
        <v>11</v>
      </c>
      <c r="H404" t="s">
        <v>38</v>
      </c>
      <c r="I404" t="s">
        <v>13</v>
      </c>
      <c r="J404" t="s">
        <v>13</v>
      </c>
    </row>
    <row r="405" spans="1:11" x14ac:dyDescent="0.25">
      <c r="A405" t="s">
        <v>5</v>
      </c>
      <c r="B405" t="str">
        <f t="shared" si="3"/>
        <v>05216</v>
      </c>
      <c r="C405" t="str">
        <f>"009"</f>
        <v>009</v>
      </c>
      <c r="D405">
        <v>2012</v>
      </c>
      <c r="E405">
        <v>16681800</v>
      </c>
      <c r="F405">
        <v>1905700</v>
      </c>
      <c r="G405" t="s">
        <v>11</v>
      </c>
      <c r="H405" t="s">
        <v>38</v>
      </c>
      <c r="I405" t="s">
        <v>13</v>
      </c>
      <c r="J405" t="s">
        <v>13</v>
      </c>
    </row>
    <row r="406" spans="1:11" x14ac:dyDescent="0.25">
      <c r="A406" t="s">
        <v>5</v>
      </c>
      <c r="B406" t="str">
        <f t="shared" si="3"/>
        <v>05216</v>
      </c>
      <c r="C406" t="str">
        <f>"010"</f>
        <v>010</v>
      </c>
      <c r="D406">
        <v>2012</v>
      </c>
      <c r="E406">
        <v>35169900</v>
      </c>
      <c r="F406">
        <v>10358000</v>
      </c>
      <c r="G406" t="s">
        <v>11</v>
      </c>
      <c r="H406" t="s">
        <v>38</v>
      </c>
      <c r="I406" t="s">
        <v>13</v>
      </c>
      <c r="J406" t="s">
        <v>13</v>
      </c>
    </row>
    <row r="407" spans="1:11" x14ac:dyDescent="0.25">
      <c r="A407" t="s">
        <v>5</v>
      </c>
      <c r="B407" t="str">
        <f t="shared" si="3"/>
        <v>05216</v>
      </c>
      <c r="C407" t="str">
        <f>"011"</f>
        <v>011</v>
      </c>
      <c r="D407">
        <v>2015</v>
      </c>
      <c r="E407">
        <v>12511300</v>
      </c>
      <c r="F407">
        <v>6431800</v>
      </c>
      <c r="G407" t="s">
        <v>11</v>
      </c>
      <c r="H407" t="s">
        <v>38</v>
      </c>
      <c r="I407" t="s">
        <v>13</v>
      </c>
      <c r="J407" t="s">
        <v>13</v>
      </c>
    </row>
    <row r="408" spans="1:11" x14ac:dyDescent="0.25">
      <c r="A408" t="s">
        <v>5</v>
      </c>
      <c r="B408" t="str">
        <f t="shared" si="3"/>
        <v>05216</v>
      </c>
      <c r="C408" t="str">
        <f>"012"</f>
        <v>012</v>
      </c>
      <c r="D408">
        <v>2015</v>
      </c>
      <c r="E408">
        <v>123100</v>
      </c>
      <c r="F408">
        <v>-6000</v>
      </c>
      <c r="G408" t="s">
        <v>49</v>
      </c>
      <c r="H408" t="s">
        <v>38</v>
      </c>
      <c r="I408" t="s">
        <v>13</v>
      </c>
      <c r="J408" t="s">
        <v>13</v>
      </c>
    </row>
    <row r="409" spans="1:11" x14ac:dyDescent="0.25">
      <c r="A409" t="s">
        <v>5</v>
      </c>
      <c r="B409" t="str">
        <f t="shared" si="3"/>
        <v>05216</v>
      </c>
      <c r="C409" t="str">
        <f>"013"</f>
        <v>013</v>
      </c>
      <c r="D409">
        <v>2017</v>
      </c>
      <c r="E409">
        <v>54405400</v>
      </c>
      <c r="F409">
        <v>1044300</v>
      </c>
      <c r="G409" t="s">
        <v>11</v>
      </c>
      <c r="H409" t="s">
        <v>38</v>
      </c>
      <c r="I409" t="s">
        <v>13</v>
      </c>
      <c r="J409" t="s">
        <v>13</v>
      </c>
    </row>
    <row r="410" spans="1:11" x14ac:dyDescent="0.25">
      <c r="A410" t="s">
        <v>39</v>
      </c>
      <c r="B410" t="s">
        <v>13</v>
      </c>
      <c r="C410" t="s">
        <v>7</v>
      </c>
      <c r="D410" t="s">
        <v>8</v>
      </c>
      <c r="E410">
        <v>329353600</v>
      </c>
      <c r="F410">
        <v>162929100</v>
      </c>
      <c r="G410" t="s">
        <v>11</v>
      </c>
      <c r="H410">
        <v>2209815400</v>
      </c>
      <c r="I410" t="s">
        <v>13</v>
      </c>
      <c r="J410" t="s">
        <v>13</v>
      </c>
      <c r="K410">
        <v>7.37</v>
      </c>
    </row>
    <row r="412" spans="1:11" x14ac:dyDescent="0.25">
      <c r="A412" t="s">
        <v>130</v>
      </c>
      <c r="B412" t="str">
        <f>"62116"</f>
        <v>62116</v>
      </c>
      <c r="C412" t="str">
        <f>"001"</f>
        <v>001</v>
      </c>
      <c r="D412">
        <v>2001</v>
      </c>
      <c r="E412">
        <v>724800</v>
      </c>
      <c r="F412">
        <v>384600</v>
      </c>
      <c r="G412" t="s">
        <v>11</v>
      </c>
      <c r="H412" t="s">
        <v>38</v>
      </c>
      <c r="I412" t="s">
        <v>13</v>
      </c>
      <c r="J412" t="s">
        <v>13</v>
      </c>
    </row>
    <row r="413" spans="1:11" x14ac:dyDescent="0.25">
      <c r="A413" t="s">
        <v>5</v>
      </c>
      <c r="B413" t="str">
        <f>"12116"</f>
        <v>12116</v>
      </c>
      <c r="C413" t="str">
        <f>"001"</f>
        <v>001</v>
      </c>
      <c r="D413">
        <v>2001</v>
      </c>
      <c r="E413">
        <v>508100</v>
      </c>
      <c r="F413">
        <v>346400</v>
      </c>
      <c r="G413" t="s">
        <v>11</v>
      </c>
      <c r="H413" t="s">
        <v>38</v>
      </c>
      <c r="I413" t="s">
        <v>13</v>
      </c>
      <c r="J413" t="s">
        <v>13</v>
      </c>
    </row>
    <row r="414" spans="1:11" x14ac:dyDescent="0.25">
      <c r="A414" t="s">
        <v>39</v>
      </c>
      <c r="B414" t="s">
        <v>13</v>
      </c>
      <c r="C414" t="s">
        <v>7</v>
      </c>
      <c r="D414" t="s">
        <v>8</v>
      </c>
      <c r="E414">
        <v>1232900</v>
      </c>
      <c r="F414">
        <v>731000</v>
      </c>
      <c r="G414" t="s">
        <v>11</v>
      </c>
      <c r="H414">
        <v>20560900</v>
      </c>
      <c r="I414" t="s">
        <v>13</v>
      </c>
      <c r="J414" t="s">
        <v>13</v>
      </c>
      <c r="K414">
        <v>3.56</v>
      </c>
    </row>
    <row r="416" spans="1:11" x14ac:dyDescent="0.25">
      <c r="A416" t="s">
        <v>131</v>
      </c>
      <c r="B416" t="str">
        <f>"13117"</f>
        <v>13117</v>
      </c>
      <c r="C416" t="str">
        <f>"003"</f>
        <v>003</v>
      </c>
      <c r="D416">
        <v>2005</v>
      </c>
      <c r="E416">
        <v>34207700</v>
      </c>
      <c r="F416">
        <v>24237300</v>
      </c>
      <c r="G416" t="s">
        <v>11</v>
      </c>
      <c r="H416" t="s">
        <v>38</v>
      </c>
      <c r="I416" t="s">
        <v>13</v>
      </c>
      <c r="J416" t="s">
        <v>13</v>
      </c>
    </row>
    <row r="417" spans="1:11" x14ac:dyDescent="0.25">
      <c r="A417" t="s">
        <v>5</v>
      </c>
      <c r="B417" t="str">
        <f>"13117"</f>
        <v>13117</v>
      </c>
      <c r="C417" t="str">
        <f>"004"</f>
        <v>004</v>
      </c>
      <c r="D417">
        <v>2007</v>
      </c>
      <c r="E417">
        <v>1985600</v>
      </c>
      <c r="F417">
        <v>-415800</v>
      </c>
      <c r="G417" t="s">
        <v>49</v>
      </c>
      <c r="H417" t="s">
        <v>38</v>
      </c>
      <c r="I417" t="s">
        <v>13</v>
      </c>
      <c r="J417" t="s">
        <v>13</v>
      </c>
    </row>
    <row r="418" spans="1:11" x14ac:dyDescent="0.25">
      <c r="A418" t="s">
        <v>5</v>
      </c>
      <c r="B418" t="str">
        <f>"13117"</f>
        <v>13117</v>
      </c>
      <c r="C418" t="str">
        <f>"005"</f>
        <v>005</v>
      </c>
      <c r="D418">
        <v>2008</v>
      </c>
      <c r="E418">
        <v>312600</v>
      </c>
      <c r="F418">
        <v>300900</v>
      </c>
      <c r="G418" t="s">
        <v>11</v>
      </c>
      <c r="H418" t="s">
        <v>38</v>
      </c>
      <c r="I418" t="s">
        <v>13</v>
      </c>
      <c r="J418" t="s">
        <v>13</v>
      </c>
    </row>
    <row r="419" spans="1:11" x14ac:dyDescent="0.25">
      <c r="A419" t="s">
        <v>39</v>
      </c>
      <c r="B419" t="s">
        <v>13</v>
      </c>
      <c r="C419" t="s">
        <v>7</v>
      </c>
      <c r="D419" t="s">
        <v>8</v>
      </c>
      <c r="E419">
        <v>36505900</v>
      </c>
      <c r="F419">
        <v>24538200</v>
      </c>
      <c r="G419" t="s">
        <v>11</v>
      </c>
      <c r="H419">
        <v>241325500</v>
      </c>
      <c r="I419" t="s">
        <v>13</v>
      </c>
      <c r="J419" t="s">
        <v>13</v>
      </c>
      <c r="K419">
        <v>10.17</v>
      </c>
    </row>
    <row r="421" spans="1:11" x14ac:dyDescent="0.25">
      <c r="A421" t="s">
        <v>132</v>
      </c>
      <c r="B421" t="str">
        <f t="shared" ref="B421:B428" si="4">"13118"</f>
        <v>13118</v>
      </c>
      <c r="C421" t="str">
        <f>"002"</f>
        <v>002</v>
      </c>
      <c r="D421">
        <v>2009</v>
      </c>
      <c r="E421">
        <v>42753200</v>
      </c>
      <c r="F421">
        <v>42725300</v>
      </c>
      <c r="G421" t="s">
        <v>11</v>
      </c>
      <c r="H421" t="s">
        <v>38</v>
      </c>
      <c r="I421" t="s">
        <v>13</v>
      </c>
      <c r="J421" t="s">
        <v>13</v>
      </c>
    </row>
    <row r="422" spans="1:11" x14ac:dyDescent="0.25">
      <c r="A422" t="s">
        <v>5</v>
      </c>
      <c r="B422" t="str">
        <f t="shared" si="4"/>
        <v>13118</v>
      </c>
      <c r="C422" t="str">
        <f>"003"</f>
        <v>003</v>
      </c>
      <c r="D422">
        <v>2009</v>
      </c>
      <c r="E422">
        <v>15521900</v>
      </c>
      <c r="F422">
        <v>14540000</v>
      </c>
      <c r="G422" t="s">
        <v>11</v>
      </c>
      <c r="H422" t="s">
        <v>38</v>
      </c>
      <c r="I422" t="s">
        <v>13</v>
      </c>
      <c r="J422" t="s">
        <v>13</v>
      </c>
    </row>
    <row r="423" spans="1:11" x14ac:dyDescent="0.25">
      <c r="A423" t="s">
        <v>5</v>
      </c>
      <c r="B423" t="str">
        <f t="shared" si="4"/>
        <v>13118</v>
      </c>
      <c r="C423" t="str">
        <f>"004"</f>
        <v>004</v>
      </c>
      <c r="D423">
        <v>2009</v>
      </c>
      <c r="E423">
        <v>39031500</v>
      </c>
      <c r="F423">
        <v>38685800</v>
      </c>
      <c r="G423" t="s">
        <v>11</v>
      </c>
      <c r="H423" t="s">
        <v>38</v>
      </c>
      <c r="I423" t="s">
        <v>13</v>
      </c>
      <c r="J423" t="s">
        <v>13</v>
      </c>
    </row>
    <row r="424" spans="1:11" x14ac:dyDescent="0.25">
      <c r="A424" t="s">
        <v>5</v>
      </c>
      <c r="B424" t="str">
        <f t="shared" si="4"/>
        <v>13118</v>
      </c>
      <c r="C424" t="str">
        <f>"005"</f>
        <v>005</v>
      </c>
      <c r="D424">
        <v>2010</v>
      </c>
      <c r="E424">
        <v>15788500</v>
      </c>
      <c r="F424">
        <v>15438000</v>
      </c>
      <c r="G424" t="s">
        <v>11</v>
      </c>
      <c r="H424" t="s">
        <v>38</v>
      </c>
      <c r="I424" t="s">
        <v>13</v>
      </c>
      <c r="J424" t="s">
        <v>13</v>
      </c>
    </row>
    <row r="425" spans="1:11" x14ac:dyDescent="0.25">
      <c r="A425" t="s">
        <v>5</v>
      </c>
      <c r="B425" t="str">
        <f t="shared" si="4"/>
        <v>13118</v>
      </c>
      <c r="C425" t="str">
        <f>"006"</f>
        <v>006</v>
      </c>
      <c r="D425">
        <v>2011</v>
      </c>
      <c r="E425">
        <v>29853100</v>
      </c>
      <c r="F425">
        <v>27088500</v>
      </c>
      <c r="G425" t="s">
        <v>11</v>
      </c>
      <c r="H425" t="s">
        <v>38</v>
      </c>
      <c r="I425" t="s">
        <v>13</v>
      </c>
      <c r="J425" t="s">
        <v>13</v>
      </c>
    </row>
    <row r="426" spans="1:11" x14ac:dyDescent="0.25">
      <c r="A426" t="s">
        <v>5</v>
      </c>
      <c r="B426" t="str">
        <f t="shared" si="4"/>
        <v>13118</v>
      </c>
      <c r="C426" t="str">
        <f>"007"</f>
        <v>007</v>
      </c>
      <c r="D426">
        <v>2011</v>
      </c>
      <c r="E426">
        <v>19322800</v>
      </c>
      <c r="F426">
        <v>14830800</v>
      </c>
      <c r="G426" t="s">
        <v>11</v>
      </c>
      <c r="H426" t="s">
        <v>38</v>
      </c>
      <c r="I426" t="s">
        <v>13</v>
      </c>
      <c r="J426" t="s">
        <v>13</v>
      </c>
    </row>
    <row r="427" spans="1:11" x14ac:dyDescent="0.25">
      <c r="A427" t="s">
        <v>5</v>
      </c>
      <c r="B427" t="str">
        <f t="shared" si="4"/>
        <v>13118</v>
      </c>
      <c r="C427" t="str">
        <f>"008"</f>
        <v>008</v>
      </c>
      <c r="D427">
        <v>2017</v>
      </c>
      <c r="E427">
        <v>34330800</v>
      </c>
      <c r="F427">
        <v>27602400</v>
      </c>
      <c r="G427" t="s">
        <v>11</v>
      </c>
      <c r="H427" t="s">
        <v>38</v>
      </c>
      <c r="I427" t="s">
        <v>13</v>
      </c>
      <c r="J427" t="s">
        <v>13</v>
      </c>
    </row>
    <row r="428" spans="1:11" x14ac:dyDescent="0.25">
      <c r="A428" t="s">
        <v>5</v>
      </c>
      <c r="B428" t="str">
        <f t="shared" si="4"/>
        <v>13118</v>
      </c>
      <c r="C428" t="str">
        <f>"009"</f>
        <v>009</v>
      </c>
      <c r="D428">
        <v>2017</v>
      </c>
      <c r="E428">
        <v>21891200</v>
      </c>
      <c r="F428">
        <v>14310300</v>
      </c>
      <c r="G428" t="s">
        <v>11</v>
      </c>
      <c r="H428" t="s">
        <v>38</v>
      </c>
      <c r="I428" t="s">
        <v>13</v>
      </c>
      <c r="J428" t="s">
        <v>13</v>
      </c>
    </row>
    <row r="429" spans="1:11" x14ac:dyDescent="0.25">
      <c r="A429" t="s">
        <v>39</v>
      </c>
      <c r="B429" t="s">
        <v>13</v>
      </c>
      <c r="C429" t="s">
        <v>7</v>
      </c>
      <c r="D429" t="s">
        <v>8</v>
      </c>
      <c r="E429">
        <v>218493000</v>
      </c>
      <c r="F429">
        <v>195221100</v>
      </c>
      <c r="G429" t="s">
        <v>11</v>
      </c>
      <c r="H429">
        <v>1336023100</v>
      </c>
      <c r="I429" t="s">
        <v>13</v>
      </c>
      <c r="J429" t="s">
        <v>13</v>
      </c>
      <c r="K429">
        <v>14.61</v>
      </c>
    </row>
    <row r="431" spans="1:11" x14ac:dyDescent="0.25">
      <c r="A431" t="s">
        <v>133</v>
      </c>
      <c r="B431" t="str">
        <f>"67216"</f>
        <v>67216</v>
      </c>
      <c r="C431" t="str">
        <f>"004"</f>
        <v>004</v>
      </c>
      <c r="D431">
        <v>2012</v>
      </c>
      <c r="E431">
        <v>14690300</v>
      </c>
      <c r="F431">
        <v>6593300</v>
      </c>
      <c r="G431" t="s">
        <v>11</v>
      </c>
      <c r="H431" t="s">
        <v>38</v>
      </c>
      <c r="I431" t="s">
        <v>13</v>
      </c>
      <c r="J431" t="s">
        <v>13</v>
      </c>
    </row>
    <row r="432" spans="1:11" x14ac:dyDescent="0.25">
      <c r="A432" t="s">
        <v>39</v>
      </c>
      <c r="B432" t="s">
        <v>13</v>
      </c>
      <c r="C432" t="s">
        <v>7</v>
      </c>
      <c r="D432" t="s">
        <v>8</v>
      </c>
      <c r="E432">
        <v>14690300</v>
      </c>
      <c r="F432">
        <v>6593300</v>
      </c>
      <c r="G432" t="s">
        <v>11</v>
      </c>
      <c r="H432">
        <v>1551866500</v>
      </c>
      <c r="I432" t="s">
        <v>13</v>
      </c>
      <c r="J432" t="s">
        <v>13</v>
      </c>
      <c r="K432">
        <v>0.42</v>
      </c>
    </row>
    <row r="434" spans="1:11" x14ac:dyDescent="0.25">
      <c r="A434" t="s">
        <v>134</v>
      </c>
      <c r="B434" t="str">
        <f>"64216"</f>
        <v>64216</v>
      </c>
      <c r="C434" t="str">
        <f>"004"</f>
        <v>004</v>
      </c>
      <c r="D434">
        <v>2003</v>
      </c>
      <c r="E434">
        <v>68760300</v>
      </c>
      <c r="F434">
        <v>45762500</v>
      </c>
      <c r="G434" t="s">
        <v>11</v>
      </c>
      <c r="H434" t="s">
        <v>38</v>
      </c>
      <c r="I434" t="s">
        <v>13</v>
      </c>
      <c r="J434" t="s">
        <v>13</v>
      </c>
    </row>
    <row r="435" spans="1:11" x14ac:dyDescent="0.25">
      <c r="A435" t="s">
        <v>5</v>
      </c>
      <c r="B435" t="str">
        <f>"64216"</f>
        <v>64216</v>
      </c>
      <c r="C435" t="str">
        <f>"005"</f>
        <v>005</v>
      </c>
      <c r="D435">
        <v>2012</v>
      </c>
      <c r="E435">
        <v>27786300</v>
      </c>
      <c r="F435">
        <v>5955500</v>
      </c>
      <c r="G435" t="s">
        <v>11</v>
      </c>
      <c r="H435" t="s">
        <v>38</v>
      </c>
      <c r="I435" t="s">
        <v>13</v>
      </c>
      <c r="J435" t="s">
        <v>13</v>
      </c>
    </row>
    <row r="436" spans="1:11" x14ac:dyDescent="0.25">
      <c r="A436" t="s">
        <v>39</v>
      </c>
      <c r="B436" t="s">
        <v>13</v>
      </c>
      <c r="C436" t="s">
        <v>7</v>
      </c>
      <c r="D436" t="s">
        <v>8</v>
      </c>
      <c r="E436">
        <v>96546600</v>
      </c>
      <c r="F436">
        <v>51718000</v>
      </c>
      <c r="G436" t="s">
        <v>11</v>
      </c>
      <c r="H436">
        <v>685152900</v>
      </c>
      <c r="I436" t="s">
        <v>13</v>
      </c>
      <c r="J436" t="s">
        <v>13</v>
      </c>
      <c r="K436">
        <v>7.55</v>
      </c>
    </row>
    <row r="438" spans="1:11" x14ac:dyDescent="0.25">
      <c r="A438" t="s">
        <v>135</v>
      </c>
      <c r="B438" t="str">
        <f>"22116"</f>
        <v>22116</v>
      </c>
      <c r="C438" t="str">
        <f>"001"</f>
        <v>001</v>
      </c>
      <c r="D438">
        <v>2014</v>
      </c>
      <c r="E438">
        <v>2837000</v>
      </c>
      <c r="F438">
        <v>1286300</v>
      </c>
      <c r="G438" t="s">
        <v>11</v>
      </c>
      <c r="H438" t="s">
        <v>38</v>
      </c>
      <c r="I438" t="s">
        <v>13</v>
      </c>
      <c r="J438" t="s">
        <v>13</v>
      </c>
    </row>
    <row r="439" spans="1:11" x14ac:dyDescent="0.25">
      <c r="A439" t="s">
        <v>39</v>
      </c>
      <c r="B439" t="s">
        <v>13</v>
      </c>
      <c r="C439" t="s">
        <v>7</v>
      </c>
      <c r="D439" t="s">
        <v>8</v>
      </c>
      <c r="E439">
        <v>2837000</v>
      </c>
      <c r="F439">
        <v>1286300</v>
      </c>
      <c r="G439" t="s">
        <v>11</v>
      </c>
      <c r="H439">
        <v>66346000</v>
      </c>
      <c r="I439" t="s">
        <v>13</v>
      </c>
      <c r="J439" t="s">
        <v>13</v>
      </c>
      <c r="K439">
        <v>1.94</v>
      </c>
    </row>
    <row r="441" spans="1:11" x14ac:dyDescent="0.25">
      <c r="A441" t="s">
        <v>136</v>
      </c>
      <c r="B441" t="str">
        <f>"25216"</f>
        <v>25216</v>
      </c>
      <c r="C441" t="str">
        <f>"002"</f>
        <v>002</v>
      </c>
      <c r="D441">
        <v>1998</v>
      </c>
      <c r="E441">
        <v>18478800</v>
      </c>
      <c r="F441">
        <v>18108200</v>
      </c>
      <c r="G441" t="s">
        <v>11</v>
      </c>
      <c r="H441" t="s">
        <v>38</v>
      </c>
      <c r="I441" t="s">
        <v>13</v>
      </c>
      <c r="J441" t="s">
        <v>13</v>
      </c>
    </row>
    <row r="442" spans="1:11" x14ac:dyDescent="0.25">
      <c r="A442" t="s">
        <v>39</v>
      </c>
      <c r="B442" t="s">
        <v>13</v>
      </c>
      <c r="C442" t="s">
        <v>7</v>
      </c>
      <c r="D442" t="s">
        <v>8</v>
      </c>
      <c r="E442">
        <v>18478800</v>
      </c>
      <c r="F442">
        <v>18108200</v>
      </c>
      <c r="G442" t="s">
        <v>11</v>
      </c>
      <c r="H442">
        <v>401417400</v>
      </c>
      <c r="I442" t="s">
        <v>13</v>
      </c>
      <c r="J442" t="s">
        <v>13</v>
      </c>
      <c r="K442">
        <v>4.51</v>
      </c>
    </row>
    <row r="444" spans="1:11" x14ac:dyDescent="0.25">
      <c r="A444" t="s">
        <v>137</v>
      </c>
      <c r="B444" t="str">
        <f>"10116"</f>
        <v>10116</v>
      </c>
      <c r="C444" t="str">
        <f>"001"</f>
        <v>001</v>
      </c>
      <c r="D444">
        <v>1992</v>
      </c>
      <c r="E444">
        <v>6701700</v>
      </c>
      <c r="F444">
        <v>6468700</v>
      </c>
      <c r="G444" t="s">
        <v>11</v>
      </c>
      <c r="H444" t="s">
        <v>38</v>
      </c>
      <c r="I444" t="s">
        <v>13</v>
      </c>
      <c r="J444" t="s">
        <v>13</v>
      </c>
    </row>
    <row r="445" spans="1:11" x14ac:dyDescent="0.25">
      <c r="A445" t="s">
        <v>5</v>
      </c>
      <c r="B445" t="str">
        <f>"10116"</f>
        <v>10116</v>
      </c>
      <c r="C445" t="str">
        <f>"002"</f>
        <v>002</v>
      </c>
      <c r="D445">
        <v>1995</v>
      </c>
      <c r="E445">
        <v>24027200</v>
      </c>
      <c r="F445">
        <v>8527800</v>
      </c>
      <c r="G445" t="s">
        <v>11</v>
      </c>
      <c r="H445" t="s">
        <v>38</v>
      </c>
      <c r="I445" t="s">
        <v>13</v>
      </c>
      <c r="J445" t="s">
        <v>13</v>
      </c>
    </row>
    <row r="446" spans="1:11" x14ac:dyDescent="0.25">
      <c r="A446" t="s">
        <v>39</v>
      </c>
      <c r="B446" t="s">
        <v>13</v>
      </c>
      <c r="C446" t="s">
        <v>7</v>
      </c>
      <c r="D446" t="s">
        <v>8</v>
      </c>
      <c r="E446">
        <v>30728900</v>
      </c>
      <c r="F446">
        <v>14996500</v>
      </c>
      <c r="G446" t="s">
        <v>11</v>
      </c>
      <c r="H446">
        <v>50506800</v>
      </c>
      <c r="I446" t="s">
        <v>13</v>
      </c>
      <c r="J446" t="s">
        <v>13</v>
      </c>
      <c r="K446">
        <v>29.69</v>
      </c>
    </row>
    <row r="448" spans="1:11" x14ac:dyDescent="0.25">
      <c r="A448" t="s">
        <v>138</v>
      </c>
      <c r="B448" t="str">
        <f>"46216"</f>
        <v>46216</v>
      </c>
      <c r="C448" t="str">
        <f>"003"</f>
        <v>003</v>
      </c>
      <c r="D448">
        <v>2007</v>
      </c>
      <c r="E448">
        <v>12368700</v>
      </c>
      <c r="F448">
        <v>1977000</v>
      </c>
      <c r="G448" t="s">
        <v>11</v>
      </c>
      <c r="H448" t="s">
        <v>38</v>
      </c>
      <c r="I448" t="s">
        <v>13</v>
      </c>
      <c r="J448" t="s">
        <v>13</v>
      </c>
    </row>
    <row r="449" spans="1:11" x14ac:dyDescent="0.25">
      <c r="A449" t="s">
        <v>39</v>
      </c>
      <c r="B449" t="s">
        <v>13</v>
      </c>
      <c r="C449" t="s">
        <v>7</v>
      </c>
      <c r="D449" t="s">
        <v>8</v>
      </c>
      <c r="E449">
        <v>12368700</v>
      </c>
      <c r="F449">
        <v>1977000</v>
      </c>
      <c r="G449" t="s">
        <v>11</v>
      </c>
      <c r="H449">
        <v>97726800</v>
      </c>
      <c r="I449" t="s">
        <v>13</v>
      </c>
      <c r="J449" t="s">
        <v>13</v>
      </c>
      <c r="K449">
        <v>2.02</v>
      </c>
    </row>
    <row r="451" spans="1:11" x14ac:dyDescent="0.25">
      <c r="A451" t="s">
        <v>139</v>
      </c>
      <c r="B451" t="str">
        <f>"63221"</f>
        <v>63221</v>
      </c>
      <c r="C451" t="str">
        <f>"002"</f>
        <v>002</v>
      </c>
      <c r="D451">
        <v>2007</v>
      </c>
      <c r="E451">
        <v>11522800</v>
      </c>
      <c r="F451">
        <v>7460400</v>
      </c>
      <c r="G451" t="s">
        <v>11</v>
      </c>
      <c r="H451" t="s">
        <v>38</v>
      </c>
      <c r="I451" t="s">
        <v>13</v>
      </c>
      <c r="J451" t="s">
        <v>13</v>
      </c>
    </row>
    <row r="452" spans="1:11" x14ac:dyDescent="0.25">
      <c r="A452" t="s">
        <v>5</v>
      </c>
      <c r="B452" t="str">
        <f>"63221"</f>
        <v>63221</v>
      </c>
      <c r="C452" t="str">
        <f>"003"</f>
        <v>003</v>
      </c>
      <c r="D452">
        <v>2007</v>
      </c>
      <c r="E452">
        <v>17198200</v>
      </c>
      <c r="F452">
        <v>9059500</v>
      </c>
      <c r="G452" t="s">
        <v>11</v>
      </c>
      <c r="H452" t="s">
        <v>38</v>
      </c>
      <c r="I452" t="s">
        <v>13</v>
      </c>
      <c r="J452" t="s">
        <v>13</v>
      </c>
    </row>
    <row r="453" spans="1:11" x14ac:dyDescent="0.25">
      <c r="A453" t="s">
        <v>39</v>
      </c>
      <c r="B453" t="s">
        <v>13</v>
      </c>
      <c r="C453" t="s">
        <v>7</v>
      </c>
      <c r="D453" t="s">
        <v>8</v>
      </c>
      <c r="E453">
        <v>28721000</v>
      </c>
      <c r="F453">
        <v>16519900</v>
      </c>
      <c r="G453" t="s">
        <v>11</v>
      </c>
      <c r="H453">
        <v>189098000</v>
      </c>
      <c r="I453" t="s">
        <v>13</v>
      </c>
      <c r="J453" t="s">
        <v>13</v>
      </c>
      <c r="K453">
        <v>8.74</v>
      </c>
    </row>
    <row r="455" spans="1:11" x14ac:dyDescent="0.25">
      <c r="A455" t="s">
        <v>140</v>
      </c>
      <c r="B455" t="str">
        <f>"64121"</f>
        <v>64121</v>
      </c>
      <c r="C455" t="str">
        <f>"003"</f>
        <v>003</v>
      </c>
      <c r="D455">
        <v>1999</v>
      </c>
      <c r="E455">
        <v>36678100</v>
      </c>
      <c r="F455">
        <v>36481300</v>
      </c>
      <c r="G455" t="s">
        <v>11</v>
      </c>
      <c r="H455" t="s">
        <v>38</v>
      </c>
      <c r="I455" t="s">
        <v>13</v>
      </c>
      <c r="J455" t="s">
        <v>13</v>
      </c>
    </row>
    <row r="456" spans="1:11" x14ac:dyDescent="0.25">
      <c r="A456" t="s">
        <v>5</v>
      </c>
      <c r="B456" t="str">
        <f>"64121"</f>
        <v>64121</v>
      </c>
      <c r="C456" t="str">
        <f>"004"</f>
        <v>004</v>
      </c>
      <c r="D456">
        <v>2018</v>
      </c>
      <c r="E456">
        <v>2652400</v>
      </c>
      <c r="F456">
        <v>860300</v>
      </c>
      <c r="G456" t="s">
        <v>11</v>
      </c>
      <c r="H456" t="s">
        <v>38</v>
      </c>
      <c r="I456" t="s">
        <v>13</v>
      </c>
      <c r="J456" t="s">
        <v>13</v>
      </c>
    </row>
    <row r="457" spans="1:11" x14ac:dyDescent="0.25">
      <c r="A457" t="s">
        <v>39</v>
      </c>
      <c r="B457" t="s">
        <v>13</v>
      </c>
      <c r="C457" t="s">
        <v>7</v>
      </c>
      <c r="D457" t="s">
        <v>8</v>
      </c>
      <c r="E457">
        <v>39330500</v>
      </c>
      <c r="F457">
        <v>37341600</v>
      </c>
      <c r="G457" t="s">
        <v>11</v>
      </c>
      <c r="H457">
        <v>395046400</v>
      </c>
      <c r="I457" t="s">
        <v>13</v>
      </c>
      <c r="J457" t="s">
        <v>13</v>
      </c>
      <c r="K457">
        <v>9.4499999999999993</v>
      </c>
    </row>
    <row r="459" spans="1:11" x14ac:dyDescent="0.25">
      <c r="A459" t="s">
        <v>141</v>
      </c>
      <c r="B459" t="str">
        <f>"18221"</f>
        <v>18221</v>
      </c>
      <c r="C459" t="str">
        <f>"007"</f>
        <v>007</v>
      </c>
      <c r="D459">
        <v>1997</v>
      </c>
      <c r="E459">
        <v>6691100</v>
      </c>
      <c r="F459">
        <v>6362000</v>
      </c>
      <c r="G459" t="s">
        <v>11</v>
      </c>
      <c r="H459" t="s">
        <v>38</v>
      </c>
      <c r="I459" t="s">
        <v>13</v>
      </c>
      <c r="J459" t="s">
        <v>13</v>
      </c>
    </row>
    <row r="460" spans="1:11" x14ac:dyDescent="0.25">
      <c r="A460" t="s">
        <v>5</v>
      </c>
      <c r="B460" t="str">
        <f>"18221"</f>
        <v>18221</v>
      </c>
      <c r="C460" t="str">
        <f>"008"</f>
        <v>008</v>
      </c>
      <c r="D460">
        <v>2002</v>
      </c>
      <c r="E460">
        <v>71860900</v>
      </c>
      <c r="F460">
        <v>59442500</v>
      </c>
      <c r="G460" t="s">
        <v>11</v>
      </c>
      <c r="H460" t="s">
        <v>38</v>
      </c>
      <c r="I460" t="s">
        <v>13</v>
      </c>
      <c r="J460" t="s">
        <v>13</v>
      </c>
    </row>
    <row r="461" spans="1:11" x14ac:dyDescent="0.25">
      <c r="A461" t="s">
        <v>5</v>
      </c>
      <c r="B461" t="str">
        <f>"09221"</f>
        <v>09221</v>
      </c>
      <c r="C461" t="str">
        <f>"009"</f>
        <v>009</v>
      </c>
      <c r="D461">
        <v>2008</v>
      </c>
      <c r="E461">
        <v>0</v>
      </c>
      <c r="F461">
        <v>-54500</v>
      </c>
      <c r="G461" t="s">
        <v>49</v>
      </c>
      <c r="H461" t="s">
        <v>38</v>
      </c>
      <c r="I461" t="s">
        <v>13</v>
      </c>
      <c r="J461" t="s">
        <v>13</v>
      </c>
    </row>
    <row r="462" spans="1:11" x14ac:dyDescent="0.25">
      <c r="A462" t="s">
        <v>5</v>
      </c>
      <c r="B462" t="str">
        <f>"18221"</f>
        <v>18221</v>
      </c>
      <c r="C462" t="str">
        <f>"009"</f>
        <v>009</v>
      </c>
      <c r="D462">
        <v>2008</v>
      </c>
      <c r="E462">
        <v>20895300</v>
      </c>
      <c r="F462">
        <v>9710900</v>
      </c>
      <c r="G462" t="s">
        <v>11</v>
      </c>
      <c r="H462" t="s">
        <v>38</v>
      </c>
      <c r="I462" t="s">
        <v>13</v>
      </c>
      <c r="J462" t="s">
        <v>13</v>
      </c>
    </row>
    <row r="463" spans="1:11" x14ac:dyDescent="0.25">
      <c r="A463" t="s">
        <v>5</v>
      </c>
      <c r="B463" t="str">
        <f>"18221"</f>
        <v>18221</v>
      </c>
      <c r="C463" t="str">
        <f>"010"</f>
        <v>010</v>
      </c>
      <c r="D463">
        <v>2015</v>
      </c>
      <c r="E463">
        <v>35261200</v>
      </c>
      <c r="F463">
        <v>25467000</v>
      </c>
      <c r="G463" t="s">
        <v>11</v>
      </c>
      <c r="H463" t="s">
        <v>38</v>
      </c>
      <c r="I463" t="s">
        <v>13</v>
      </c>
      <c r="J463" t="s">
        <v>13</v>
      </c>
    </row>
    <row r="464" spans="1:11" x14ac:dyDescent="0.25">
      <c r="A464" t="s">
        <v>5</v>
      </c>
      <c r="B464" t="str">
        <f>"18221"</f>
        <v>18221</v>
      </c>
      <c r="C464" t="str">
        <f>"011"</f>
        <v>011</v>
      </c>
      <c r="D464">
        <v>2015</v>
      </c>
      <c r="E464">
        <v>28764900</v>
      </c>
      <c r="F464">
        <v>12139700</v>
      </c>
      <c r="G464" t="s">
        <v>11</v>
      </c>
      <c r="H464" t="s">
        <v>38</v>
      </c>
      <c r="I464" t="s">
        <v>13</v>
      </c>
      <c r="J464" t="s">
        <v>13</v>
      </c>
    </row>
    <row r="465" spans="1:11" x14ac:dyDescent="0.25">
      <c r="A465" t="s">
        <v>5</v>
      </c>
      <c r="B465" t="str">
        <f>"18221"</f>
        <v>18221</v>
      </c>
      <c r="C465" t="str">
        <f>"012"</f>
        <v>012</v>
      </c>
      <c r="D465">
        <v>2017</v>
      </c>
      <c r="E465">
        <v>31106500</v>
      </c>
      <c r="F465">
        <v>8825000</v>
      </c>
      <c r="G465" t="s">
        <v>11</v>
      </c>
      <c r="H465" t="s">
        <v>38</v>
      </c>
      <c r="I465" t="s">
        <v>13</v>
      </c>
      <c r="J465" t="s">
        <v>13</v>
      </c>
    </row>
    <row r="466" spans="1:11" x14ac:dyDescent="0.25">
      <c r="A466" t="s">
        <v>39</v>
      </c>
      <c r="B466" t="s">
        <v>13</v>
      </c>
      <c r="C466" t="s">
        <v>7</v>
      </c>
      <c r="D466" t="s">
        <v>8</v>
      </c>
      <c r="E466">
        <v>194579900</v>
      </c>
      <c r="F466">
        <v>121947100</v>
      </c>
      <c r="G466" t="s">
        <v>11</v>
      </c>
      <c r="H466">
        <v>5724551200</v>
      </c>
      <c r="I466" t="s">
        <v>13</v>
      </c>
      <c r="J466" t="s">
        <v>13</v>
      </c>
      <c r="K466">
        <v>2.13</v>
      </c>
    </row>
    <row r="468" spans="1:11" x14ac:dyDescent="0.25">
      <c r="A468" t="s">
        <v>142</v>
      </c>
      <c r="B468" t="str">
        <f>"37121"</f>
        <v>37121</v>
      </c>
      <c r="C468" t="str">
        <f>"001"</f>
        <v>001</v>
      </c>
      <c r="D468">
        <v>2002</v>
      </c>
      <c r="E468">
        <v>1479000</v>
      </c>
      <c r="F468">
        <v>689700</v>
      </c>
      <c r="G468" t="s">
        <v>11</v>
      </c>
      <c r="H468" t="s">
        <v>38</v>
      </c>
      <c r="I468" t="s">
        <v>13</v>
      </c>
      <c r="J468" t="s">
        <v>13</v>
      </c>
    </row>
    <row r="469" spans="1:11" x14ac:dyDescent="0.25">
      <c r="A469" t="s">
        <v>5</v>
      </c>
      <c r="B469" t="str">
        <f>"37121"</f>
        <v>37121</v>
      </c>
      <c r="C469" t="str">
        <f>"003"</f>
        <v>003</v>
      </c>
      <c r="D469">
        <v>2005</v>
      </c>
      <c r="E469">
        <v>3016800</v>
      </c>
      <c r="F469">
        <v>2961100</v>
      </c>
      <c r="G469" t="s">
        <v>11</v>
      </c>
      <c r="H469" t="s">
        <v>38</v>
      </c>
      <c r="I469" t="s">
        <v>13</v>
      </c>
      <c r="J469" t="s">
        <v>13</v>
      </c>
    </row>
    <row r="470" spans="1:11" x14ac:dyDescent="0.25">
      <c r="A470" t="s">
        <v>5</v>
      </c>
      <c r="B470" t="str">
        <f>"37121"</f>
        <v>37121</v>
      </c>
      <c r="C470" t="str">
        <f>"004"</f>
        <v>004</v>
      </c>
      <c r="D470">
        <v>2016</v>
      </c>
      <c r="E470">
        <v>4953900</v>
      </c>
      <c r="F470">
        <v>3298700</v>
      </c>
      <c r="G470" t="s">
        <v>11</v>
      </c>
      <c r="H470" t="s">
        <v>38</v>
      </c>
      <c r="I470" t="s">
        <v>13</v>
      </c>
      <c r="J470" t="s">
        <v>13</v>
      </c>
    </row>
    <row r="471" spans="1:11" x14ac:dyDescent="0.25">
      <c r="A471" t="s">
        <v>39</v>
      </c>
      <c r="B471" t="s">
        <v>13</v>
      </c>
      <c r="C471" t="s">
        <v>7</v>
      </c>
      <c r="D471" t="s">
        <v>8</v>
      </c>
      <c r="E471">
        <v>9449700</v>
      </c>
      <c r="F471">
        <v>6949500</v>
      </c>
      <c r="G471" t="s">
        <v>11</v>
      </c>
      <c r="H471">
        <v>80440700</v>
      </c>
      <c r="I471" t="s">
        <v>13</v>
      </c>
      <c r="J471" t="s">
        <v>13</v>
      </c>
      <c r="K471">
        <v>8.64</v>
      </c>
    </row>
    <row r="473" spans="1:11" x14ac:dyDescent="0.25">
      <c r="A473" t="s">
        <v>143</v>
      </c>
      <c r="B473" t="str">
        <f>"13221"</f>
        <v>13221</v>
      </c>
      <c r="C473" t="str">
        <f>"005"</f>
        <v>005</v>
      </c>
      <c r="D473">
        <v>1998</v>
      </c>
      <c r="E473">
        <v>15057900</v>
      </c>
      <c r="F473">
        <v>14425300</v>
      </c>
      <c r="G473" t="s">
        <v>11</v>
      </c>
      <c r="H473" t="s">
        <v>38</v>
      </c>
      <c r="I473" t="s">
        <v>13</v>
      </c>
      <c r="J473" t="s">
        <v>13</v>
      </c>
    </row>
    <row r="474" spans="1:11" x14ac:dyDescent="0.25">
      <c r="A474" t="s">
        <v>5</v>
      </c>
      <c r="B474" t="str">
        <f>"53221"</f>
        <v>53221</v>
      </c>
      <c r="C474" t="str">
        <f>"006"</f>
        <v>006</v>
      </c>
      <c r="D474">
        <v>2000</v>
      </c>
      <c r="E474">
        <v>28721500</v>
      </c>
      <c r="F474">
        <v>18615600</v>
      </c>
      <c r="G474" t="s">
        <v>11</v>
      </c>
      <c r="H474" t="s">
        <v>38</v>
      </c>
      <c r="I474" t="s">
        <v>13</v>
      </c>
      <c r="J474" t="s">
        <v>13</v>
      </c>
    </row>
    <row r="475" spans="1:11" x14ac:dyDescent="0.25">
      <c r="A475" t="s">
        <v>5</v>
      </c>
      <c r="B475" t="str">
        <f>"53221"</f>
        <v>53221</v>
      </c>
      <c r="C475" t="str">
        <f>"007"</f>
        <v>007</v>
      </c>
      <c r="D475">
        <v>2000</v>
      </c>
      <c r="E475">
        <v>2825600</v>
      </c>
      <c r="F475">
        <v>2175500</v>
      </c>
      <c r="G475" t="s">
        <v>11</v>
      </c>
      <c r="H475" t="s">
        <v>38</v>
      </c>
      <c r="I475" t="s">
        <v>13</v>
      </c>
      <c r="J475" t="s">
        <v>13</v>
      </c>
    </row>
    <row r="476" spans="1:11" x14ac:dyDescent="0.25">
      <c r="A476" t="s">
        <v>5</v>
      </c>
      <c r="B476" t="str">
        <f>"53221"</f>
        <v>53221</v>
      </c>
      <c r="C476" t="str">
        <f>"008"</f>
        <v>008</v>
      </c>
      <c r="D476">
        <v>2005</v>
      </c>
      <c r="E476">
        <v>13113300</v>
      </c>
      <c r="F476">
        <v>5775400</v>
      </c>
      <c r="G476" t="s">
        <v>11</v>
      </c>
      <c r="H476" t="s">
        <v>38</v>
      </c>
      <c r="I476" t="s">
        <v>13</v>
      </c>
      <c r="J476" t="s">
        <v>13</v>
      </c>
    </row>
    <row r="477" spans="1:11" x14ac:dyDescent="0.25">
      <c r="A477" t="s">
        <v>39</v>
      </c>
      <c r="B477" t="s">
        <v>13</v>
      </c>
      <c r="C477" t="s">
        <v>7</v>
      </c>
      <c r="D477" t="s">
        <v>8</v>
      </c>
      <c r="E477">
        <v>59718300</v>
      </c>
      <c r="F477">
        <v>40991800</v>
      </c>
      <c r="G477" t="s">
        <v>11</v>
      </c>
      <c r="H477">
        <v>419790700</v>
      </c>
      <c r="I477" t="s">
        <v>13</v>
      </c>
      <c r="J477" t="s">
        <v>13</v>
      </c>
      <c r="K477">
        <v>9.76</v>
      </c>
    </row>
    <row r="479" spans="1:11" x14ac:dyDescent="0.25">
      <c r="A479" t="s">
        <v>144</v>
      </c>
      <c r="B479" t="str">
        <f>"14014"</f>
        <v>14014</v>
      </c>
      <c r="C479" t="str">
        <f>"001T"</f>
        <v>001T</v>
      </c>
      <c r="D479">
        <v>2010</v>
      </c>
      <c r="E479">
        <v>2295600</v>
      </c>
      <c r="F479">
        <v>720100</v>
      </c>
      <c r="G479" t="s">
        <v>11</v>
      </c>
      <c r="H479" t="s">
        <v>38</v>
      </c>
      <c r="I479" t="s">
        <v>13</v>
      </c>
      <c r="J479" t="s">
        <v>13</v>
      </c>
    </row>
    <row r="480" spans="1:11" x14ac:dyDescent="0.25">
      <c r="A480" t="s">
        <v>39</v>
      </c>
      <c r="B480" t="s">
        <v>13</v>
      </c>
      <c r="C480" t="s">
        <v>7</v>
      </c>
      <c r="D480" t="s">
        <v>8</v>
      </c>
      <c r="E480">
        <v>2295600</v>
      </c>
      <c r="F480">
        <v>720100</v>
      </c>
      <c r="G480" t="s">
        <v>11</v>
      </c>
      <c r="H480">
        <v>114912800</v>
      </c>
      <c r="I480">
        <v>0.63</v>
      </c>
      <c r="J480">
        <v>2</v>
      </c>
    </row>
    <row r="482" spans="1:11" x14ac:dyDescent="0.25">
      <c r="A482" t="s">
        <v>145</v>
      </c>
      <c r="B482" t="str">
        <f>"17121"</f>
        <v>17121</v>
      </c>
      <c r="C482" t="str">
        <f>"001"</f>
        <v>001</v>
      </c>
      <c r="D482">
        <v>2007</v>
      </c>
      <c r="E482">
        <v>4083700</v>
      </c>
      <c r="F482">
        <v>1584000</v>
      </c>
      <c r="G482" t="s">
        <v>11</v>
      </c>
      <c r="H482" t="s">
        <v>38</v>
      </c>
      <c r="I482" t="s">
        <v>13</v>
      </c>
      <c r="J482" t="s">
        <v>13</v>
      </c>
    </row>
    <row r="483" spans="1:11" x14ac:dyDescent="0.25">
      <c r="A483" t="s">
        <v>39</v>
      </c>
      <c r="B483" t="s">
        <v>13</v>
      </c>
      <c r="C483" t="s">
        <v>7</v>
      </c>
      <c r="D483" t="s">
        <v>8</v>
      </c>
      <c r="E483">
        <v>4083700</v>
      </c>
      <c r="F483">
        <v>1584000</v>
      </c>
      <c r="G483" t="s">
        <v>11</v>
      </c>
      <c r="H483">
        <v>39891500</v>
      </c>
      <c r="I483" t="s">
        <v>13</v>
      </c>
      <c r="J483" t="s">
        <v>13</v>
      </c>
      <c r="K483">
        <v>3.97</v>
      </c>
    </row>
    <row r="485" spans="1:11" x14ac:dyDescent="0.25">
      <c r="A485" t="s">
        <v>146</v>
      </c>
      <c r="B485" t="str">
        <f>"59121"</f>
        <v>59121</v>
      </c>
      <c r="C485" t="str">
        <f>"002"</f>
        <v>002</v>
      </c>
      <c r="D485">
        <v>2013</v>
      </c>
      <c r="E485">
        <v>28386300</v>
      </c>
      <c r="F485">
        <v>16750600</v>
      </c>
      <c r="G485" t="s">
        <v>11</v>
      </c>
      <c r="H485" t="s">
        <v>38</v>
      </c>
      <c r="I485" t="s">
        <v>13</v>
      </c>
      <c r="J485" t="s">
        <v>13</v>
      </c>
    </row>
    <row r="486" spans="1:11" x14ac:dyDescent="0.25">
      <c r="A486" t="s">
        <v>5</v>
      </c>
      <c r="B486" t="str">
        <f>"59121"</f>
        <v>59121</v>
      </c>
      <c r="C486" t="str">
        <f>"003"</f>
        <v>003</v>
      </c>
      <c r="D486">
        <v>2013</v>
      </c>
      <c r="E486">
        <v>7636400</v>
      </c>
      <c r="F486">
        <v>5786300</v>
      </c>
      <c r="G486" t="s">
        <v>11</v>
      </c>
      <c r="H486" t="s">
        <v>38</v>
      </c>
      <c r="I486" t="s">
        <v>13</v>
      </c>
      <c r="J486" t="s">
        <v>13</v>
      </c>
    </row>
    <row r="487" spans="1:11" x14ac:dyDescent="0.25">
      <c r="A487" t="s">
        <v>5</v>
      </c>
      <c r="B487" t="str">
        <f>"59121"</f>
        <v>59121</v>
      </c>
      <c r="C487" t="str">
        <f>"004"</f>
        <v>004</v>
      </c>
      <c r="D487">
        <v>2015</v>
      </c>
      <c r="E487">
        <v>11433600</v>
      </c>
      <c r="F487">
        <v>10722200</v>
      </c>
      <c r="G487" t="s">
        <v>11</v>
      </c>
      <c r="H487" t="s">
        <v>38</v>
      </c>
      <c r="I487" t="s">
        <v>13</v>
      </c>
      <c r="J487" t="s">
        <v>13</v>
      </c>
    </row>
    <row r="488" spans="1:11" x14ac:dyDescent="0.25">
      <c r="A488" t="s">
        <v>39</v>
      </c>
      <c r="B488" t="s">
        <v>13</v>
      </c>
      <c r="C488" t="s">
        <v>7</v>
      </c>
      <c r="D488" t="s">
        <v>8</v>
      </c>
      <c r="E488">
        <v>47456300</v>
      </c>
      <c r="F488">
        <v>33259100</v>
      </c>
      <c r="G488" t="s">
        <v>11</v>
      </c>
      <c r="H488">
        <v>343701500</v>
      </c>
      <c r="I488" t="s">
        <v>13</v>
      </c>
      <c r="J488" t="s">
        <v>13</v>
      </c>
      <c r="K488">
        <v>9.68</v>
      </c>
    </row>
    <row r="490" spans="1:11" x14ac:dyDescent="0.25">
      <c r="A490" t="s">
        <v>147</v>
      </c>
      <c r="B490" t="str">
        <f>"64221"</f>
        <v>64221</v>
      </c>
      <c r="C490" t="str">
        <f>"004"</f>
        <v>004</v>
      </c>
      <c r="D490">
        <v>2017</v>
      </c>
      <c r="E490">
        <v>6261700</v>
      </c>
      <c r="F490">
        <v>2728000</v>
      </c>
      <c r="G490" t="s">
        <v>11</v>
      </c>
      <c r="H490" t="s">
        <v>38</v>
      </c>
      <c r="I490" t="s">
        <v>13</v>
      </c>
      <c r="J490" t="s">
        <v>13</v>
      </c>
    </row>
    <row r="491" spans="1:11" x14ac:dyDescent="0.25">
      <c r="A491" t="s">
        <v>39</v>
      </c>
      <c r="B491" t="s">
        <v>13</v>
      </c>
      <c r="C491" t="s">
        <v>7</v>
      </c>
      <c r="D491" t="s">
        <v>8</v>
      </c>
      <c r="E491">
        <v>6261700</v>
      </c>
      <c r="F491">
        <v>2728000</v>
      </c>
      <c r="G491" t="s">
        <v>11</v>
      </c>
      <c r="H491">
        <v>810662300</v>
      </c>
      <c r="I491" t="s">
        <v>13</v>
      </c>
      <c r="J491" t="s">
        <v>13</v>
      </c>
      <c r="K491">
        <v>0.34</v>
      </c>
    </row>
    <row r="493" spans="1:11" x14ac:dyDescent="0.25">
      <c r="A493" t="s">
        <v>148</v>
      </c>
      <c r="B493" t="str">
        <f t="shared" ref="B493:B498" si="5">"47121"</f>
        <v>47121</v>
      </c>
      <c r="C493" t="str">
        <f>"004"</f>
        <v>004</v>
      </c>
      <c r="D493">
        <v>1996</v>
      </c>
      <c r="E493">
        <v>686500</v>
      </c>
      <c r="F493">
        <v>631900</v>
      </c>
      <c r="G493" t="s">
        <v>11</v>
      </c>
      <c r="H493" t="s">
        <v>38</v>
      </c>
      <c r="I493" t="s">
        <v>13</v>
      </c>
      <c r="J493" t="s">
        <v>13</v>
      </c>
    </row>
    <row r="494" spans="1:11" x14ac:dyDescent="0.25">
      <c r="A494" t="s">
        <v>5</v>
      </c>
      <c r="B494" t="str">
        <f t="shared" si="5"/>
        <v>47121</v>
      </c>
      <c r="C494" t="str">
        <f>"007"</f>
        <v>007</v>
      </c>
      <c r="D494">
        <v>2006</v>
      </c>
      <c r="E494">
        <v>8163000</v>
      </c>
      <c r="F494">
        <v>7939700</v>
      </c>
      <c r="G494" t="s">
        <v>11</v>
      </c>
      <c r="H494" t="s">
        <v>38</v>
      </c>
      <c r="I494" t="s">
        <v>13</v>
      </c>
      <c r="J494" t="s">
        <v>13</v>
      </c>
    </row>
    <row r="495" spans="1:11" x14ac:dyDescent="0.25">
      <c r="A495" t="s">
        <v>5</v>
      </c>
      <c r="B495" t="str">
        <f t="shared" si="5"/>
        <v>47121</v>
      </c>
      <c r="C495" t="str">
        <f>"008"</f>
        <v>008</v>
      </c>
      <c r="D495">
        <v>2010</v>
      </c>
      <c r="E495">
        <v>8305600</v>
      </c>
      <c r="F495">
        <v>4531900</v>
      </c>
      <c r="G495" t="s">
        <v>11</v>
      </c>
      <c r="H495" t="s">
        <v>38</v>
      </c>
      <c r="I495" t="s">
        <v>13</v>
      </c>
      <c r="J495" t="s">
        <v>13</v>
      </c>
    </row>
    <row r="496" spans="1:11" x14ac:dyDescent="0.25">
      <c r="A496" t="s">
        <v>5</v>
      </c>
      <c r="B496" t="str">
        <f t="shared" si="5"/>
        <v>47121</v>
      </c>
      <c r="C496" t="str">
        <f>"009"</f>
        <v>009</v>
      </c>
      <c r="D496">
        <v>2011</v>
      </c>
      <c r="E496">
        <v>3472700</v>
      </c>
      <c r="F496">
        <v>2962300</v>
      </c>
      <c r="G496" t="s">
        <v>11</v>
      </c>
      <c r="H496" t="s">
        <v>38</v>
      </c>
      <c r="I496" t="s">
        <v>13</v>
      </c>
      <c r="J496" t="s">
        <v>13</v>
      </c>
    </row>
    <row r="497" spans="1:11" x14ac:dyDescent="0.25">
      <c r="A497" t="s">
        <v>5</v>
      </c>
      <c r="B497" t="str">
        <f t="shared" si="5"/>
        <v>47121</v>
      </c>
      <c r="C497" t="str">
        <f>"010"</f>
        <v>010</v>
      </c>
      <c r="D497">
        <v>2012</v>
      </c>
      <c r="E497">
        <v>1605200</v>
      </c>
      <c r="F497">
        <v>777900</v>
      </c>
      <c r="G497" t="s">
        <v>11</v>
      </c>
      <c r="H497" t="s">
        <v>38</v>
      </c>
      <c r="I497" t="s">
        <v>13</v>
      </c>
      <c r="J497" t="s">
        <v>13</v>
      </c>
    </row>
    <row r="498" spans="1:11" x14ac:dyDescent="0.25">
      <c r="A498" t="s">
        <v>5</v>
      </c>
      <c r="B498" t="str">
        <f t="shared" si="5"/>
        <v>47121</v>
      </c>
      <c r="C498" t="str">
        <f>"011"</f>
        <v>011</v>
      </c>
      <c r="D498">
        <v>2013</v>
      </c>
      <c r="E498">
        <v>1602100</v>
      </c>
      <c r="F498">
        <v>293900</v>
      </c>
      <c r="G498" t="s">
        <v>11</v>
      </c>
      <c r="H498" t="s">
        <v>38</v>
      </c>
      <c r="I498" t="s">
        <v>13</v>
      </c>
      <c r="J498" t="s">
        <v>13</v>
      </c>
    </row>
    <row r="499" spans="1:11" x14ac:dyDescent="0.25">
      <c r="A499" t="s">
        <v>39</v>
      </c>
      <c r="B499" t="s">
        <v>13</v>
      </c>
      <c r="C499" t="s">
        <v>7</v>
      </c>
      <c r="D499" t="s">
        <v>8</v>
      </c>
      <c r="E499">
        <v>23835100</v>
      </c>
      <c r="F499">
        <v>17137600</v>
      </c>
      <c r="G499" t="s">
        <v>11</v>
      </c>
      <c r="H499">
        <v>219235300</v>
      </c>
      <c r="I499" t="s">
        <v>13</v>
      </c>
      <c r="J499" t="s">
        <v>13</v>
      </c>
      <c r="K499">
        <v>7.82</v>
      </c>
    </row>
    <row r="501" spans="1:11" x14ac:dyDescent="0.25">
      <c r="A501" t="s">
        <v>149</v>
      </c>
      <c r="B501" t="str">
        <f>"67122"</f>
        <v>67122</v>
      </c>
      <c r="C501" t="str">
        <f>"002"</f>
        <v>002</v>
      </c>
      <c r="D501">
        <v>2004</v>
      </c>
      <c r="E501">
        <v>69074800</v>
      </c>
      <c r="F501">
        <v>35639000</v>
      </c>
      <c r="G501" t="s">
        <v>11</v>
      </c>
      <c r="H501" t="s">
        <v>38</v>
      </c>
      <c r="I501" t="s">
        <v>13</v>
      </c>
      <c r="J501" t="s">
        <v>13</v>
      </c>
    </row>
    <row r="502" spans="1:11" x14ac:dyDescent="0.25">
      <c r="A502" t="s">
        <v>39</v>
      </c>
      <c r="B502" t="s">
        <v>13</v>
      </c>
      <c r="C502" t="s">
        <v>7</v>
      </c>
      <c r="D502" t="s">
        <v>8</v>
      </c>
      <c r="E502">
        <v>69074800</v>
      </c>
      <c r="F502">
        <v>35639000</v>
      </c>
      <c r="G502" t="s">
        <v>11</v>
      </c>
      <c r="H502">
        <v>1249867700</v>
      </c>
      <c r="I502" t="s">
        <v>13</v>
      </c>
      <c r="J502" t="s">
        <v>13</v>
      </c>
      <c r="K502">
        <v>2.85</v>
      </c>
    </row>
    <row r="504" spans="1:11" x14ac:dyDescent="0.25">
      <c r="A504" t="s">
        <v>150</v>
      </c>
      <c r="B504" t="str">
        <f>"47122"</f>
        <v>47122</v>
      </c>
      <c r="C504" t="str">
        <f>"003"</f>
        <v>003</v>
      </c>
      <c r="D504">
        <v>2002</v>
      </c>
      <c r="E504">
        <v>2469500</v>
      </c>
      <c r="F504">
        <v>1717200</v>
      </c>
      <c r="G504" t="s">
        <v>11</v>
      </c>
      <c r="H504" t="s">
        <v>38</v>
      </c>
      <c r="I504" t="s">
        <v>13</v>
      </c>
      <c r="J504" t="s">
        <v>13</v>
      </c>
    </row>
    <row r="505" spans="1:11" x14ac:dyDescent="0.25">
      <c r="A505" t="s">
        <v>5</v>
      </c>
      <c r="B505" t="str">
        <f>"47122"</f>
        <v>47122</v>
      </c>
      <c r="C505" t="str">
        <f>"004"</f>
        <v>004</v>
      </c>
      <c r="D505">
        <v>2009</v>
      </c>
      <c r="E505">
        <v>4392200</v>
      </c>
      <c r="F505">
        <v>844800</v>
      </c>
      <c r="G505" t="s">
        <v>11</v>
      </c>
      <c r="H505" t="s">
        <v>38</v>
      </c>
      <c r="I505" t="s">
        <v>13</v>
      </c>
      <c r="J505" t="s">
        <v>13</v>
      </c>
    </row>
    <row r="506" spans="1:11" x14ac:dyDescent="0.25">
      <c r="A506" t="s">
        <v>5</v>
      </c>
      <c r="B506" t="str">
        <f>"47122"</f>
        <v>47122</v>
      </c>
      <c r="C506" t="str">
        <f>"005"</f>
        <v>005</v>
      </c>
      <c r="D506">
        <v>2007</v>
      </c>
      <c r="E506">
        <v>2225500</v>
      </c>
      <c r="F506">
        <v>1852200</v>
      </c>
      <c r="G506" t="s">
        <v>11</v>
      </c>
      <c r="H506" t="s">
        <v>38</v>
      </c>
      <c r="I506" t="s">
        <v>13</v>
      </c>
      <c r="J506" t="s">
        <v>13</v>
      </c>
    </row>
    <row r="507" spans="1:11" x14ac:dyDescent="0.25">
      <c r="A507" t="s">
        <v>39</v>
      </c>
      <c r="B507" t="s">
        <v>13</v>
      </c>
      <c r="C507" t="s">
        <v>7</v>
      </c>
      <c r="D507" t="s">
        <v>8</v>
      </c>
      <c r="E507">
        <v>9087200</v>
      </c>
      <c r="F507">
        <v>4414200</v>
      </c>
      <c r="G507" t="s">
        <v>11</v>
      </c>
      <c r="H507">
        <v>42361400</v>
      </c>
      <c r="I507" t="s">
        <v>13</v>
      </c>
      <c r="J507" t="s">
        <v>13</v>
      </c>
      <c r="K507">
        <v>10.42</v>
      </c>
    </row>
    <row r="509" spans="1:11" x14ac:dyDescent="0.25">
      <c r="A509" t="s">
        <v>151</v>
      </c>
      <c r="B509" t="str">
        <f>"29221"</f>
        <v>29221</v>
      </c>
      <c r="C509" t="str">
        <f>"002"</f>
        <v>002</v>
      </c>
      <c r="D509">
        <v>1999</v>
      </c>
      <c r="E509">
        <v>605100</v>
      </c>
      <c r="F509">
        <v>331900</v>
      </c>
      <c r="G509" t="s">
        <v>11</v>
      </c>
      <c r="H509" t="s">
        <v>38</v>
      </c>
      <c r="I509" t="s">
        <v>13</v>
      </c>
      <c r="J509" t="s">
        <v>13</v>
      </c>
    </row>
    <row r="510" spans="1:11" x14ac:dyDescent="0.25">
      <c r="A510" t="s">
        <v>5</v>
      </c>
      <c r="B510" t="str">
        <f>"29221"</f>
        <v>29221</v>
      </c>
      <c r="C510" t="str">
        <f>"003"</f>
        <v>003</v>
      </c>
      <c r="D510">
        <v>1999</v>
      </c>
      <c r="E510">
        <v>3601900</v>
      </c>
      <c r="F510">
        <v>1165400</v>
      </c>
      <c r="G510" t="s">
        <v>11</v>
      </c>
      <c r="H510" t="s">
        <v>38</v>
      </c>
      <c r="I510" t="s">
        <v>13</v>
      </c>
      <c r="J510" t="s">
        <v>13</v>
      </c>
    </row>
    <row r="511" spans="1:11" x14ac:dyDescent="0.25">
      <c r="A511" t="s">
        <v>5</v>
      </c>
      <c r="B511" t="str">
        <f>"29221"</f>
        <v>29221</v>
      </c>
      <c r="C511" t="str">
        <f>"004"</f>
        <v>004</v>
      </c>
      <c r="D511">
        <v>1999</v>
      </c>
      <c r="E511">
        <v>4203700</v>
      </c>
      <c r="F511">
        <v>2892400</v>
      </c>
      <c r="G511" t="s">
        <v>11</v>
      </c>
      <c r="H511" t="s">
        <v>38</v>
      </c>
      <c r="I511" t="s">
        <v>13</v>
      </c>
      <c r="J511" t="s">
        <v>13</v>
      </c>
    </row>
    <row r="512" spans="1:11" x14ac:dyDescent="0.25">
      <c r="A512" t="s">
        <v>5</v>
      </c>
      <c r="B512" t="str">
        <f>"29221"</f>
        <v>29221</v>
      </c>
      <c r="C512" t="str">
        <f>"005"</f>
        <v>005</v>
      </c>
      <c r="D512">
        <v>1999</v>
      </c>
      <c r="E512">
        <v>2705200</v>
      </c>
      <c r="F512">
        <v>2668700</v>
      </c>
      <c r="G512" t="s">
        <v>11</v>
      </c>
      <c r="H512" t="s">
        <v>38</v>
      </c>
      <c r="I512" t="s">
        <v>13</v>
      </c>
      <c r="J512" t="s">
        <v>13</v>
      </c>
    </row>
    <row r="513" spans="1:11" x14ac:dyDescent="0.25">
      <c r="A513" t="s">
        <v>5</v>
      </c>
      <c r="B513" t="str">
        <f>"29221"</f>
        <v>29221</v>
      </c>
      <c r="C513" t="str">
        <f>"006"</f>
        <v>006</v>
      </c>
      <c r="D513">
        <v>2014</v>
      </c>
      <c r="E513">
        <v>1689500</v>
      </c>
      <c r="F513">
        <v>871000</v>
      </c>
      <c r="G513" t="s">
        <v>11</v>
      </c>
      <c r="H513" t="s">
        <v>38</v>
      </c>
      <c r="I513" t="s">
        <v>13</v>
      </c>
      <c r="J513" t="s">
        <v>13</v>
      </c>
    </row>
    <row r="514" spans="1:11" x14ac:dyDescent="0.25">
      <c r="A514" t="s">
        <v>39</v>
      </c>
      <c r="B514" t="s">
        <v>13</v>
      </c>
      <c r="C514" t="s">
        <v>7</v>
      </c>
      <c r="D514" t="s">
        <v>8</v>
      </c>
      <c r="E514">
        <v>12805400</v>
      </c>
      <c r="F514">
        <v>7929400</v>
      </c>
      <c r="G514" t="s">
        <v>11</v>
      </c>
      <c r="H514">
        <v>62736800</v>
      </c>
      <c r="I514" t="s">
        <v>13</v>
      </c>
      <c r="J514" t="s">
        <v>13</v>
      </c>
      <c r="K514">
        <v>12.64</v>
      </c>
    </row>
    <row r="516" spans="1:11" x14ac:dyDescent="0.25">
      <c r="A516" t="s">
        <v>152</v>
      </c>
      <c r="B516" t="str">
        <f>"39121"</f>
        <v>39121</v>
      </c>
      <c r="C516" t="str">
        <f>"001"</f>
        <v>001</v>
      </c>
      <c r="D516">
        <v>1993</v>
      </c>
      <c r="E516">
        <v>6084600</v>
      </c>
      <c r="F516">
        <v>4924700</v>
      </c>
      <c r="G516" t="s">
        <v>11</v>
      </c>
      <c r="H516" t="s">
        <v>38</v>
      </c>
      <c r="I516" t="s">
        <v>13</v>
      </c>
      <c r="J516" t="s">
        <v>13</v>
      </c>
    </row>
    <row r="517" spans="1:11" x14ac:dyDescent="0.25">
      <c r="A517" t="s">
        <v>39</v>
      </c>
      <c r="B517" t="s">
        <v>13</v>
      </c>
      <c r="C517" t="s">
        <v>7</v>
      </c>
      <c r="D517" t="s">
        <v>8</v>
      </c>
      <c r="E517">
        <v>6084600</v>
      </c>
      <c r="F517">
        <v>4924700</v>
      </c>
      <c r="G517" t="s">
        <v>11</v>
      </c>
      <c r="H517">
        <v>19351900</v>
      </c>
      <c r="I517" t="s">
        <v>13</v>
      </c>
      <c r="J517" t="s">
        <v>13</v>
      </c>
      <c r="K517">
        <v>25.45</v>
      </c>
    </row>
    <row r="519" spans="1:11" x14ac:dyDescent="0.25">
      <c r="A519" t="s">
        <v>153</v>
      </c>
      <c r="B519" t="str">
        <f>"53222"</f>
        <v>53222</v>
      </c>
      <c r="C519" t="str">
        <f>"005"</f>
        <v>005</v>
      </c>
      <c r="D519">
        <v>2004</v>
      </c>
      <c r="E519">
        <v>20871900</v>
      </c>
      <c r="F519">
        <v>9572800</v>
      </c>
      <c r="G519" t="s">
        <v>11</v>
      </c>
      <c r="H519" t="s">
        <v>38</v>
      </c>
      <c r="I519" t="s">
        <v>13</v>
      </c>
      <c r="J519" t="s">
        <v>13</v>
      </c>
    </row>
    <row r="520" spans="1:11" x14ac:dyDescent="0.25">
      <c r="A520" t="s">
        <v>5</v>
      </c>
      <c r="B520" t="str">
        <f>"53222"</f>
        <v>53222</v>
      </c>
      <c r="C520" t="str">
        <f>"006"</f>
        <v>006</v>
      </c>
      <c r="D520">
        <v>2006</v>
      </c>
      <c r="E520">
        <v>6393700</v>
      </c>
      <c r="F520">
        <v>4465900</v>
      </c>
      <c r="G520" t="s">
        <v>11</v>
      </c>
      <c r="H520" t="s">
        <v>38</v>
      </c>
      <c r="I520" t="s">
        <v>13</v>
      </c>
      <c r="J520" t="s">
        <v>13</v>
      </c>
    </row>
    <row r="521" spans="1:11" x14ac:dyDescent="0.25">
      <c r="A521" t="s">
        <v>5</v>
      </c>
      <c r="B521" t="str">
        <f>"53222"</f>
        <v>53222</v>
      </c>
      <c r="C521" t="str">
        <f>"007"</f>
        <v>007</v>
      </c>
      <c r="D521">
        <v>2007</v>
      </c>
      <c r="E521">
        <v>7532700</v>
      </c>
      <c r="F521">
        <v>1431000</v>
      </c>
      <c r="G521" t="s">
        <v>11</v>
      </c>
      <c r="H521" t="s">
        <v>38</v>
      </c>
      <c r="I521" t="s">
        <v>13</v>
      </c>
      <c r="J521" t="s">
        <v>13</v>
      </c>
    </row>
    <row r="522" spans="1:11" x14ac:dyDescent="0.25">
      <c r="A522" t="s">
        <v>5</v>
      </c>
      <c r="B522" t="str">
        <f>"53222"</f>
        <v>53222</v>
      </c>
      <c r="C522" t="str">
        <f>"008"</f>
        <v>008</v>
      </c>
      <c r="D522">
        <v>2008</v>
      </c>
      <c r="E522">
        <v>4858800</v>
      </c>
      <c r="F522">
        <v>2163500</v>
      </c>
      <c r="G522" t="s">
        <v>11</v>
      </c>
      <c r="H522" t="s">
        <v>38</v>
      </c>
      <c r="I522" t="s">
        <v>13</v>
      </c>
      <c r="J522" t="s">
        <v>13</v>
      </c>
    </row>
    <row r="523" spans="1:11" x14ac:dyDescent="0.25">
      <c r="A523" t="s">
        <v>5</v>
      </c>
      <c r="B523" t="str">
        <f>"53222"</f>
        <v>53222</v>
      </c>
      <c r="C523" t="str">
        <f>"009"</f>
        <v>009</v>
      </c>
      <c r="D523">
        <v>2018</v>
      </c>
      <c r="E523">
        <v>291100</v>
      </c>
      <c r="F523">
        <v>290600</v>
      </c>
      <c r="G523" t="s">
        <v>11</v>
      </c>
      <c r="H523" t="s">
        <v>38</v>
      </c>
      <c r="I523" t="s">
        <v>13</v>
      </c>
      <c r="J523" t="s">
        <v>13</v>
      </c>
    </row>
    <row r="524" spans="1:11" x14ac:dyDescent="0.25">
      <c r="A524" t="s">
        <v>39</v>
      </c>
      <c r="B524" t="s">
        <v>13</v>
      </c>
      <c r="C524" t="s">
        <v>7</v>
      </c>
      <c r="D524" t="s">
        <v>8</v>
      </c>
      <c r="E524">
        <v>39948200</v>
      </c>
      <c r="F524">
        <v>17923800</v>
      </c>
      <c r="G524" t="s">
        <v>11</v>
      </c>
      <c r="H524">
        <v>437027300</v>
      </c>
      <c r="I524" t="s">
        <v>13</v>
      </c>
      <c r="J524" t="s">
        <v>13</v>
      </c>
      <c r="K524">
        <v>4.0999999999999996</v>
      </c>
    </row>
    <row r="526" spans="1:11" x14ac:dyDescent="0.25">
      <c r="A526" t="s">
        <v>154</v>
      </c>
      <c r="B526" t="str">
        <f>"20126"</f>
        <v>20126</v>
      </c>
      <c r="C526" t="str">
        <f>"001"</f>
        <v>001</v>
      </c>
      <c r="D526">
        <v>1997</v>
      </c>
      <c r="E526">
        <v>4562800</v>
      </c>
      <c r="F526">
        <v>3811400</v>
      </c>
      <c r="G526" t="s">
        <v>11</v>
      </c>
      <c r="H526" t="s">
        <v>38</v>
      </c>
      <c r="I526" t="s">
        <v>13</v>
      </c>
      <c r="J526" t="s">
        <v>13</v>
      </c>
    </row>
    <row r="527" spans="1:11" x14ac:dyDescent="0.25">
      <c r="A527" t="s">
        <v>39</v>
      </c>
      <c r="B527" t="s">
        <v>13</v>
      </c>
      <c r="C527" t="s">
        <v>7</v>
      </c>
      <c r="D527" t="s">
        <v>8</v>
      </c>
      <c r="E527">
        <v>4562800</v>
      </c>
      <c r="F527">
        <v>3811400</v>
      </c>
      <c r="G527" t="s">
        <v>11</v>
      </c>
      <c r="H527">
        <v>21953400</v>
      </c>
      <c r="I527" t="s">
        <v>13</v>
      </c>
      <c r="J527" t="s">
        <v>13</v>
      </c>
      <c r="K527">
        <v>17.36</v>
      </c>
    </row>
    <row r="529" spans="1:11" x14ac:dyDescent="0.25">
      <c r="A529" t="s">
        <v>155</v>
      </c>
      <c r="B529" t="str">
        <f>"18127"</f>
        <v>18127</v>
      </c>
      <c r="C529" t="str">
        <f>"001"</f>
        <v>001</v>
      </c>
      <c r="D529">
        <v>2000</v>
      </c>
      <c r="E529">
        <v>1502900</v>
      </c>
      <c r="F529">
        <v>1430100</v>
      </c>
      <c r="G529" t="s">
        <v>11</v>
      </c>
      <c r="H529" t="s">
        <v>38</v>
      </c>
      <c r="I529" t="s">
        <v>13</v>
      </c>
      <c r="J529" t="s">
        <v>13</v>
      </c>
    </row>
    <row r="530" spans="1:11" x14ac:dyDescent="0.25">
      <c r="A530" t="s">
        <v>5</v>
      </c>
      <c r="B530" t="str">
        <f>"18127"</f>
        <v>18127</v>
      </c>
      <c r="C530" t="str">
        <f>"002"</f>
        <v>002</v>
      </c>
      <c r="D530">
        <v>2013</v>
      </c>
      <c r="E530">
        <v>7395100</v>
      </c>
      <c r="F530">
        <v>5781800</v>
      </c>
      <c r="G530" t="s">
        <v>11</v>
      </c>
      <c r="H530" t="s">
        <v>38</v>
      </c>
      <c r="I530" t="s">
        <v>13</v>
      </c>
      <c r="J530" t="s">
        <v>13</v>
      </c>
    </row>
    <row r="531" spans="1:11" x14ac:dyDescent="0.25">
      <c r="A531" t="s">
        <v>39</v>
      </c>
      <c r="B531" t="s">
        <v>13</v>
      </c>
      <c r="C531" t="s">
        <v>7</v>
      </c>
      <c r="D531" t="s">
        <v>8</v>
      </c>
      <c r="E531">
        <v>8898000</v>
      </c>
      <c r="F531">
        <v>7211900</v>
      </c>
      <c r="G531" t="s">
        <v>11</v>
      </c>
      <c r="H531">
        <v>86516000</v>
      </c>
      <c r="I531" t="s">
        <v>13</v>
      </c>
      <c r="J531" t="s">
        <v>13</v>
      </c>
      <c r="K531">
        <v>8.34</v>
      </c>
    </row>
    <row r="533" spans="1:11" x14ac:dyDescent="0.25">
      <c r="A533" t="s">
        <v>156</v>
      </c>
      <c r="B533" t="str">
        <f>"22226"</f>
        <v>22226</v>
      </c>
      <c r="C533" t="str">
        <f>"004"</f>
        <v>004</v>
      </c>
      <c r="D533">
        <v>2002</v>
      </c>
      <c r="E533">
        <v>973700</v>
      </c>
      <c r="F533">
        <v>941500</v>
      </c>
      <c r="G533" t="s">
        <v>11</v>
      </c>
      <c r="H533" t="s">
        <v>38</v>
      </c>
      <c r="I533" t="s">
        <v>13</v>
      </c>
      <c r="J533" t="s">
        <v>13</v>
      </c>
    </row>
    <row r="534" spans="1:11" x14ac:dyDescent="0.25">
      <c r="A534" t="s">
        <v>5</v>
      </c>
      <c r="B534" t="str">
        <f>"22226"</f>
        <v>22226</v>
      </c>
      <c r="C534" t="str">
        <f>"005"</f>
        <v>005</v>
      </c>
      <c r="D534">
        <v>2005</v>
      </c>
      <c r="E534">
        <v>7851800</v>
      </c>
      <c r="F534">
        <v>892900</v>
      </c>
      <c r="G534" t="s">
        <v>11</v>
      </c>
      <c r="H534" t="s">
        <v>38</v>
      </c>
      <c r="I534" t="s">
        <v>13</v>
      </c>
      <c r="J534" t="s">
        <v>13</v>
      </c>
    </row>
    <row r="535" spans="1:11" x14ac:dyDescent="0.25">
      <c r="A535" t="s">
        <v>5</v>
      </c>
      <c r="B535" t="str">
        <f>"22226"</f>
        <v>22226</v>
      </c>
      <c r="C535" t="str">
        <f>"006"</f>
        <v>006</v>
      </c>
      <c r="D535">
        <v>2017</v>
      </c>
      <c r="E535">
        <v>4674800</v>
      </c>
      <c r="F535">
        <v>3304800</v>
      </c>
      <c r="G535" t="s">
        <v>11</v>
      </c>
      <c r="H535" t="s">
        <v>38</v>
      </c>
      <c r="I535" t="s">
        <v>13</v>
      </c>
      <c r="J535" t="s">
        <v>13</v>
      </c>
    </row>
    <row r="536" spans="1:11" x14ac:dyDescent="0.25">
      <c r="A536" t="s">
        <v>39</v>
      </c>
      <c r="B536" t="s">
        <v>13</v>
      </c>
      <c r="C536" t="s">
        <v>7</v>
      </c>
      <c r="D536" t="s">
        <v>8</v>
      </c>
      <c r="E536">
        <v>13500300</v>
      </c>
      <c r="F536">
        <v>5139200</v>
      </c>
      <c r="G536" t="s">
        <v>11</v>
      </c>
      <c r="H536">
        <v>126693300</v>
      </c>
      <c r="I536" t="s">
        <v>13</v>
      </c>
      <c r="J536" t="s">
        <v>13</v>
      </c>
      <c r="K536">
        <v>4.0599999999999996</v>
      </c>
    </row>
    <row r="538" spans="1:11" x14ac:dyDescent="0.25">
      <c r="A538" t="s">
        <v>157</v>
      </c>
      <c r="B538" t="str">
        <f>"12126"</f>
        <v>12126</v>
      </c>
      <c r="C538" t="str">
        <f>"001"</f>
        <v>001</v>
      </c>
      <c r="D538">
        <v>2003</v>
      </c>
      <c r="E538">
        <v>315500</v>
      </c>
      <c r="F538">
        <v>263400</v>
      </c>
      <c r="G538" t="s">
        <v>11</v>
      </c>
      <c r="H538" t="s">
        <v>38</v>
      </c>
      <c r="I538" t="s">
        <v>13</v>
      </c>
      <c r="J538" t="s">
        <v>13</v>
      </c>
    </row>
    <row r="539" spans="1:11" x14ac:dyDescent="0.25">
      <c r="A539" t="s">
        <v>39</v>
      </c>
      <c r="B539" t="s">
        <v>13</v>
      </c>
      <c r="C539" t="s">
        <v>7</v>
      </c>
      <c r="D539" t="s">
        <v>8</v>
      </c>
      <c r="E539">
        <v>315500</v>
      </c>
      <c r="F539">
        <v>263400</v>
      </c>
      <c r="G539" t="s">
        <v>11</v>
      </c>
      <c r="H539">
        <v>24760900</v>
      </c>
      <c r="I539" t="s">
        <v>13</v>
      </c>
      <c r="J539" t="s">
        <v>13</v>
      </c>
      <c r="K539">
        <v>1.06</v>
      </c>
    </row>
    <row r="541" spans="1:11" x14ac:dyDescent="0.25">
      <c r="A541" t="s">
        <v>158</v>
      </c>
      <c r="B541" t="str">
        <f t="shared" ref="B541:B547" si="6">"13225"</f>
        <v>13225</v>
      </c>
      <c r="C541" t="str">
        <f>"004"</f>
        <v>004</v>
      </c>
      <c r="D541">
        <v>2003</v>
      </c>
      <c r="E541">
        <v>265060700</v>
      </c>
      <c r="F541">
        <v>215916700</v>
      </c>
      <c r="G541" t="s">
        <v>11</v>
      </c>
      <c r="H541" t="s">
        <v>38</v>
      </c>
      <c r="I541" t="s">
        <v>13</v>
      </c>
      <c r="J541" t="s">
        <v>13</v>
      </c>
    </row>
    <row r="542" spans="1:11" x14ac:dyDescent="0.25">
      <c r="A542" t="s">
        <v>5</v>
      </c>
      <c r="B542" t="str">
        <f t="shared" si="6"/>
        <v>13225</v>
      </c>
      <c r="C542" t="str">
        <f>"006"</f>
        <v>006</v>
      </c>
      <c r="D542">
        <v>2006</v>
      </c>
      <c r="E542">
        <v>183069400</v>
      </c>
      <c r="F542">
        <v>96268600</v>
      </c>
      <c r="G542" t="s">
        <v>11</v>
      </c>
      <c r="H542" t="s">
        <v>38</v>
      </c>
      <c r="I542" t="s">
        <v>13</v>
      </c>
      <c r="J542" t="s">
        <v>13</v>
      </c>
    </row>
    <row r="543" spans="1:11" x14ac:dyDescent="0.25">
      <c r="A543" t="s">
        <v>5</v>
      </c>
      <c r="B543" t="str">
        <f t="shared" si="6"/>
        <v>13225</v>
      </c>
      <c r="C543" t="str">
        <f>"009"</f>
        <v>009</v>
      </c>
      <c r="D543">
        <v>2015</v>
      </c>
      <c r="E543">
        <v>70169600</v>
      </c>
      <c r="F543">
        <v>26617200</v>
      </c>
      <c r="G543" t="s">
        <v>11</v>
      </c>
      <c r="H543" t="s">
        <v>38</v>
      </c>
      <c r="I543" t="s">
        <v>13</v>
      </c>
      <c r="J543" t="s">
        <v>13</v>
      </c>
    </row>
    <row r="544" spans="1:11" x14ac:dyDescent="0.25">
      <c r="A544" t="s">
        <v>5</v>
      </c>
      <c r="B544" t="str">
        <f t="shared" si="6"/>
        <v>13225</v>
      </c>
      <c r="C544" t="str">
        <f>"010"</f>
        <v>010</v>
      </c>
      <c r="D544">
        <v>2016</v>
      </c>
      <c r="E544">
        <v>44313300</v>
      </c>
      <c r="F544">
        <v>1440800</v>
      </c>
      <c r="G544" t="s">
        <v>11</v>
      </c>
      <c r="H544" t="s">
        <v>38</v>
      </c>
      <c r="I544" t="s">
        <v>13</v>
      </c>
      <c r="J544" t="s">
        <v>13</v>
      </c>
    </row>
    <row r="545" spans="1:11" x14ac:dyDescent="0.25">
      <c r="A545" t="s">
        <v>5</v>
      </c>
      <c r="B545" t="str">
        <f t="shared" si="6"/>
        <v>13225</v>
      </c>
      <c r="C545" t="str">
        <f>"011"</f>
        <v>011</v>
      </c>
      <c r="D545">
        <v>2018</v>
      </c>
      <c r="E545">
        <v>448300</v>
      </c>
      <c r="F545">
        <v>12100</v>
      </c>
      <c r="G545" t="s">
        <v>11</v>
      </c>
      <c r="H545" t="s">
        <v>38</v>
      </c>
      <c r="I545" t="s">
        <v>13</v>
      </c>
      <c r="J545" t="s">
        <v>13</v>
      </c>
    </row>
    <row r="546" spans="1:11" x14ac:dyDescent="0.25">
      <c r="A546" t="s">
        <v>5</v>
      </c>
      <c r="B546" t="str">
        <f t="shared" si="6"/>
        <v>13225</v>
      </c>
      <c r="C546" t="str">
        <f>"012"</f>
        <v>012</v>
      </c>
      <c r="D546">
        <v>2018</v>
      </c>
      <c r="E546">
        <v>138041900</v>
      </c>
      <c r="F546">
        <v>9851900</v>
      </c>
      <c r="G546" t="s">
        <v>11</v>
      </c>
      <c r="H546" t="s">
        <v>38</v>
      </c>
      <c r="I546" t="s">
        <v>13</v>
      </c>
      <c r="J546" t="s">
        <v>13</v>
      </c>
    </row>
    <row r="547" spans="1:11" x14ac:dyDescent="0.25">
      <c r="A547" t="s">
        <v>5</v>
      </c>
      <c r="B547" t="str">
        <f t="shared" si="6"/>
        <v>13225</v>
      </c>
      <c r="C547" t="str">
        <f>"013"</f>
        <v>013</v>
      </c>
      <c r="D547">
        <v>2018</v>
      </c>
      <c r="E547">
        <v>3049000</v>
      </c>
      <c r="F547">
        <v>3033000</v>
      </c>
      <c r="G547" t="s">
        <v>11</v>
      </c>
      <c r="H547" t="s">
        <v>38</v>
      </c>
      <c r="I547" t="s">
        <v>13</v>
      </c>
      <c r="J547" t="s">
        <v>13</v>
      </c>
    </row>
    <row r="548" spans="1:11" x14ac:dyDescent="0.25">
      <c r="A548" t="s">
        <v>39</v>
      </c>
      <c r="B548" t="s">
        <v>13</v>
      </c>
      <c r="C548" t="s">
        <v>7</v>
      </c>
      <c r="D548" t="s">
        <v>8</v>
      </c>
      <c r="E548">
        <v>704152200</v>
      </c>
      <c r="F548">
        <v>353140300</v>
      </c>
      <c r="G548" t="s">
        <v>11</v>
      </c>
      <c r="H548">
        <v>3419112900</v>
      </c>
      <c r="I548" t="s">
        <v>13</v>
      </c>
      <c r="J548" t="s">
        <v>13</v>
      </c>
      <c r="K548">
        <v>10.33</v>
      </c>
    </row>
    <row r="550" spans="1:11" x14ac:dyDescent="0.25">
      <c r="A550" t="s">
        <v>159</v>
      </c>
      <c r="B550" t="str">
        <f>"19010"</f>
        <v>19010</v>
      </c>
      <c r="C550" t="str">
        <f>"001R"</f>
        <v>001R</v>
      </c>
      <c r="D550">
        <v>2013</v>
      </c>
      <c r="E550">
        <v>14368400</v>
      </c>
      <c r="F550">
        <v>2968000</v>
      </c>
      <c r="G550" t="s">
        <v>11</v>
      </c>
      <c r="H550" t="s">
        <v>38</v>
      </c>
      <c r="I550" t="s">
        <v>13</v>
      </c>
      <c r="J550" t="s">
        <v>13</v>
      </c>
    </row>
    <row r="551" spans="1:11" x14ac:dyDescent="0.25">
      <c r="A551" t="s">
        <v>39</v>
      </c>
      <c r="B551" t="s">
        <v>13</v>
      </c>
      <c r="C551" t="s">
        <v>7</v>
      </c>
      <c r="D551" t="s">
        <v>8</v>
      </c>
      <c r="E551">
        <v>14368400</v>
      </c>
      <c r="F551">
        <v>2968000</v>
      </c>
      <c r="G551" t="s">
        <v>11</v>
      </c>
      <c r="H551">
        <v>318231400</v>
      </c>
      <c r="I551" t="s">
        <v>13</v>
      </c>
      <c r="J551" t="s">
        <v>13</v>
      </c>
      <c r="K551">
        <v>0.93</v>
      </c>
    </row>
    <row r="553" spans="1:11" x14ac:dyDescent="0.25">
      <c r="A553" t="s">
        <v>160</v>
      </c>
      <c r="B553" t="str">
        <f t="shared" ref="B553:B566" si="7">"20226"</f>
        <v>20226</v>
      </c>
      <c r="C553" t="str">
        <f>"010"</f>
        <v>010</v>
      </c>
      <c r="D553">
        <v>2004</v>
      </c>
      <c r="E553">
        <v>69663100</v>
      </c>
      <c r="F553">
        <v>67632500</v>
      </c>
      <c r="G553" t="s">
        <v>11</v>
      </c>
      <c r="H553" t="s">
        <v>38</v>
      </c>
      <c r="I553" t="s">
        <v>13</v>
      </c>
      <c r="J553" t="s">
        <v>13</v>
      </c>
    </row>
    <row r="554" spans="1:11" x14ac:dyDescent="0.25">
      <c r="A554" t="s">
        <v>5</v>
      </c>
      <c r="B554" t="str">
        <f t="shared" si="7"/>
        <v>20226</v>
      </c>
      <c r="C554" t="str">
        <f>"012"</f>
        <v>012</v>
      </c>
      <c r="D554">
        <v>2008</v>
      </c>
      <c r="E554">
        <v>2385400</v>
      </c>
      <c r="F554">
        <v>2385400</v>
      </c>
      <c r="G554" t="s">
        <v>11</v>
      </c>
      <c r="H554" t="s">
        <v>38</v>
      </c>
      <c r="I554" t="s">
        <v>13</v>
      </c>
      <c r="J554" t="s">
        <v>13</v>
      </c>
    </row>
    <row r="555" spans="1:11" x14ac:dyDescent="0.25">
      <c r="A555" t="s">
        <v>5</v>
      </c>
      <c r="B555" t="str">
        <f t="shared" si="7"/>
        <v>20226</v>
      </c>
      <c r="C555" t="str">
        <f>"013"</f>
        <v>013</v>
      </c>
      <c r="D555">
        <v>2010</v>
      </c>
      <c r="E555">
        <v>6501900</v>
      </c>
      <c r="F555">
        <v>3769400</v>
      </c>
      <c r="G555" t="s">
        <v>11</v>
      </c>
      <c r="H555" t="s">
        <v>38</v>
      </c>
      <c r="I555" t="s">
        <v>13</v>
      </c>
      <c r="J555" t="s">
        <v>13</v>
      </c>
    </row>
    <row r="556" spans="1:11" x14ac:dyDescent="0.25">
      <c r="A556" t="s">
        <v>5</v>
      </c>
      <c r="B556" t="str">
        <f t="shared" si="7"/>
        <v>20226</v>
      </c>
      <c r="C556" t="str">
        <f>"014"</f>
        <v>014</v>
      </c>
      <c r="D556">
        <v>2011</v>
      </c>
      <c r="E556">
        <v>7359400</v>
      </c>
      <c r="F556">
        <v>6830400</v>
      </c>
      <c r="G556" t="s">
        <v>11</v>
      </c>
      <c r="H556" t="s">
        <v>38</v>
      </c>
      <c r="I556" t="s">
        <v>13</v>
      </c>
      <c r="J556" t="s">
        <v>13</v>
      </c>
    </row>
    <row r="557" spans="1:11" x14ac:dyDescent="0.25">
      <c r="A557" t="s">
        <v>5</v>
      </c>
      <c r="B557" t="str">
        <f t="shared" si="7"/>
        <v>20226</v>
      </c>
      <c r="C557" t="str">
        <f>"015"</f>
        <v>015</v>
      </c>
      <c r="D557">
        <v>2011</v>
      </c>
      <c r="E557">
        <v>844600</v>
      </c>
      <c r="F557">
        <v>648400</v>
      </c>
      <c r="G557" t="s">
        <v>11</v>
      </c>
      <c r="H557" t="s">
        <v>38</v>
      </c>
      <c r="I557" t="s">
        <v>13</v>
      </c>
      <c r="J557" t="s">
        <v>13</v>
      </c>
    </row>
    <row r="558" spans="1:11" x14ac:dyDescent="0.25">
      <c r="A558" t="s">
        <v>5</v>
      </c>
      <c r="B558" t="str">
        <f t="shared" si="7"/>
        <v>20226</v>
      </c>
      <c r="C558" t="str">
        <f>"016"</f>
        <v>016</v>
      </c>
      <c r="D558">
        <v>2012</v>
      </c>
      <c r="E558">
        <v>1816800</v>
      </c>
      <c r="F558">
        <v>1523200</v>
      </c>
      <c r="G558" t="s">
        <v>11</v>
      </c>
      <c r="H558" t="s">
        <v>38</v>
      </c>
      <c r="I558" t="s">
        <v>13</v>
      </c>
      <c r="J558" t="s">
        <v>13</v>
      </c>
    </row>
    <row r="559" spans="1:11" x14ac:dyDescent="0.25">
      <c r="A559" t="s">
        <v>5</v>
      </c>
      <c r="B559" t="str">
        <f t="shared" si="7"/>
        <v>20226</v>
      </c>
      <c r="C559" t="str">
        <f>"017"</f>
        <v>017</v>
      </c>
      <c r="D559">
        <v>2012</v>
      </c>
      <c r="E559">
        <v>6226600</v>
      </c>
      <c r="F559">
        <v>4840900</v>
      </c>
      <c r="G559" t="s">
        <v>11</v>
      </c>
      <c r="H559" t="s">
        <v>38</v>
      </c>
      <c r="I559" t="s">
        <v>13</v>
      </c>
      <c r="J559" t="s">
        <v>13</v>
      </c>
    </row>
    <row r="560" spans="1:11" x14ac:dyDescent="0.25">
      <c r="A560" t="s">
        <v>5</v>
      </c>
      <c r="B560" t="str">
        <f t="shared" si="7"/>
        <v>20226</v>
      </c>
      <c r="C560" t="str">
        <f>"018"</f>
        <v>018</v>
      </c>
      <c r="D560">
        <v>2014</v>
      </c>
      <c r="E560">
        <v>12324900</v>
      </c>
      <c r="F560">
        <v>8535700</v>
      </c>
      <c r="G560" t="s">
        <v>11</v>
      </c>
      <c r="H560" t="s">
        <v>38</v>
      </c>
      <c r="I560" t="s">
        <v>13</v>
      </c>
      <c r="J560" t="s">
        <v>13</v>
      </c>
    </row>
    <row r="561" spans="1:11" x14ac:dyDescent="0.25">
      <c r="A561" t="s">
        <v>5</v>
      </c>
      <c r="B561" t="str">
        <f t="shared" si="7"/>
        <v>20226</v>
      </c>
      <c r="C561" t="str">
        <f>"019"</f>
        <v>019</v>
      </c>
      <c r="D561">
        <v>2015</v>
      </c>
      <c r="E561">
        <v>1598500</v>
      </c>
      <c r="F561">
        <v>838700</v>
      </c>
      <c r="G561" t="s">
        <v>11</v>
      </c>
      <c r="H561" t="s">
        <v>38</v>
      </c>
      <c r="I561" t="s">
        <v>13</v>
      </c>
      <c r="J561" t="s">
        <v>13</v>
      </c>
    </row>
    <row r="562" spans="1:11" x14ac:dyDescent="0.25">
      <c r="A562" t="s">
        <v>5</v>
      </c>
      <c r="B562" t="str">
        <f t="shared" si="7"/>
        <v>20226</v>
      </c>
      <c r="C562" t="str">
        <f>"020"</f>
        <v>020</v>
      </c>
      <c r="D562">
        <v>2017</v>
      </c>
      <c r="E562">
        <v>866500</v>
      </c>
      <c r="F562">
        <v>866500</v>
      </c>
      <c r="G562" t="s">
        <v>11</v>
      </c>
      <c r="H562" t="s">
        <v>38</v>
      </c>
      <c r="I562" t="s">
        <v>13</v>
      </c>
      <c r="J562" t="s">
        <v>13</v>
      </c>
    </row>
    <row r="563" spans="1:11" x14ac:dyDescent="0.25">
      <c r="A563" t="s">
        <v>5</v>
      </c>
      <c r="B563" t="str">
        <f t="shared" si="7"/>
        <v>20226</v>
      </c>
      <c r="C563" t="str">
        <f>"021"</f>
        <v>021</v>
      </c>
      <c r="D563">
        <v>2017</v>
      </c>
      <c r="E563">
        <v>1581600</v>
      </c>
      <c r="F563">
        <v>-574800</v>
      </c>
      <c r="G563" t="s">
        <v>49</v>
      </c>
      <c r="H563" t="s">
        <v>38</v>
      </c>
      <c r="I563" t="s">
        <v>13</v>
      </c>
      <c r="J563" t="s">
        <v>13</v>
      </c>
    </row>
    <row r="564" spans="1:11" x14ac:dyDescent="0.25">
      <c r="A564" t="s">
        <v>5</v>
      </c>
      <c r="B564" t="str">
        <f t="shared" si="7"/>
        <v>20226</v>
      </c>
      <c r="C564" t="str">
        <f>"022"</f>
        <v>022</v>
      </c>
      <c r="D564">
        <v>2017</v>
      </c>
      <c r="E564">
        <v>3875400</v>
      </c>
      <c r="F564">
        <v>2357700</v>
      </c>
      <c r="G564" t="s">
        <v>11</v>
      </c>
      <c r="H564" t="s">
        <v>38</v>
      </c>
      <c r="I564" t="s">
        <v>13</v>
      </c>
      <c r="J564" t="s">
        <v>13</v>
      </c>
    </row>
    <row r="565" spans="1:11" x14ac:dyDescent="0.25">
      <c r="A565" t="s">
        <v>5</v>
      </c>
      <c r="B565" t="str">
        <f t="shared" si="7"/>
        <v>20226</v>
      </c>
      <c r="C565" t="str">
        <f>"023"</f>
        <v>023</v>
      </c>
      <c r="D565">
        <v>2018</v>
      </c>
      <c r="E565">
        <v>5970900</v>
      </c>
      <c r="F565">
        <v>722800</v>
      </c>
      <c r="G565" t="s">
        <v>11</v>
      </c>
      <c r="H565" t="s">
        <v>38</v>
      </c>
      <c r="I565" t="s">
        <v>13</v>
      </c>
      <c r="J565" t="s">
        <v>13</v>
      </c>
    </row>
    <row r="566" spans="1:11" x14ac:dyDescent="0.25">
      <c r="A566" t="s">
        <v>5</v>
      </c>
      <c r="B566" t="str">
        <f t="shared" si="7"/>
        <v>20226</v>
      </c>
      <c r="C566" t="str">
        <f>"024"</f>
        <v>024</v>
      </c>
      <c r="D566">
        <v>2018</v>
      </c>
      <c r="E566">
        <v>5684000</v>
      </c>
      <c r="F566">
        <v>5272500</v>
      </c>
      <c r="G566" t="s">
        <v>11</v>
      </c>
      <c r="H566" t="s">
        <v>38</v>
      </c>
      <c r="I566" t="s">
        <v>13</v>
      </c>
      <c r="J566" t="s">
        <v>13</v>
      </c>
    </row>
    <row r="567" spans="1:11" x14ac:dyDescent="0.25">
      <c r="A567" t="s">
        <v>39</v>
      </c>
      <c r="B567" t="s">
        <v>13</v>
      </c>
      <c r="C567" t="s">
        <v>7</v>
      </c>
      <c r="D567" t="s">
        <v>8</v>
      </c>
      <c r="E567">
        <v>126699600</v>
      </c>
      <c r="F567">
        <v>106224100</v>
      </c>
      <c r="G567" t="s">
        <v>11</v>
      </c>
      <c r="H567">
        <v>3003275800</v>
      </c>
      <c r="I567" t="s">
        <v>13</v>
      </c>
      <c r="J567" t="s">
        <v>13</v>
      </c>
      <c r="K567">
        <v>3.54</v>
      </c>
    </row>
    <row r="569" spans="1:11" x14ac:dyDescent="0.25">
      <c r="A569" t="s">
        <v>161</v>
      </c>
      <c r="B569" t="str">
        <f>"64126"</f>
        <v>64126</v>
      </c>
      <c r="C569" t="str">
        <f>"001"</f>
        <v>001</v>
      </c>
      <c r="D569">
        <v>2001</v>
      </c>
      <c r="E569">
        <v>107212100</v>
      </c>
      <c r="F569">
        <v>76991700</v>
      </c>
      <c r="G569" t="s">
        <v>11</v>
      </c>
      <c r="H569" t="s">
        <v>38</v>
      </c>
      <c r="I569" t="s">
        <v>13</v>
      </c>
      <c r="J569" t="s">
        <v>13</v>
      </c>
    </row>
    <row r="570" spans="1:11" x14ac:dyDescent="0.25">
      <c r="A570" t="s">
        <v>39</v>
      </c>
      <c r="B570" t="s">
        <v>13</v>
      </c>
      <c r="C570" t="s">
        <v>7</v>
      </c>
      <c r="D570" t="s">
        <v>8</v>
      </c>
      <c r="E570">
        <v>107212100</v>
      </c>
      <c r="F570">
        <v>76991700</v>
      </c>
      <c r="G570" t="s">
        <v>11</v>
      </c>
      <c r="H570">
        <v>1264289500</v>
      </c>
      <c r="I570" t="s">
        <v>13</v>
      </c>
      <c r="J570" t="s">
        <v>13</v>
      </c>
      <c r="K570">
        <v>6.09</v>
      </c>
    </row>
    <row r="572" spans="1:11" x14ac:dyDescent="0.25">
      <c r="A572" t="s">
        <v>162</v>
      </c>
      <c r="B572" t="str">
        <f>"53126"</f>
        <v>53126</v>
      </c>
      <c r="C572" t="str">
        <f>"001"</f>
        <v>001</v>
      </c>
      <c r="D572">
        <v>2000</v>
      </c>
      <c r="E572">
        <v>12005300</v>
      </c>
      <c r="F572">
        <v>10770000</v>
      </c>
      <c r="G572" t="s">
        <v>11</v>
      </c>
      <c r="H572" t="s">
        <v>38</v>
      </c>
      <c r="I572" t="s">
        <v>13</v>
      </c>
      <c r="J572" t="s">
        <v>13</v>
      </c>
    </row>
    <row r="573" spans="1:11" x14ac:dyDescent="0.25">
      <c r="A573" t="s">
        <v>39</v>
      </c>
      <c r="B573" t="s">
        <v>13</v>
      </c>
      <c r="C573" t="s">
        <v>7</v>
      </c>
      <c r="D573" t="s">
        <v>8</v>
      </c>
      <c r="E573">
        <v>12005300</v>
      </c>
      <c r="F573">
        <v>10770000</v>
      </c>
      <c r="G573" t="s">
        <v>11</v>
      </c>
      <c r="H573">
        <v>47742500</v>
      </c>
      <c r="I573" t="s">
        <v>13</v>
      </c>
      <c r="J573" t="s">
        <v>13</v>
      </c>
      <c r="K573">
        <v>22.56</v>
      </c>
    </row>
    <row r="575" spans="1:11" x14ac:dyDescent="0.25">
      <c r="A575" t="s">
        <v>163</v>
      </c>
      <c r="B575" t="str">
        <f>"28226"</f>
        <v>28226</v>
      </c>
      <c r="C575" t="str">
        <f>"006"</f>
        <v>006</v>
      </c>
      <c r="D575">
        <v>2000</v>
      </c>
      <c r="E575">
        <v>6780500</v>
      </c>
      <c r="F575">
        <v>5645100</v>
      </c>
      <c r="G575" t="s">
        <v>11</v>
      </c>
      <c r="H575" t="s">
        <v>38</v>
      </c>
      <c r="I575" t="s">
        <v>13</v>
      </c>
      <c r="J575" t="s">
        <v>13</v>
      </c>
    </row>
    <row r="576" spans="1:11" x14ac:dyDescent="0.25">
      <c r="A576" t="s">
        <v>5</v>
      </c>
      <c r="B576" t="str">
        <f>"28226"</f>
        <v>28226</v>
      </c>
      <c r="C576" t="str">
        <f>"007"</f>
        <v>007</v>
      </c>
      <c r="D576">
        <v>2000</v>
      </c>
      <c r="E576">
        <v>29044000</v>
      </c>
      <c r="F576">
        <v>17456100</v>
      </c>
      <c r="G576" t="s">
        <v>11</v>
      </c>
      <c r="H576" t="s">
        <v>38</v>
      </c>
      <c r="I576" t="s">
        <v>13</v>
      </c>
      <c r="J576" t="s">
        <v>13</v>
      </c>
    </row>
    <row r="577" spans="1:11" x14ac:dyDescent="0.25">
      <c r="A577" t="s">
        <v>5</v>
      </c>
      <c r="B577" t="str">
        <f>"28226"</f>
        <v>28226</v>
      </c>
      <c r="C577" t="str">
        <f>"008"</f>
        <v>008</v>
      </c>
      <c r="D577">
        <v>2009</v>
      </c>
      <c r="E577">
        <v>55421600</v>
      </c>
      <c r="F577">
        <v>26837400</v>
      </c>
      <c r="G577" t="s">
        <v>11</v>
      </c>
      <c r="H577" t="s">
        <v>38</v>
      </c>
      <c r="I577" t="s">
        <v>13</v>
      </c>
      <c r="J577" t="s">
        <v>13</v>
      </c>
    </row>
    <row r="578" spans="1:11" x14ac:dyDescent="0.25">
      <c r="A578" t="s">
        <v>39</v>
      </c>
      <c r="B578" t="s">
        <v>13</v>
      </c>
      <c r="C578" t="s">
        <v>7</v>
      </c>
      <c r="D578" t="s">
        <v>8</v>
      </c>
      <c r="E578">
        <v>91246100</v>
      </c>
      <c r="F578">
        <v>49938600</v>
      </c>
      <c r="G578" t="s">
        <v>11</v>
      </c>
      <c r="H578">
        <v>994300600</v>
      </c>
      <c r="I578" t="s">
        <v>13</v>
      </c>
      <c r="J578" t="s">
        <v>13</v>
      </c>
      <c r="K578">
        <v>5.0199999999999996</v>
      </c>
    </row>
    <row r="580" spans="1:11" x14ac:dyDescent="0.25">
      <c r="A580" t="s">
        <v>164</v>
      </c>
      <c r="B580" t="str">
        <f>"70121"</f>
        <v>70121</v>
      </c>
      <c r="C580" t="str">
        <f>"001"</f>
        <v>001</v>
      </c>
      <c r="D580">
        <v>2015</v>
      </c>
      <c r="E580">
        <v>27488400</v>
      </c>
      <c r="F580">
        <v>24756100</v>
      </c>
      <c r="G580" t="s">
        <v>11</v>
      </c>
      <c r="H580" t="s">
        <v>38</v>
      </c>
      <c r="I580" t="s">
        <v>13</v>
      </c>
      <c r="J580" t="s">
        <v>13</v>
      </c>
    </row>
    <row r="581" spans="1:11" x14ac:dyDescent="0.25">
      <c r="A581" t="s">
        <v>5</v>
      </c>
      <c r="B581" t="str">
        <f>"70121"</f>
        <v>70121</v>
      </c>
      <c r="C581" t="str">
        <f>"002"</f>
        <v>002</v>
      </c>
      <c r="D581">
        <v>2016</v>
      </c>
      <c r="E581">
        <v>37523700</v>
      </c>
      <c r="F581">
        <v>8176300</v>
      </c>
      <c r="G581" t="s">
        <v>11</v>
      </c>
      <c r="H581" t="s">
        <v>38</v>
      </c>
      <c r="I581" t="s">
        <v>13</v>
      </c>
      <c r="J581" t="s">
        <v>13</v>
      </c>
    </row>
    <row r="582" spans="1:11" x14ac:dyDescent="0.25">
      <c r="A582" t="s">
        <v>5</v>
      </c>
      <c r="B582" t="str">
        <f>"70121"</f>
        <v>70121</v>
      </c>
      <c r="C582" t="str">
        <f>"003"</f>
        <v>003</v>
      </c>
      <c r="D582">
        <v>2017</v>
      </c>
      <c r="E582">
        <v>30959700</v>
      </c>
      <c r="F582">
        <v>30939700</v>
      </c>
      <c r="G582" t="s">
        <v>11</v>
      </c>
      <c r="H582" t="s">
        <v>38</v>
      </c>
      <c r="I582" t="s">
        <v>13</v>
      </c>
      <c r="J582" t="s">
        <v>13</v>
      </c>
    </row>
    <row r="583" spans="1:11" x14ac:dyDescent="0.25">
      <c r="A583" t="s">
        <v>5</v>
      </c>
      <c r="B583" t="str">
        <f>"70121"</f>
        <v>70121</v>
      </c>
      <c r="C583" t="str">
        <f>"004"</f>
        <v>004</v>
      </c>
      <c r="D583">
        <v>2018</v>
      </c>
      <c r="E583">
        <v>522100</v>
      </c>
      <c r="F583">
        <v>-20800</v>
      </c>
      <c r="G583" t="s">
        <v>49</v>
      </c>
      <c r="H583" t="s">
        <v>38</v>
      </c>
      <c r="I583" t="s">
        <v>13</v>
      </c>
      <c r="J583" t="s">
        <v>13</v>
      </c>
    </row>
    <row r="584" spans="1:11" x14ac:dyDescent="0.25">
      <c r="A584" t="s">
        <v>39</v>
      </c>
      <c r="B584" t="s">
        <v>13</v>
      </c>
      <c r="C584" t="s">
        <v>7</v>
      </c>
      <c r="D584" t="s">
        <v>8</v>
      </c>
      <c r="E584">
        <v>96493900</v>
      </c>
      <c r="F584">
        <v>63872100</v>
      </c>
      <c r="G584" t="s">
        <v>11</v>
      </c>
      <c r="H584">
        <v>1820357800</v>
      </c>
      <c r="I584" t="s">
        <v>13</v>
      </c>
      <c r="J584" t="s">
        <v>13</v>
      </c>
      <c r="K584">
        <v>3.51</v>
      </c>
    </row>
    <row r="586" spans="1:11" x14ac:dyDescent="0.25">
      <c r="A586" t="s">
        <v>165</v>
      </c>
      <c r="B586" t="str">
        <f>"14226"</f>
        <v>14226</v>
      </c>
      <c r="C586" t="str">
        <f>"002"</f>
        <v>002</v>
      </c>
      <c r="D586">
        <v>2015</v>
      </c>
      <c r="E586">
        <v>9905100</v>
      </c>
      <c r="F586">
        <v>2709100</v>
      </c>
      <c r="G586" t="s">
        <v>11</v>
      </c>
      <c r="H586" t="s">
        <v>38</v>
      </c>
      <c r="I586" t="s">
        <v>13</v>
      </c>
      <c r="J586" t="s">
        <v>13</v>
      </c>
    </row>
    <row r="587" spans="1:11" x14ac:dyDescent="0.25">
      <c r="A587" t="s">
        <v>5</v>
      </c>
      <c r="B587" t="str">
        <f>"14226"</f>
        <v>14226</v>
      </c>
      <c r="C587" t="str">
        <f>"003"</f>
        <v>003</v>
      </c>
      <c r="D587">
        <v>2016</v>
      </c>
      <c r="E587">
        <v>7631200</v>
      </c>
      <c r="F587">
        <v>2996900</v>
      </c>
      <c r="G587" t="s">
        <v>11</v>
      </c>
      <c r="H587" t="s">
        <v>38</v>
      </c>
      <c r="I587" t="s">
        <v>13</v>
      </c>
      <c r="J587" t="s">
        <v>13</v>
      </c>
    </row>
    <row r="588" spans="1:11" x14ac:dyDescent="0.25">
      <c r="A588" t="s">
        <v>39</v>
      </c>
      <c r="B588" t="s">
        <v>13</v>
      </c>
      <c r="C588" t="s">
        <v>7</v>
      </c>
      <c r="D588" t="s">
        <v>8</v>
      </c>
      <c r="E588">
        <v>17536300</v>
      </c>
      <c r="F588">
        <v>5706000</v>
      </c>
      <c r="G588" t="s">
        <v>11</v>
      </c>
      <c r="H588">
        <v>89624800</v>
      </c>
      <c r="I588" t="s">
        <v>13</v>
      </c>
      <c r="J588" t="s">
        <v>13</v>
      </c>
      <c r="K588">
        <v>6.37</v>
      </c>
    </row>
    <row r="590" spans="1:11" x14ac:dyDescent="0.25">
      <c r="A590" t="s">
        <v>166</v>
      </c>
      <c r="B590" t="str">
        <f>"36126"</f>
        <v>36126</v>
      </c>
      <c r="C590" t="str">
        <f>"002"</f>
        <v>002</v>
      </c>
      <c r="D590">
        <v>2004</v>
      </c>
      <c r="E590">
        <v>1379500</v>
      </c>
      <c r="F590">
        <v>1159900</v>
      </c>
      <c r="G590" t="s">
        <v>11</v>
      </c>
      <c r="H590" t="s">
        <v>38</v>
      </c>
      <c r="I590" t="s">
        <v>13</v>
      </c>
      <c r="J590" t="s">
        <v>13</v>
      </c>
    </row>
    <row r="591" spans="1:11" x14ac:dyDescent="0.25">
      <c r="A591" t="s">
        <v>39</v>
      </c>
      <c r="B591" t="s">
        <v>13</v>
      </c>
      <c r="C591" t="s">
        <v>7</v>
      </c>
      <c r="D591" t="s">
        <v>8</v>
      </c>
      <c r="E591">
        <v>1379500</v>
      </c>
      <c r="F591">
        <v>1159900</v>
      </c>
      <c r="G591" t="s">
        <v>11</v>
      </c>
      <c r="H591">
        <v>41707400</v>
      </c>
      <c r="I591" t="s">
        <v>13</v>
      </c>
      <c r="J591" t="s">
        <v>13</v>
      </c>
      <c r="K591">
        <v>2.78</v>
      </c>
    </row>
    <row r="593" spans="1:11" x14ac:dyDescent="0.25">
      <c r="A593" t="s">
        <v>167</v>
      </c>
      <c r="B593" t="str">
        <f>"40226"</f>
        <v>40226</v>
      </c>
      <c r="C593" t="str">
        <f>"003"</f>
        <v>003</v>
      </c>
      <c r="D593">
        <v>2005</v>
      </c>
      <c r="E593">
        <v>238269700</v>
      </c>
      <c r="F593">
        <v>64781500</v>
      </c>
      <c r="G593" t="s">
        <v>11</v>
      </c>
      <c r="H593" t="s">
        <v>38</v>
      </c>
      <c r="I593" t="s">
        <v>13</v>
      </c>
      <c r="J593" t="s">
        <v>13</v>
      </c>
    </row>
    <row r="594" spans="1:11" x14ac:dyDescent="0.25">
      <c r="A594" t="s">
        <v>5</v>
      </c>
      <c r="B594" t="str">
        <f>"40226"</f>
        <v>40226</v>
      </c>
      <c r="C594" t="str">
        <f>"004"</f>
        <v>004</v>
      </c>
      <c r="D594">
        <v>2005</v>
      </c>
      <c r="E594">
        <v>72447400</v>
      </c>
      <c r="F594">
        <v>52629500</v>
      </c>
      <c r="G594" t="s">
        <v>11</v>
      </c>
      <c r="H594" t="s">
        <v>38</v>
      </c>
      <c r="I594" t="s">
        <v>13</v>
      </c>
      <c r="J594" t="s">
        <v>13</v>
      </c>
    </row>
    <row r="595" spans="1:11" x14ac:dyDescent="0.25">
      <c r="A595" t="s">
        <v>5</v>
      </c>
      <c r="B595" t="str">
        <f>"40226"</f>
        <v>40226</v>
      </c>
      <c r="C595" t="str">
        <f>"005"</f>
        <v>005</v>
      </c>
      <c r="D595">
        <v>2016</v>
      </c>
      <c r="E595">
        <v>33903100</v>
      </c>
      <c r="F595">
        <v>30859200</v>
      </c>
      <c r="G595" t="s">
        <v>11</v>
      </c>
      <c r="H595" t="s">
        <v>38</v>
      </c>
      <c r="I595" t="s">
        <v>13</v>
      </c>
      <c r="J595" t="s">
        <v>13</v>
      </c>
    </row>
    <row r="596" spans="1:11" x14ac:dyDescent="0.25">
      <c r="A596" t="s">
        <v>39</v>
      </c>
      <c r="B596" t="s">
        <v>13</v>
      </c>
      <c r="C596" t="s">
        <v>7</v>
      </c>
      <c r="D596" t="s">
        <v>8</v>
      </c>
      <c r="E596">
        <v>344620200</v>
      </c>
      <c r="F596">
        <v>148270200</v>
      </c>
      <c r="G596" t="s">
        <v>11</v>
      </c>
      <c r="H596">
        <v>4360269000</v>
      </c>
      <c r="I596" t="s">
        <v>13</v>
      </c>
      <c r="J596" t="s">
        <v>13</v>
      </c>
      <c r="K596">
        <v>3.4</v>
      </c>
    </row>
    <row r="598" spans="1:11" x14ac:dyDescent="0.25">
      <c r="A598" t="s">
        <v>168</v>
      </c>
      <c r="B598" t="str">
        <f>"48126"</f>
        <v>48126</v>
      </c>
      <c r="C598" t="str">
        <f>"003"</f>
        <v>003</v>
      </c>
      <c r="D598">
        <v>2007</v>
      </c>
      <c r="E598">
        <v>5735200</v>
      </c>
      <c r="F598">
        <v>3979900</v>
      </c>
      <c r="G598" t="s">
        <v>11</v>
      </c>
      <c r="H598" t="s">
        <v>38</v>
      </c>
      <c r="I598" t="s">
        <v>13</v>
      </c>
      <c r="J598" t="s">
        <v>13</v>
      </c>
    </row>
    <row r="599" spans="1:11" x14ac:dyDescent="0.25">
      <c r="A599" t="s">
        <v>39</v>
      </c>
      <c r="B599" t="s">
        <v>13</v>
      </c>
      <c r="C599" t="s">
        <v>7</v>
      </c>
      <c r="D599" t="s">
        <v>8</v>
      </c>
      <c r="E599">
        <v>5735200</v>
      </c>
      <c r="F599">
        <v>3979900</v>
      </c>
      <c r="G599" t="s">
        <v>11</v>
      </c>
      <c r="H599">
        <v>59471300</v>
      </c>
      <c r="I599" t="s">
        <v>13</v>
      </c>
      <c r="J599" t="s">
        <v>13</v>
      </c>
      <c r="K599">
        <v>6.69</v>
      </c>
    </row>
    <row r="601" spans="1:11" x14ac:dyDescent="0.25">
      <c r="A601" t="s">
        <v>169</v>
      </c>
      <c r="B601" t="str">
        <f>"44018"</f>
        <v>44018</v>
      </c>
      <c r="C601" t="str">
        <f>"001A"</f>
        <v>001A</v>
      </c>
      <c r="D601">
        <v>2016</v>
      </c>
      <c r="E601">
        <v>3234700</v>
      </c>
      <c r="F601">
        <v>1241100</v>
      </c>
      <c r="G601" t="s">
        <v>11</v>
      </c>
      <c r="H601" t="s">
        <v>38</v>
      </c>
      <c r="I601" t="s">
        <v>13</v>
      </c>
      <c r="J601" t="s">
        <v>13</v>
      </c>
    </row>
    <row r="602" spans="1:11" x14ac:dyDescent="0.25">
      <c r="A602" t="s">
        <v>5</v>
      </c>
      <c r="B602" t="str">
        <f>"44018"</f>
        <v>44018</v>
      </c>
      <c r="C602" t="str">
        <f>"002A"</f>
        <v>002A</v>
      </c>
      <c r="D602">
        <v>2017</v>
      </c>
      <c r="E602">
        <v>12729900</v>
      </c>
      <c r="F602">
        <v>1001500</v>
      </c>
      <c r="G602" t="s">
        <v>11</v>
      </c>
      <c r="H602" t="s">
        <v>38</v>
      </c>
      <c r="I602" t="s">
        <v>13</v>
      </c>
      <c r="J602" t="s">
        <v>13</v>
      </c>
    </row>
    <row r="603" spans="1:11" x14ac:dyDescent="0.25">
      <c r="A603" t="s">
        <v>39</v>
      </c>
      <c r="B603" t="s">
        <v>13</v>
      </c>
      <c r="C603" t="s">
        <v>7</v>
      </c>
      <c r="D603" t="s">
        <v>8</v>
      </c>
      <c r="E603">
        <v>15964600</v>
      </c>
      <c r="F603">
        <v>2242600</v>
      </c>
      <c r="G603" t="s">
        <v>11</v>
      </c>
      <c r="H603">
        <v>542643600</v>
      </c>
      <c r="I603" t="s">
        <v>13</v>
      </c>
      <c r="J603" t="s">
        <v>13</v>
      </c>
      <c r="K603">
        <v>0.41</v>
      </c>
    </row>
    <row r="605" spans="1:11" x14ac:dyDescent="0.25">
      <c r="A605" t="s">
        <v>170</v>
      </c>
      <c r="B605" t="str">
        <f>"01126"</f>
        <v>01126</v>
      </c>
      <c r="C605" t="str">
        <f>"001"</f>
        <v>001</v>
      </c>
      <c r="D605">
        <v>1997</v>
      </c>
      <c r="E605">
        <v>6902300</v>
      </c>
      <c r="F605">
        <v>4206000</v>
      </c>
      <c r="G605" t="s">
        <v>11</v>
      </c>
      <c r="H605" t="s">
        <v>38</v>
      </c>
      <c r="I605" t="s">
        <v>13</v>
      </c>
      <c r="J605" t="s">
        <v>13</v>
      </c>
    </row>
    <row r="606" spans="1:11" x14ac:dyDescent="0.25">
      <c r="A606" t="s">
        <v>5</v>
      </c>
      <c r="B606" t="str">
        <f>"01126"</f>
        <v>01126</v>
      </c>
      <c r="C606" t="str">
        <f>"002"</f>
        <v>002</v>
      </c>
      <c r="D606">
        <v>2000</v>
      </c>
      <c r="E606">
        <v>206300</v>
      </c>
      <c r="F606">
        <v>58300</v>
      </c>
      <c r="G606" t="s">
        <v>11</v>
      </c>
      <c r="H606" t="s">
        <v>38</v>
      </c>
      <c r="I606" t="s">
        <v>13</v>
      </c>
      <c r="J606" t="s">
        <v>13</v>
      </c>
    </row>
    <row r="607" spans="1:11" x14ac:dyDescent="0.25">
      <c r="A607" t="s">
        <v>39</v>
      </c>
      <c r="B607" t="s">
        <v>13</v>
      </c>
      <c r="C607" t="s">
        <v>7</v>
      </c>
      <c r="D607" t="s">
        <v>8</v>
      </c>
      <c r="E607">
        <v>7108600</v>
      </c>
      <c r="F607">
        <v>4264300</v>
      </c>
      <c r="G607" t="s">
        <v>11</v>
      </c>
      <c r="H607">
        <v>31359100</v>
      </c>
      <c r="I607" t="s">
        <v>13</v>
      </c>
      <c r="J607" t="s">
        <v>13</v>
      </c>
      <c r="K607">
        <v>13.6</v>
      </c>
    </row>
    <row r="609" spans="1:11" x14ac:dyDescent="0.25">
      <c r="A609" t="s">
        <v>171</v>
      </c>
      <c r="B609" t="str">
        <f>"11127"</f>
        <v>11127</v>
      </c>
      <c r="C609" t="str">
        <f>"001"</f>
        <v>001</v>
      </c>
      <c r="D609">
        <v>1995</v>
      </c>
      <c r="E609">
        <v>7577200</v>
      </c>
      <c r="F609">
        <v>5049500</v>
      </c>
      <c r="G609" t="s">
        <v>11</v>
      </c>
      <c r="H609" t="s">
        <v>38</v>
      </c>
      <c r="I609" t="s">
        <v>13</v>
      </c>
      <c r="J609" t="s">
        <v>13</v>
      </c>
    </row>
    <row r="610" spans="1:11" x14ac:dyDescent="0.25">
      <c r="A610" t="s">
        <v>39</v>
      </c>
      <c r="B610" t="s">
        <v>13</v>
      </c>
      <c r="C610" t="s">
        <v>7</v>
      </c>
      <c r="D610" t="s">
        <v>8</v>
      </c>
      <c r="E610">
        <v>7577200</v>
      </c>
      <c r="F610">
        <v>5049500</v>
      </c>
      <c r="G610" t="s">
        <v>11</v>
      </c>
      <c r="H610">
        <v>21997200</v>
      </c>
      <c r="I610" t="s">
        <v>13</v>
      </c>
      <c r="J610" t="s">
        <v>13</v>
      </c>
      <c r="K610">
        <v>22.96</v>
      </c>
    </row>
    <row r="612" spans="1:11" x14ac:dyDescent="0.25">
      <c r="A612" t="s">
        <v>172</v>
      </c>
      <c r="B612" t="str">
        <f>"61231"</f>
        <v>61231</v>
      </c>
      <c r="C612" t="str">
        <f>"002"</f>
        <v>002</v>
      </c>
      <c r="D612">
        <v>2001</v>
      </c>
      <c r="E612">
        <v>10095300</v>
      </c>
      <c r="F612">
        <v>9056700</v>
      </c>
      <c r="G612" t="s">
        <v>11</v>
      </c>
      <c r="H612" t="s">
        <v>38</v>
      </c>
      <c r="I612" t="s">
        <v>13</v>
      </c>
      <c r="J612" t="s">
        <v>13</v>
      </c>
    </row>
    <row r="613" spans="1:11" x14ac:dyDescent="0.25">
      <c r="A613" t="s">
        <v>39</v>
      </c>
      <c r="B613" t="s">
        <v>13</v>
      </c>
      <c r="C613" t="s">
        <v>7</v>
      </c>
      <c r="D613" t="s">
        <v>8</v>
      </c>
      <c r="E613">
        <v>10095300</v>
      </c>
      <c r="F613">
        <v>9056700</v>
      </c>
      <c r="G613" t="s">
        <v>11</v>
      </c>
      <c r="H613">
        <v>109114900</v>
      </c>
      <c r="I613" t="s">
        <v>13</v>
      </c>
      <c r="J613" t="s">
        <v>13</v>
      </c>
      <c r="K613">
        <v>8.3000000000000007</v>
      </c>
    </row>
    <row r="615" spans="1:11" x14ac:dyDescent="0.25">
      <c r="A615" t="s">
        <v>173</v>
      </c>
      <c r="B615" t="str">
        <f>"12131"</f>
        <v>12131</v>
      </c>
      <c r="C615" t="str">
        <f>"001"</f>
        <v>001</v>
      </c>
      <c r="D615">
        <v>2000</v>
      </c>
      <c r="E615">
        <v>2555800</v>
      </c>
      <c r="F615">
        <v>2547900</v>
      </c>
      <c r="G615" t="s">
        <v>11</v>
      </c>
      <c r="H615" t="s">
        <v>38</v>
      </c>
      <c r="I615" t="s">
        <v>13</v>
      </c>
      <c r="J615" t="s">
        <v>13</v>
      </c>
    </row>
    <row r="616" spans="1:11" x14ac:dyDescent="0.25">
      <c r="A616" t="s">
        <v>5</v>
      </c>
      <c r="B616" t="str">
        <f>"12131"</f>
        <v>12131</v>
      </c>
      <c r="C616" t="str">
        <f>"003"</f>
        <v>003</v>
      </c>
      <c r="D616">
        <v>2018</v>
      </c>
      <c r="E616">
        <v>0</v>
      </c>
      <c r="F616">
        <v>0</v>
      </c>
      <c r="G616" t="s">
        <v>11</v>
      </c>
      <c r="H616" t="s">
        <v>38</v>
      </c>
      <c r="I616" t="s">
        <v>13</v>
      </c>
      <c r="J616" t="s">
        <v>13</v>
      </c>
    </row>
    <row r="617" spans="1:11" x14ac:dyDescent="0.25">
      <c r="A617" t="s">
        <v>5</v>
      </c>
      <c r="B617" t="str">
        <f>"12131"</f>
        <v>12131</v>
      </c>
      <c r="C617" t="str">
        <f>"004"</f>
        <v>004</v>
      </c>
      <c r="D617">
        <v>2018</v>
      </c>
      <c r="E617">
        <v>206700</v>
      </c>
      <c r="F617">
        <v>-100</v>
      </c>
      <c r="G617" t="s">
        <v>49</v>
      </c>
      <c r="H617" t="s">
        <v>38</v>
      </c>
      <c r="I617" t="s">
        <v>13</v>
      </c>
      <c r="J617" t="s">
        <v>13</v>
      </c>
    </row>
    <row r="618" spans="1:11" x14ac:dyDescent="0.25">
      <c r="A618" t="s">
        <v>39</v>
      </c>
      <c r="B618" t="s">
        <v>13</v>
      </c>
      <c r="C618" t="s">
        <v>7</v>
      </c>
      <c r="D618" t="s">
        <v>8</v>
      </c>
      <c r="E618">
        <v>2762500</v>
      </c>
      <c r="F618">
        <v>2547900</v>
      </c>
      <c r="G618" t="s">
        <v>11</v>
      </c>
      <c r="H618">
        <v>26320100</v>
      </c>
      <c r="I618" t="s">
        <v>13</v>
      </c>
      <c r="J618" t="s">
        <v>13</v>
      </c>
      <c r="K618">
        <v>9.68</v>
      </c>
    </row>
    <row r="620" spans="1:11" x14ac:dyDescent="0.25">
      <c r="A620" t="s">
        <v>174</v>
      </c>
      <c r="B620" t="str">
        <f>"66131"</f>
        <v>66131</v>
      </c>
      <c r="C620" t="str">
        <f>"006"</f>
        <v>006</v>
      </c>
      <c r="D620">
        <v>2014</v>
      </c>
      <c r="E620">
        <v>22690500</v>
      </c>
      <c r="F620">
        <v>19894100</v>
      </c>
      <c r="G620" t="s">
        <v>11</v>
      </c>
      <c r="H620" t="s">
        <v>38</v>
      </c>
      <c r="I620" t="s">
        <v>13</v>
      </c>
      <c r="J620" t="s">
        <v>13</v>
      </c>
    </row>
    <row r="621" spans="1:11" x14ac:dyDescent="0.25">
      <c r="A621" t="s">
        <v>5</v>
      </c>
      <c r="B621" t="str">
        <f>"66131"</f>
        <v>66131</v>
      </c>
      <c r="C621" t="str">
        <f>"007"</f>
        <v>007</v>
      </c>
      <c r="D621">
        <v>2018</v>
      </c>
      <c r="E621">
        <v>11696600</v>
      </c>
      <c r="F621">
        <v>2366700</v>
      </c>
      <c r="G621" t="s">
        <v>11</v>
      </c>
      <c r="H621" t="s">
        <v>38</v>
      </c>
      <c r="I621" t="s">
        <v>13</v>
      </c>
      <c r="J621" t="s">
        <v>13</v>
      </c>
    </row>
    <row r="622" spans="1:11" x14ac:dyDescent="0.25">
      <c r="A622" t="s">
        <v>5</v>
      </c>
      <c r="B622" t="str">
        <f>"66131"</f>
        <v>66131</v>
      </c>
      <c r="C622" t="str">
        <f>"008"</f>
        <v>008</v>
      </c>
      <c r="D622">
        <v>2018</v>
      </c>
      <c r="E622">
        <v>14000000</v>
      </c>
      <c r="F622">
        <v>13359300</v>
      </c>
      <c r="G622" t="s">
        <v>11</v>
      </c>
      <c r="H622" t="s">
        <v>38</v>
      </c>
      <c r="I622" t="s">
        <v>13</v>
      </c>
      <c r="J622" t="s">
        <v>13</v>
      </c>
    </row>
    <row r="623" spans="1:11" x14ac:dyDescent="0.25">
      <c r="A623" t="s">
        <v>39</v>
      </c>
      <c r="B623" t="s">
        <v>13</v>
      </c>
      <c r="C623" t="s">
        <v>7</v>
      </c>
      <c r="D623" t="s">
        <v>8</v>
      </c>
      <c r="E623">
        <v>48387100</v>
      </c>
      <c r="F623">
        <v>35620100</v>
      </c>
      <c r="G623" t="s">
        <v>11</v>
      </c>
      <c r="H623">
        <v>2807971400</v>
      </c>
      <c r="I623" t="s">
        <v>13</v>
      </c>
      <c r="J623" t="s">
        <v>13</v>
      </c>
      <c r="K623">
        <v>1.27</v>
      </c>
    </row>
    <row r="625" spans="1:11" x14ac:dyDescent="0.25">
      <c r="A625" t="s">
        <v>175</v>
      </c>
      <c r="B625" t="str">
        <f>"42231"</f>
        <v>42231</v>
      </c>
      <c r="C625" t="str">
        <f>"002"</f>
        <v>002</v>
      </c>
      <c r="D625">
        <v>1993</v>
      </c>
      <c r="E625">
        <v>1360100</v>
      </c>
      <c r="F625">
        <v>1312400</v>
      </c>
      <c r="G625" t="s">
        <v>11</v>
      </c>
      <c r="H625" t="s">
        <v>38</v>
      </c>
      <c r="I625" t="s">
        <v>13</v>
      </c>
      <c r="J625" t="s">
        <v>13</v>
      </c>
    </row>
    <row r="626" spans="1:11" x14ac:dyDescent="0.25">
      <c r="A626" t="s">
        <v>5</v>
      </c>
      <c r="B626" t="str">
        <f>"42231"</f>
        <v>42231</v>
      </c>
      <c r="C626" t="str">
        <f>"003"</f>
        <v>003</v>
      </c>
      <c r="D626">
        <v>2000</v>
      </c>
      <c r="E626">
        <v>10460400</v>
      </c>
      <c r="F626">
        <v>3089900</v>
      </c>
      <c r="G626" t="s">
        <v>11</v>
      </c>
      <c r="H626" t="s">
        <v>38</v>
      </c>
      <c r="I626" t="s">
        <v>13</v>
      </c>
      <c r="J626" t="s">
        <v>13</v>
      </c>
    </row>
    <row r="627" spans="1:11" x14ac:dyDescent="0.25">
      <c r="A627" t="s">
        <v>39</v>
      </c>
      <c r="B627" t="s">
        <v>13</v>
      </c>
      <c r="C627" t="s">
        <v>7</v>
      </c>
      <c r="D627" t="s">
        <v>8</v>
      </c>
      <c r="E627">
        <v>11820500</v>
      </c>
      <c r="F627">
        <v>4402300</v>
      </c>
      <c r="G627" t="s">
        <v>11</v>
      </c>
      <c r="H627">
        <v>60295100</v>
      </c>
      <c r="I627" t="s">
        <v>13</v>
      </c>
      <c r="J627" t="s">
        <v>13</v>
      </c>
      <c r="K627">
        <v>7.3</v>
      </c>
    </row>
    <row r="629" spans="1:11" x14ac:dyDescent="0.25">
      <c r="A629" t="s">
        <v>176</v>
      </c>
      <c r="B629" t="str">
        <f>"59131"</f>
        <v>59131</v>
      </c>
      <c r="C629" t="str">
        <f>"001"</f>
        <v>001</v>
      </c>
      <c r="D629">
        <v>2005</v>
      </c>
      <c r="E629">
        <v>3780700</v>
      </c>
      <c r="F629">
        <v>1917800</v>
      </c>
      <c r="G629" t="s">
        <v>11</v>
      </c>
      <c r="H629" t="s">
        <v>38</v>
      </c>
      <c r="I629" t="s">
        <v>13</v>
      </c>
      <c r="J629" t="s">
        <v>13</v>
      </c>
    </row>
    <row r="630" spans="1:11" x14ac:dyDescent="0.25">
      <c r="A630" t="s">
        <v>39</v>
      </c>
      <c r="B630" t="s">
        <v>13</v>
      </c>
      <c r="C630" t="s">
        <v>7</v>
      </c>
      <c r="D630" t="s">
        <v>8</v>
      </c>
      <c r="E630">
        <v>3780700</v>
      </c>
      <c r="F630">
        <v>1917800</v>
      </c>
      <c r="G630" t="s">
        <v>11</v>
      </c>
      <c r="H630">
        <v>35146800</v>
      </c>
      <c r="I630" t="s">
        <v>13</v>
      </c>
      <c r="J630" t="s">
        <v>13</v>
      </c>
      <c r="K630">
        <v>5.46</v>
      </c>
    </row>
    <row r="632" spans="1:11" x14ac:dyDescent="0.25">
      <c r="A632" t="s">
        <v>177</v>
      </c>
      <c r="B632" t="str">
        <f>"40231"</f>
        <v>40231</v>
      </c>
      <c r="C632" t="str">
        <f>"007"</f>
        <v>007</v>
      </c>
      <c r="D632">
        <v>1996</v>
      </c>
      <c r="E632">
        <v>91568500</v>
      </c>
      <c r="F632">
        <v>77532500</v>
      </c>
      <c r="G632" t="s">
        <v>11</v>
      </c>
      <c r="H632" t="s">
        <v>38</v>
      </c>
      <c r="I632" t="s">
        <v>13</v>
      </c>
      <c r="J632" t="s">
        <v>13</v>
      </c>
    </row>
    <row r="633" spans="1:11" x14ac:dyDescent="0.25">
      <c r="A633" t="s">
        <v>5</v>
      </c>
      <c r="B633" t="str">
        <f>"40231"</f>
        <v>40231</v>
      </c>
      <c r="C633" t="str">
        <f>"008"</f>
        <v>008</v>
      </c>
      <c r="D633">
        <v>2002</v>
      </c>
      <c r="E633">
        <v>89502000</v>
      </c>
      <c r="F633">
        <v>15768300</v>
      </c>
      <c r="G633" t="s">
        <v>11</v>
      </c>
      <c r="H633" t="s">
        <v>38</v>
      </c>
      <c r="I633" t="s">
        <v>13</v>
      </c>
      <c r="J633" t="s">
        <v>13</v>
      </c>
    </row>
    <row r="634" spans="1:11" x14ac:dyDescent="0.25">
      <c r="A634" t="s">
        <v>39</v>
      </c>
      <c r="B634" t="s">
        <v>13</v>
      </c>
      <c r="C634" t="s">
        <v>7</v>
      </c>
      <c r="D634" t="s">
        <v>8</v>
      </c>
      <c r="E634">
        <v>181070500</v>
      </c>
      <c r="F634">
        <v>93300800</v>
      </c>
      <c r="G634" t="s">
        <v>11</v>
      </c>
      <c r="H634">
        <v>2052116500</v>
      </c>
      <c r="I634" t="s">
        <v>13</v>
      </c>
      <c r="J634" t="s">
        <v>13</v>
      </c>
      <c r="K634">
        <v>4.55</v>
      </c>
    </row>
    <row r="636" spans="1:11" x14ac:dyDescent="0.25">
      <c r="A636" t="s">
        <v>178</v>
      </c>
      <c r="B636" t="str">
        <f>"45131"</f>
        <v>45131</v>
      </c>
      <c r="C636" t="str">
        <f>"002"</f>
        <v>002</v>
      </c>
      <c r="D636">
        <v>1996</v>
      </c>
      <c r="E636">
        <v>26531900</v>
      </c>
      <c r="F636">
        <v>25602400</v>
      </c>
      <c r="G636" t="s">
        <v>11</v>
      </c>
      <c r="H636" t="s">
        <v>38</v>
      </c>
      <c r="I636" t="s">
        <v>13</v>
      </c>
      <c r="J636" t="s">
        <v>13</v>
      </c>
    </row>
    <row r="637" spans="1:11" x14ac:dyDescent="0.25">
      <c r="A637" t="s">
        <v>5</v>
      </c>
      <c r="B637" t="str">
        <f>"45131"</f>
        <v>45131</v>
      </c>
      <c r="C637" t="str">
        <f>"003"</f>
        <v>003</v>
      </c>
      <c r="D637">
        <v>1999</v>
      </c>
      <c r="E637">
        <v>74689400</v>
      </c>
      <c r="F637">
        <v>53649500</v>
      </c>
      <c r="G637" t="s">
        <v>11</v>
      </c>
      <c r="H637" t="s">
        <v>38</v>
      </c>
      <c r="I637" t="s">
        <v>13</v>
      </c>
      <c r="J637" t="s">
        <v>13</v>
      </c>
    </row>
    <row r="638" spans="1:11" x14ac:dyDescent="0.25">
      <c r="A638" t="s">
        <v>5</v>
      </c>
      <c r="B638" t="str">
        <f>"45131"</f>
        <v>45131</v>
      </c>
      <c r="C638" t="str">
        <f>"004"</f>
        <v>004</v>
      </c>
      <c r="D638">
        <v>2004</v>
      </c>
      <c r="E638">
        <v>94898700</v>
      </c>
      <c r="F638">
        <v>47051300</v>
      </c>
      <c r="G638" t="s">
        <v>11</v>
      </c>
      <c r="H638" t="s">
        <v>38</v>
      </c>
      <c r="I638" t="s">
        <v>13</v>
      </c>
      <c r="J638" t="s">
        <v>13</v>
      </c>
    </row>
    <row r="639" spans="1:11" x14ac:dyDescent="0.25">
      <c r="A639" t="s">
        <v>5</v>
      </c>
      <c r="B639" t="str">
        <f>"45131"</f>
        <v>45131</v>
      </c>
      <c r="C639" t="str">
        <f>"005"</f>
        <v>005</v>
      </c>
      <c r="D639">
        <v>2006</v>
      </c>
      <c r="E639">
        <v>48343200</v>
      </c>
      <c r="F639">
        <v>47849700</v>
      </c>
      <c r="G639" t="s">
        <v>11</v>
      </c>
      <c r="H639" t="s">
        <v>38</v>
      </c>
      <c r="I639" t="s">
        <v>13</v>
      </c>
      <c r="J639" t="s">
        <v>13</v>
      </c>
    </row>
    <row r="640" spans="1:11" x14ac:dyDescent="0.25">
      <c r="A640" t="s">
        <v>39</v>
      </c>
      <c r="B640" t="s">
        <v>13</v>
      </c>
      <c r="C640" t="s">
        <v>7</v>
      </c>
      <c r="D640" t="s">
        <v>8</v>
      </c>
      <c r="E640">
        <v>244463200</v>
      </c>
      <c r="F640">
        <v>174152900</v>
      </c>
      <c r="G640" t="s">
        <v>11</v>
      </c>
      <c r="H640">
        <v>1490727800</v>
      </c>
      <c r="I640" t="s">
        <v>13</v>
      </c>
      <c r="J640" t="s">
        <v>13</v>
      </c>
      <c r="K640">
        <v>11.68</v>
      </c>
    </row>
    <row r="642" spans="1:11" x14ac:dyDescent="0.25">
      <c r="A642" t="s">
        <v>179</v>
      </c>
      <c r="B642" t="str">
        <f>"44020"</f>
        <v>44020</v>
      </c>
      <c r="C642" t="str">
        <f>"001A"</f>
        <v>001A</v>
      </c>
      <c r="D642">
        <v>2015</v>
      </c>
      <c r="E642">
        <v>17538700</v>
      </c>
      <c r="F642">
        <v>17531000</v>
      </c>
      <c r="G642" t="s">
        <v>11</v>
      </c>
      <c r="H642" t="s">
        <v>38</v>
      </c>
      <c r="I642" t="s">
        <v>13</v>
      </c>
      <c r="J642" t="s">
        <v>13</v>
      </c>
    </row>
    <row r="643" spans="1:11" x14ac:dyDescent="0.25">
      <c r="A643" t="s">
        <v>5</v>
      </c>
      <c r="B643" t="str">
        <f>"44020"</f>
        <v>44020</v>
      </c>
      <c r="C643" t="str">
        <f>"002A"</f>
        <v>002A</v>
      </c>
      <c r="D643">
        <v>2016</v>
      </c>
      <c r="E643">
        <v>54686600</v>
      </c>
      <c r="F643">
        <v>37472200</v>
      </c>
      <c r="G643" t="s">
        <v>11</v>
      </c>
      <c r="H643" t="s">
        <v>38</v>
      </c>
      <c r="I643" t="s">
        <v>13</v>
      </c>
      <c r="J643" t="s">
        <v>13</v>
      </c>
    </row>
    <row r="644" spans="1:11" x14ac:dyDescent="0.25">
      <c r="A644" t="s">
        <v>5</v>
      </c>
      <c r="B644" t="str">
        <f>"44020"</f>
        <v>44020</v>
      </c>
      <c r="C644" t="str">
        <f>"003A"</f>
        <v>003A</v>
      </c>
      <c r="D644">
        <v>2017</v>
      </c>
      <c r="E644">
        <v>20426900</v>
      </c>
      <c r="F644">
        <v>5693500</v>
      </c>
      <c r="G644" t="s">
        <v>11</v>
      </c>
      <c r="H644" t="s">
        <v>38</v>
      </c>
      <c r="I644" t="s">
        <v>13</v>
      </c>
      <c r="J644" t="s">
        <v>13</v>
      </c>
    </row>
    <row r="645" spans="1:11" x14ac:dyDescent="0.25">
      <c r="A645" t="s">
        <v>5</v>
      </c>
      <c r="B645" t="str">
        <f>"44020"</f>
        <v>44020</v>
      </c>
      <c r="C645" t="str">
        <f>"004A"</f>
        <v>004A</v>
      </c>
      <c r="D645">
        <v>2018</v>
      </c>
      <c r="E645">
        <v>7131700</v>
      </c>
      <c r="F645">
        <v>3455600</v>
      </c>
      <c r="G645" t="s">
        <v>11</v>
      </c>
      <c r="H645" t="s">
        <v>38</v>
      </c>
      <c r="I645" t="s">
        <v>13</v>
      </c>
      <c r="J645" t="s">
        <v>13</v>
      </c>
    </row>
    <row r="646" spans="1:11" x14ac:dyDescent="0.25">
      <c r="A646" t="s">
        <v>39</v>
      </c>
      <c r="B646" t="s">
        <v>13</v>
      </c>
      <c r="C646" t="s">
        <v>7</v>
      </c>
      <c r="D646" t="s">
        <v>8</v>
      </c>
      <c r="E646">
        <v>99783900</v>
      </c>
      <c r="F646">
        <v>64152300</v>
      </c>
      <c r="G646" t="s">
        <v>11</v>
      </c>
      <c r="H646">
        <v>2800738600</v>
      </c>
      <c r="I646" t="s">
        <v>13</v>
      </c>
      <c r="J646" t="s">
        <v>13</v>
      </c>
      <c r="K646">
        <v>2.29</v>
      </c>
    </row>
    <row r="648" spans="1:11" x14ac:dyDescent="0.25">
      <c r="A648" t="s">
        <v>180</v>
      </c>
      <c r="B648" t="str">
        <f>"10131"</f>
        <v>10131</v>
      </c>
      <c r="C648" t="str">
        <f>"001"</f>
        <v>001</v>
      </c>
      <c r="D648">
        <v>2009</v>
      </c>
      <c r="E648">
        <v>1988900</v>
      </c>
      <c r="F648">
        <v>625900</v>
      </c>
      <c r="G648" t="s">
        <v>11</v>
      </c>
      <c r="H648" t="s">
        <v>38</v>
      </c>
      <c r="I648" t="s">
        <v>13</v>
      </c>
      <c r="J648" t="s">
        <v>13</v>
      </c>
    </row>
    <row r="649" spans="1:11" x14ac:dyDescent="0.25">
      <c r="A649" t="s">
        <v>39</v>
      </c>
      <c r="B649" t="s">
        <v>13</v>
      </c>
      <c r="C649" t="s">
        <v>7</v>
      </c>
      <c r="D649" t="s">
        <v>8</v>
      </c>
      <c r="E649">
        <v>1988900</v>
      </c>
      <c r="F649">
        <v>625900</v>
      </c>
      <c r="G649" t="s">
        <v>11</v>
      </c>
      <c r="H649">
        <v>13011000</v>
      </c>
      <c r="I649" t="s">
        <v>13</v>
      </c>
      <c r="J649" t="s">
        <v>13</v>
      </c>
      <c r="K649">
        <v>4.8099999999999996</v>
      </c>
    </row>
    <row r="651" spans="1:11" x14ac:dyDescent="0.25">
      <c r="A651" t="s">
        <v>181</v>
      </c>
      <c r="B651" t="str">
        <f>"07131"</f>
        <v>07131</v>
      </c>
      <c r="C651" t="str">
        <f>"003"</f>
        <v>003</v>
      </c>
      <c r="D651">
        <v>1994</v>
      </c>
      <c r="E651">
        <v>9283900</v>
      </c>
      <c r="F651">
        <v>8126600</v>
      </c>
      <c r="G651" t="s">
        <v>11</v>
      </c>
      <c r="H651" t="s">
        <v>38</v>
      </c>
      <c r="I651" t="s">
        <v>13</v>
      </c>
      <c r="J651" t="s">
        <v>13</v>
      </c>
    </row>
    <row r="652" spans="1:11" x14ac:dyDescent="0.25">
      <c r="A652" t="s">
        <v>5</v>
      </c>
      <c r="B652" t="str">
        <f>"07131"</f>
        <v>07131</v>
      </c>
      <c r="C652" t="str">
        <f>"004"</f>
        <v>004</v>
      </c>
      <c r="D652">
        <v>2005</v>
      </c>
      <c r="E652">
        <v>4261100</v>
      </c>
      <c r="F652">
        <v>3170100</v>
      </c>
      <c r="G652" t="s">
        <v>11</v>
      </c>
      <c r="H652" t="s">
        <v>38</v>
      </c>
      <c r="I652" t="s">
        <v>13</v>
      </c>
      <c r="J652" t="s">
        <v>13</v>
      </c>
    </row>
    <row r="653" spans="1:11" x14ac:dyDescent="0.25">
      <c r="A653" t="s">
        <v>5</v>
      </c>
      <c r="B653" t="str">
        <f>"07131"</f>
        <v>07131</v>
      </c>
      <c r="C653" t="str">
        <f>"005"</f>
        <v>005</v>
      </c>
      <c r="D653">
        <v>2008</v>
      </c>
      <c r="E653">
        <v>67800</v>
      </c>
      <c r="F653">
        <v>-144800</v>
      </c>
      <c r="G653" t="s">
        <v>49</v>
      </c>
      <c r="H653" t="s">
        <v>38</v>
      </c>
      <c r="I653" t="s">
        <v>13</v>
      </c>
      <c r="J653" t="s">
        <v>13</v>
      </c>
    </row>
    <row r="654" spans="1:11" x14ac:dyDescent="0.25">
      <c r="A654" t="s">
        <v>39</v>
      </c>
      <c r="B654" t="s">
        <v>13</v>
      </c>
      <c r="C654" t="s">
        <v>7</v>
      </c>
      <c r="D654" t="s">
        <v>8</v>
      </c>
      <c r="E654">
        <v>13612800</v>
      </c>
      <c r="F654">
        <v>11296700</v>
      </c>
      <c r="G654" t="s">
        <v>11</v>
      </c>
      <c r="H654">
        <v>71964300</v>
      </c>
      <c r="I654" t="s">
        <v>13</v>
      </c>
      <c r="J654" t="s">
        <v>13</v>
      </c>
      <c r="K654">
        <v>15.7</v>
      </c>
    </row>
    <row r="656" spans="1:11" x14ac:dyDescent="0.25">
      <c r="A656" t="s">
        <v>182</v>
      </c>
      <c r="B656" t="str">
        <f>"33131"</f>
        <v>33131</v>
      </c>
      <c r="C656" t="str">
        <f>"001"</f>
        <v>001</v>
      </c>
      <c r="D656">
        <v>2001</v>
      </c>
      <c r="E656">
        <v>1383300</v>
      </c>
      <c r="F656">
        <v>933400</v>
      </c>
      <c r="G656" t="s">
        <v>11</v>
      </c>
      <c r="H656" t="s">
        <v>38</v>
      </c>
      <c r="I656" t="s">
        <v>13</v>
      </c>
      <c r="J656" t="s">
        <v>13</v>
      </c>
    </row>
    <row r="657" spans="1:11" x14ac:dyDescent="0.25">
      <c r="A657" t="s">
        <v>39</v>
      </c>
      <c r="B657" t="s">
        <v>13</v>
      </c>
      <c r="C657" t="s">
        <v>7</v>
      </c>
      <c r="D657" t="s">
        <v>8</v>
      </c>
      <c r="E657">
        <v>1383300</v>
      </c>
      <c r="F657">
        <v>933400</v>
      </c>
      <c r="G657" t="s">
        <v>11</v>
      </c>
      <c r="H657">
        <v>7870400</v>
      </c>
      <c r="I657" t="s">
        <v>13</v>
      </c>
      <c r="J657" t="s">
        <v>13</v>
      </c>
      <c r="K657">
        <v>11.86</v>
      </c>
    </row>
    <row r="659" spans="1:11" x14ac:dyDescent="0.25">
      <c r="A659" t="s">
        <v>183</v>
      </c>
      <c r="B659" t="str">
        <f t="shared" ref="B659:B673" si="8">"05231"</f>
        <v>05231</v>
      </c>
      <c r="C659" t="str">
        <f>"004"</f>
        <v>004</v>
      </c>
      <c r="D659">
        <v>1998</v>
      </c>
      <c r="E659">
        <v>49634500</v>
      </c>
      <c r="F659">
        <v>22680500</v>
      </c>
      <c r="G659" t="s">
        <v>11</v>
      </c>
      <c r="H659" t="s">
        <v>38</v>
      </c>
      <c r="I659" t="s">
        <v>13</v>
      </c>
      <c r="J659" t="s">
        <v>13</v>
      </c>
    </row>
    <row r="660" spans="1:11" x14ac:dyDescent="0.25">
      <c r="A660" t="s">
        <v>5</v>
      </c>
      <c r="B660" t="str">
        <f t="shared" si="8"/>
        <v>05231</v>
      </c>
      <c r="C660" t="str">
        <f>"005"</f>
        <v>005</v>
      </c>
      <c r="D660">
        <v>2000</v>
      </c>
      <c r="E660">
        <v>139263100</v>
      </c>
      <c r="F660">
        <v>79186300</v>
      </c>
      <c r="G660" t="s">
        <v>11</v>
      </c>
      <c r="H660" t="s">
        <v>38</v>
      </c>
      <c r="I660" t="s">
        <v>13</v>
      </c>
      <c r="J660" t="s">
        <v>13</v>
      </c>
    </row>
    <row r="661" spans="1:11" x14ac:dyDescent="0.25">
      <c r="A661" t="s">
        <v>5</v>
      </c>
      <c r="B661" t="str">
        <f t="shared" si="8"/>
        <v>05231</v>
      </c>
      <c r="C661" t="str">
        <f>"007"</f>
        <v>007</v>
      </c>
      <c r="D661">
        <v>2002</v>
      </c>
      <c r="E661">
        <v>47146300</v>
      </c>
      <c r="F661">
        <v>32776800</v>
      </c>
      <c r="G661" t="s">
        <v>11</v>
      </c>
      <c r="H661" t="s">
        <v>38</v>
      </c>
      <c r="I661" t="s">
        <v>13</v>
      </c>
      <c r="J661" t="s">
        <v>13</v>
      </c>
    </row>
    <row r="662" spans="1:11" x14ac:dyDescent="0.25">
      <c r="A662" t="s">
        <v>5</v>
      </c>
      <c r="B662" t="str">
        <f t="shared" si="8"/>
        <v>05231</v>
      </c>
      <c r="C662" t="str">
        <f>"008"</f>
        <v>008</v>
      </c>
      <c r="D662">
        <v>2002</v>
      </c>
      <c r="E662">
        <v>19387600</v>
      </c>
      <c r="F662">
        <v>13048900</v>
      </c>
      <c r="G662" t="s">
        <v>11</v>
      </c>
      <c r="H662" t="s">
        <v>38</v>
      </c>
      <c r="I662" t="s">
        <v>13</v>
      </c>
      <c r="J662" t="s">
        <v>13</v>
      </c>
    </row>
    <row r="663" spans="1:11" x14ac:dyDescent="0.25">
      <c r="A663" t="s">
        <v>5</v>
      </c>
      <c r="B663" t="str">
        <f t="shared" si="8"/>
        <v>05231</v>
      </c>
      <c r="C663" t="str">
        <f>"009"</f>
        <v>009</v>
      </c>
      <c r="D663">
        <v>2004</v>
      </c>
      <c r="E663">
        <v>11521600</v>
      </c>
      <c r="F663">
        <v>7729300</v>
      </c>
      <c r="G663" t="s">
        <v>11</v>
      </c>
      <c r="H663" t="s">
        <v>38</v>
      </c>
      <c r="I663" t="s">
        <v>13</v>
      </c>
      <c r="J663" t="s">
        <v>13</v>
      </c>
    </row>
    <row r="664" spans="1:11" x14ac:dyDescent="0.25">
      <c r="A664" t="s">
        <v>5</v>
      </c>
      <c r="B664" t="str">
        <f t="shared" si="8"/>
        <v>05231</v>
      </c>
      <c r="C664" t="str">
        <f>"010"</f>
        <v>010</v>
      </c>
      <c r="D664">
        <v>2004</v>
      </c>
      <c r="E664">
        <v>33838300</v>
      </c>
      <c r="F664">
        <v>9435800</v>
      </c>
      <c r="G664" t="s">
        <v>11</v>
      </c>
      <c r="H664" t="s">
        <v>38</v>
      </c>
      <c r="I664" t="s">
        <v>13</v>
      </c>
      <c r="J664" t="s">
        <v>13</v>
      </c>
    </row>
    <row r="665" spans="1:11" x14ac:dyDescent="0.25">
      <c r="A665" t="s">
        <v>5</v>
      </c>
      <c r="B665" t="str">
        <f t="shared" si="8"/>
        <v>05231</v>
      </c>
      <c r="C665" t="str">
        <f>"012"</f>
        <v>012</v>
      </c>
      <c r="D665">
        <v>2005</v>
      </c>
      <c r="E665">
        <v>286604600</v>
      </c>
      <c r="F665">
        <v>90012800</v>
      </c>
      <c r="G665" t="s">
        <v>11</v>
      </c>
      <c r="H665" t="s">
        <v>38</v>
      </c>
      <c r="I665" t="s">
        <v>13</v>
      </c>
      <c r="J665" t="s">
        <v>13</v>
      </c>
    </row>
    <row r="666" spans="1:11" x14ac:dyDescent="0.25">
      <c r="A666" t="s">
        <v>5</v>
      </c>
      <c r="B666" t="str">
        <f t="shared" si="8"/>
        <v>05231</v>
      </c>
      <c r="C666" t="str">
        <f>"013"</f>
        <v>013</v>
      </c>
      <c r="D666">
        <v>2005</v>
      </c>
      <c r="E666">
        <v>149063200</v>
      </c>
      <c r="F666">
        <v>102702700</v>
      </c>
      <c r="G666" t="s">
        <v>11</v>
      </c>
      <c r="H666" t="s">
        <v>38</v>
      </c>
      <c r="I666" t="s">
        <v>13</v>
      </c>
      <c r="J666" t="s">
        <v>13</v>
      </c>
    </row>
    <row r="667" spans="1:11" x14ac:dyDescent="0.25">
      <c r="A667" t="s">
        <v>5</v>
      </c>
      <c r="B667" t="str">
        <f t="shared" si="8"/>
        <v>05231</v>
      </c>
      <c r="C667" t="str">
        <f>"014"</f>
        <v>014</v>
      </c>
      <c r="D667">
        <v>2006</v>
      </c>
      <c r="E667">
        <v>21452700</v>
      </c>
      <c r="F667">
        <v>15350500</v>
      </c>
      <c r="G667" t="s">
        <v>11</v>
      </c>
      <c r="H667" t="s">
        <v>38</v>
      </c>
      <c r="I667" t="s">
        <v>13</v>
      </c>
      <c r="J667" t="s">
        <v>13</v>
      </c>
    </row>
    <row r="668" spans="1:11" x14ac:dyDescent="0.25">
      <c r="A668" t="s">
        <v>5</v>
      </c>
      <c r="B668" t="str">
        <f t="shared" si="8"/>
        <v>05231</v>
      </c>
      <c r="C668" t="str">
        <f>"016"</f>
        <v>016</v>
      </c>
      <c r="D668">
        <v>2007</v>
      </c>
      <c r="E668">
        <v>98492500</v>
      </c>
      <c r="F668">
        <v>16129300</v>
      </c>
      <c r="G668" t="s">
        <v>11</v>
      </c>
      <c r="H668" t="s">
        <v>38</v>
      </c>
      <c r="I668" t="s">
        <v>13</v>
      </c>
      <c r="J668" t="s">
        <v>13</v>
      </c>
    </row>
    <row r="669" spans="1:11" x14ac:dyDescent="0.25">
      <c r="A669" t="s">
        <v>5</v>
      </c>
      <c r="B669" t="str">
        <f t="shared" si="8"/>
        <v>05231</v>
      </c>
      <c r="C669" t="str">
        <f>"017"</f>
        <v>017</v>
      </c>
      <c r="D669">
        <v>2008</v>
      </c>
      <c r="E669">
        <v>494300</v>
      </c>
      <c r="F669">
        <v>310400</v>
      </c>
      <c r="G669" t="s">
        <v>11</v>
      </c>
      <c r="H669" t="s">
        <v>38</v>
      </c>
      <c r="I669" t="s">
        <v>13</v>
      </c>
      <c r="J669" t="s">
        <v>13</v>
      </c>
    </row>
    <row r="670" spans="1:11" x14ac:dyDescent="0.25">
      <c r="A670" t="s">
        <v>5</v>
      </c>
      <c r="B670" t="str">
        <f t="shared" si="8"/>
        <v>05231</v>
      </c>
      <c r="C670" t="str">
        <f>"018"</f>
        <v>018</v>
      </c>
      <c r="D670">
        <v>2016</v>
      </c>
      <c r="E670">
        <v>45292200</v>
      </c>
      <c r="F670">
        <v>15531500</v>
      </c>
      <c r="G670" t="s">
        <v>11</v>
      </c>
      <c r="H670" t="s">
        <v>38</v>
      </c>
      <c r="I670" t="s">
        <v>13</v>
      </c>
      <c r="J670" t="s">
        <v>13</v>
      </c>
    </row>
    <row r="671" spans="1:11" x14ac:dyDescent="0.25">
      <c r="A671" t="s">
        <v>5</v>
      </c>
      <c r="B671" t="str">
        <f t="shared" si="8"/>
        <v>05231</v>
      </c>
      <c r="C671" t="str">
        <f>"019"</f>
        <v>019</v>
      </c>
      <c r="D671">
        <v>2017</v>
      </c>
      <c r="E671">
        <v>35915200</v>
      </c>
      <c r="F671">
        <v>8887700</v>
      </c>
      <c r="G671" t="s">
        <v>11</v>
      </c>
      <c r="H671" t="s">
        <v>38</v>
      </c>
      <c r="I671" t="s">
        <v>13</v>
      </c>
      <c r="J671" t="s">
        <v>13</v>
      </c>
    </row>
    <row r="672" spans="1:11" x14ac:dyDescent="0.25">
      <c r="A672" t="s">
        <v>5</v>
      </c>
      <c r="B672" t="str">
        <f t="shared" si="8"/>
        <v>05231</v>
      </c>
      <c r="C672" t="str">
        <f>"020"</f>
        <v>020</v>
      </c>
      <c r="D672">
        <v>2018</v>
      </c>
      <c r="E672">
        <v>5579200</v>
      </c>
      <c r="F672">
        <v>294100</v>
      </c>
      <c r="G672" t="s">
        <v>11</v>
      </c>
      <c r="H672" t="s">
        <v>38</v>
      </c>
      <c r="I672" t="s">
        <v>13</v>
      </c>
      <c r="J672" t="s">
        <v>13</v>
      </c>
    </row>
    <row r="673" spans="1:11" x14ac:dyDescent="0.25">
      <c r="A673" t="s">
        <v>5</v>
      </c>
      <c r="B673" t="str">
        <f t="shared" si="8"/>
        <v>05231</v>
      </c>
      <c r="C673" t="str">
        <f>"021"</f>
        <v>021</v>
      </c>
      <c r="D673">
        <v>2018</v>
      </c>
      <c r="E673">
        <v>26992800</v>
      </c>
      <c r="F673">
        <v>1546500</v>
      </c>
      <c r="G673" t="s">
        <v>11</v>
      </c>
      <c r="H673" t="s">
        <v>38</v>
      </c>
      <c r="I673" t="s">
        <v>13</v>
      </c>
      <c r="J673" t="s">
        <v>13</v>
      </c>
    </row>
    <row r="674" spans="1:11" x14ac:dyDescent="0.25">
      <c r="A674" t="s">
        <v>39</v>
      </c>
      <c r="B674" t="s">
        <v>13</v>
      </c>
      <c r="C674" t="s">
        <v>7</v>
      </c>
      <c r="D674" t="s">
        <v>8</v>
      </c>
      <c r="E674">
        <v>970678100</v>
      </c>
      <c r="F674">
        <v>415623100</v>
      </c>
      <c r="G674" t="s">
        <v>11</v>
      </c>
      <c r="H674">
        <v>6966932800</v>
      </c>
      <c r="I674" t="s">
        <v>13</v>
      </c>
      <c r="J674" t="s">
        <v>13</v>
      </c>
      <c r="K674">
        <v>5.97</v>
      </c>
    </row>
    <row r="676" spans="1:11" x14ac:dyDescent="0.25">
      <c r="A676" t="s">
        <v>184</v>
      </c>
      <c r="B676" t="str">
        <f>"24231"</f>
        <v>24231</v>
      </c>
      <c r="C676" t="str">
        <f>"003"</f>
        <v>003</v>
      </c>
      <c r="D676">
        <v>2005</v>
      </c>
      <c r="E676">
        <v>25342500</v>
      </c>
      <c r="F676">
        <v>16346700</v>
      </c>
      <c r="G676" t="s">
        <v>11</v>
      </c>
      <c r="H676" t="s">
        <v>38</v>
      </c>
      <c r="I676" t="s">
        <v>13</v>
      </c>
      <c r="J676" t="s">
        <v>13</v>
      </c>
    </row>
    <row r="677" spans="1:11" x14ac:dyDescent="0.25">
      <c r="A677" t="s">
        <v>5</v>
      </c>
      <c r="B677" t="str">
        <f>"24231"</f>
        <v>24231</v>
      </c>
      <c r="C677" t="str">
        <f>"004"</f>
        <v>004</v>
      </c>
      <c r="D677">
        <v>2009</v>
      </c>
      <c r="E677">
        <v>167500</v>
      </c>
      <c r="F677">
        <v>-70200</v>
      </c>
      <c r="G677" t="s">
        <v>49</v>
      </c>
      <c r="H677" t="s">
        <v>38</v>
      </c>
      <c r="I677" t="s">
        <v>13</v>
      </c>
      <c r="J677" t="s">
        <v>13</v>
      </c>
    </row>
    <row r="678" spans="1:11" x14ac:dyDescent="0.25">
      <c r="A678" t="s">
        <v>39</v>
      </c>
      <c r="B678" t="s">
        <v>13</v>
      </c>
      <c r="C678" t="s">
        <v>7</v>
      </c>
      <c r="D678" t="s">
        <v>8</v>
      </c>
      <c r="E678">
        <v>25510000</v>
      </c>
      <c r="F678">
        <v>16346700</v>
      </c>
      <c r="G678" t="s">
        <v>11</v>
      </c>
      <c r="H678">
        <v>248937000</v>
      </c>
      <c r="I678" t="s">
        <v>13</v>
      </c>
      <c r="J678" t="s">
        <v>13</v>
      </c>
      <c r="K678">
        <v>6.57</v>
      </c>
    </row>
    <row r="680" spans="1:11" x14ac:dyDescent="0.25">
      <c r="A680" t="s">
        <v>185</v>
      </c>
      <c r="B680" t="str">
        <f>"40131"</f>
        <v>40131</v>
      </c>
      <c r="C680" t="str">
        <f>"001"</f>
        <v>001</v>
      </c>
      <c r="D680">
        <v>2010</v>
      </c>
      <c r="E680">
        <v>11686400</v>
      </c>
      <c r="F680">
        <v>11063300</v>
      </c>
      <c r="G680" t="s">
        <v>11</v>
      </c>
      <c r="H680" t="s">
        <v>38</v>
      </c>
      <c r="I680" t="s">
        <v>13</v>
      </c>
      <c r="J680" t="s">
        <v>13</v>
      </c>
    </row>
    <row r="681" spans="1:11" x14ac:dyDescent="0.25">
      <c r="A681" t="s">
        <v>5</v>
      </c>
      <c r="B681" t="str">
        <f>"40131"</f>
        <v>40131</v>
      </c>
      <c r="C681" t="str">
        <f>"002"</f>
        <v>002</v>
      </c>
      <c r="D681">
        <v>2011</v>
      </c>
      <c r="E681">
        <v>188290000</v>
      </c>
      <c r="F681">
        <v>82796900</v>
      </c>
      <c r="G681" t="s">
        <v>11</v>
      </c>
      <c r="H681" t="s">
        <v>38</v>
      </c>
      <c r="I681" t="s">
        <v>13</v>
      </c>
      <c r="J681" t="s">
        <v>13</v>
      </c>
    </row>
    <row r="682" spans="1:11" x14ac:dyDescent="0.25">
      <c r="A682" t="s">
        <v>5</v>
      </c>
      <c r="B682" t="str">
        <f>"40131"</f>
        <v>40131</v>
      </c>
      <c r="C682" t="str">
        <f>"003"</f>
        <v>003</v>
      </c>
      <c r="D682">
        <v>2011</v>
      </c>
      <c r="E682">
        <v>17100000</v>
      </c>
      <c r="F682">
        <v>10599100</v>
      </c>
      <c r="G682" t="s">
        <v>11</v>
      </c>
      <c r="H682" t="s">
        <v>38</v>
      </c>
      <c r="I682" t="s">
        <v>13</v>
      </c>
      <c r="J682" t="s">
        <v>13</v>
      </c>
    </row>
    <row r="683" spans="1:11" x14ac:dyDescent="0.25">
      <c r="A683" t="s">
        <v>5</v>
      </c>
      <c r="B683" t="str">
        <f>"40131"</f>
        <v>40131</v>
      </c>
      <c r="C683" t="str">
        <f>"004"</f>
        <v>004</v>
      </c>
      <c r="D683">
        <v>2016</v>
      </c>
      <c r="E683">
        <v>31323500</v>
      </c>
      <c r="F683">
        <v>23846700</v>
      </c>
      <c r="G683" t="s">
        <v>11</v>
      </c>
      <c r="H683" t="s">
        <v>38</v>
      </c>
      <c r="I683" t="s">
        <v>13</v>
      </c>
      <c r="J683" t="s">
        <v>13</v>
      </c>
    </row>
    <row r="684" spans="1:11" x14ac:dyDescent="0.25">
      <c r="A684" t="s">
        <v>5</v>
      </c>
      <c r="B684" t="str">
        <f>"40131"</f>
        <v>40131</v>
      </c>
      <c r="C684" t="str">
        <f>"005"</f>
        <v>005</v>
      </c>
      <c r="D684">
        <v>2018</v>
      </c>
      <c r="E684">
        <v>12012100</v>
      </c>
      <c r="F684">
        <v>6862900</v>
      </c>
      <c r="G684" t="s">
        <v>11</v>
      </c>
      <c r="H684" t="s">
        <v>38</v>
      </c>
      <c r="I684" t="s">
        <v>13</v>
      </c>
      <c r="J684" t="s">
        <v>13</v>
      </c>
    </row>
    <row r="685" spans="1:11" x14ac:dyDescent="0.25">
      <c r="A685" t="s">
        <v>39</v>
      </c>
      <c r="B685" t="s">
        <v>13</v>
      </c>
      <c r="C685" t="s">
        <v>7</v>
      </c>
      <c r="D685" t="s">
        <v>8</v>
      </c>
      <c r="E685">
        <v>260412000</v>
      </c>
      <c r="F685">
        <v>135168900</v>
      </c>
      <c r="G685" t="s">
        <v>11</v>
      </c>
      <c r="H685">
        <v>1568268000</v>
      </c>
      <c r="I685" t="s">
        <v>13</v>
      </c>
      <c r="J685" t="s">
        <v>13</v>
      </c>
      <c r="K685">
        <v>8.6199999999999992</v>
      </c>
    </row>
    <row r="687" spans="1:11" x14ac:dyDescent="0.25">
      <c r="A687" t="s">
        <v>186</v>
      </c>
      <c r="B687" t="str">
        <f>"40236"</f>
        <v>40236</v>
      </c>
      <c r="C687" t="str">
        <f>"002"</f>
        <v>002</v>
      </c>
      <c r="D687">
        <v>2007</v>
      </c>
      <c r="E687">
        <v>63968700</v>
      </c>
      <c r="F687">
        <v>48994100</v>
      </c>
      <c r="G687" t="s">
        <v>11</v>
      </c>
      <c r="H687" t="s">
        <v>38</v>
      </c>
      <c r="I687" t="s">
        <v>13</v>
      </c>
      <c r="J687" t="s">
        <v>13</v>
      </c>
    </row>
    <row r="688" spans="1:11" x14ac:dyDescent="0.25">
      <c r="A688" t="s">
        <v>5</v>
      </c>
      <c r="B688" t="str">
        <f>"40236"</f>
        <v>40236</v>
      </c>
      <c r="C688" t="str">
        <f>"003"</f>
        <v>003</v>
      </c>
      <c r="D688">
        <v>2009</v>
      </c>
      <c r="E688">
        <v>80559500</v>
      </c>
      <c r="F688">
        <v>4828500</v>
      </c>
      <c r="G688" t="s">
        <v>11</v>
      </c>
      <c r="H688" t="s">
        <v>38</v>
      </c>
      <c r="I688" t="s">
        <v>13</v>
      </c>
      <c r="J688" t="s">
        <v>13</v>
      </c>
    </row>
    <row r="689" spans="1:11" x14ac:dyDescent="0.25">
      <c r="A689" t="s">
        <v>5</v>
      </c>
      <c r="B689" t="str">
        <f>"40236"</f>
        <v>40236</v>
      </c>
      <c r="C689" t="str">
        <f>"004"</f>
        <v>004</v>
      </c>
      <c r="D689">
        <v>2015</v>
      </c>
      <c r="E689">
        <v>52581100</v>
      </c>
      <c r="F689">
        <v>27142400</v>
      </c>
      <c r="G689" t="s">
        <v>11</v>
      </c>
      <c r="H689" t="s">
        <v>38</v>
      </c>
      <c r="I689" t="s">
        <v>13</v>
      </c>
      <c r="J689" t="s">
        <v>13</v>
      </c>
    </row>
    <row r="690" spans="1:11" x14ac:dyDescent="0.25">
      <c r="A690" t="s">
        <v>5</v>
      </c>
      <c r="B690" t="str">
        <f>"40236"</f>
        <v>40236</v>
      </c>
      <c r="C690" t="str">
        <f>"005"</f>
        <v>005</v>
      </c>
      <c r="D690">
        <v>2015</v>
      </c>
      <c r="E690">
        <v>6728200</v>
      </c>
      <c r="F690">
        <v>-192800</v>
      </c>
      <c r="G690" t="s">
        <v>49</v>
      </c>
      <c r="H690" t="s">
        <v>38</v>
      </c>
      <c r="I690" t="s">
        <v>13</v>
      </c>
      <c r="J690" t="s">
        <v>13</v>
      </c>
    </row>
    <row r="691" spans="1:11" x14ac:dyDescent="0.25">
      <c r="A691" t="s">
        <v>5</v>
      </c>
      <c r="B691" t="str">
        <f>"40236"</f>
        <v>40236</v>
      </c>
      <c r="C691" t="str">
        <f>"006"</f>
        <v>006</v>
      </c>
      <c r="D691">
        <v>2015</v>
      </c>
      <c r="E691">
        <v>119952800</v>
      </c>
      <c r="F691">
        <v>111993700</v>
      </c>
      <c r="G691" t="s">
        <v>11</v>
      </c>
      <c r="H691" t="s">
        <v>38</v>
      </c>
      <c r="I691" t="s">
        <v>13</v>
      </c>
      <c r="J691" t="s">
        <v>13</v>
      </c>
    </row>
    <row r="692" spans="1:11" x14ac:dyDescent="0.25">
      <c r="A692" t="s">
        <v>39</v>
      </c>
      <c r="B692" t="s">
        <v>13</v>
      </c>
      <c r="C692" t="s">
        <v>7</v>
      </c>
      <c r="D692" t="s">
        <v>8</v>
      </c>
      <c r="E692">
        <v>323790300</v>
      </c>
      <c r="F692">
        <v>192958700</v>
      </c>
      <c r="G692" t="s">
        <v>11</v>
      </c>
      <c r="H692">
        <v>3277447900</v>
      </c>
      <c r="I692" t="s">
        <v>13</v>
      </c>
      <c r="J692" t="s">
        <v>13</v>
      </c>
      <c r="K692">
        <v>5.89</v>
      </c>
    </row>
    <row r="694" spans="1:11" x14ac:dyDescent="0.25">
      <c r="A694" t="s">
        <v>187</v>
      </c>
      <c r="B694" t="str">
        <f>"44022"</f>
        <v>44022</v>
      </c>
      <c r="C694" t="str">
        <f>"001A"</f>
        <v>001A</v>
      </c>
      <c r="D694">
        <v>2017</v>
      </c>
      <c r="E694">
        <v>14274000</v>
      </c>
      <c r="F694">
        <v>2763500</v>
      </c>
      <c r="G694" t="s">
        <v>11</v>
      </c>
      <c r="H694" t="s">
        <v>38</v>
      </c>
      <c r="I694" t="s">
        <v>13</v>
      </c>
      <c r="J694" t="s">
        <v>13</v>
      </c>
    </row>
    <row r="695" spans="1:11" x14ac:dyDescent="0.25">
      <c r="A695" t="s">
        <v>39</v>
      </c>
      <c r="B695" t="s">
        <v>13</v>
      </c>
      <c r="C695" t="s">
        <v>7</v>
      </c>
      <c r="D695" t="s">
        <v>8</v>
      </c>
      <c r="E695">
        <v>14274000</v>
      </c>
      <c r="F695">
        <v>2763500</v>
      </c>
      <c r="G695" t="s">
        <v>11</v>
      </c>
      <c r="H695">
        <v>1434434600</v>
      </c>
      <c r="I695" t="s">
        <v>13</v>
      </c>
      <c r="J695" t="s">
        <v>13</v>
      </c>
      <c r="K695">
        <v>0.19</v>
      </c>
    </row>
    <row r="697" spans="1:11" x14ac:dyDescent="0.25">
      <c r="A697" t="s">
        <v>188</v>
      </c>
      <c r="B697" t="str">
        <f>"10231"</f>
        <v>10231</v>
      </c>
      <c r="C697" t="str">
        <f>"001"</f>
        <v>001</v>
      </c>
      <c r="D697">
        <v>1991</v>
      </c>
      <c r="E697">
        <v>1275600</v>
      </c>
      <c r="F697">
        <v>1036600</v>
      </c>
      <c r="G697" t="s">
        <v>11</v>
      </c>
      <c r="H697" t="s">
        <v>38</v>
      </c>
      <c r="I697" t="s">
        <v>13</v>
      </c>
      <c r="J697" t="s">
        <v>13</v>
      </c>
    </row>
    <row r="698" spans="1:11" x14ac:dyDescent="0.25">
      <c r="A698" t="s">
        <v>5</v>
      </c>
      <c r="B698" t="str">
        <f>"10231"</f>
        <v>10231</v>
      </c>
      <c r="C698" t="str">
        <f>"002"</f>
        <v>002</v>
      </c>
      <c r="D698">
        <v>1998</v>
      </c>
      <c r="E698">
        <v>257300</v>
      </c>
      <c r="F698">
        <v>199000</v>
      </c>
      <c r="G698" t="s">
        <v>11</v>
      </c>
      <c r="H698" t="s">
        <v>38</v>
      </c>
      <c r="I698" t="s">
        <v>13</v>
      </c>
      <c r="J698" t="s">
        <v>13</v>
      </c>
    </row>
    <row r="699" spans="1:11" x14ac:dyDescent="0.25">
      <c r="A699" t="s">
        <v>39</v>
      </c>
      <c r="B699" t="s">
        <v>13</v>
      </c>
      <c r="C699" t="s">
        <v>7</v>
      </c>
      <c r="D699" t="s">
        <v>8</v>
      </c>
      <c r="E699">
        <v>1532900</v>
      </c>
      <c r="F699">
        <v>1235600</v>
      </c>
      <c r="G699" t="s">
        <v>11</v>
      </c>
      <c r="H699">
        <v>44258700</v>
      </c>
      <c r="I699" t="s">
        <v>13</v>
      </c>
      <c r="J699" t="s">
        <v>13</v>
      </c>
      <c r="K699">
        <v>2.79</v>
      </c>
    </row>
    <row r="701" spans="1:11" x14ac:dyDescent="0.25">
      <c r="A701" t="s">
        <v>189</v>
      </c>
      <c r="B701" t="str">
        <f>"58131"</f>
        <v>58131</v>
      </c>
      <c r="C701" t="str">
        <f>"001"</f>
        <v>001</v>
      </c>
      <c r="D701">
        <v>2011</v>
      </c>
      <c r="E701">
        <v>1512400</v>
      </c>
      <c r="F701">
        <v>260900</v>
      </c>
      <c r="G701" t="s">
        <v>11</v>
      </c>
      <c r="H701" t="s">
        <v>38</v>
      </c>
      <c r="I701" t="s">
        <v>13</v>
      </c>
      <c r="J701" t="s">
        <v>13</v>
      </c>
    </row>
    <row r="702" spans="1:11" x14ac:dyDescent="0.25">
      <c r="A702" t="s">
        <v>5</v>
      </c>
      <c r="B702" t="str">
        <f>"58131"</f>
        <v>58131</v>
      </c>
      <c r="C702" t="str">
        <f>"002"</f>
        <v>002</v>
      </c>
      <c r="D702">
        <v>2015</v>
      </c>
      <c r="E702">
        <v>2798500</v>
      </c>
      <c r="F702">
        <v>316500</v>
      </c>
      <c r="G702" t="s">
        <v>11</v>
      </c>
      <c r="H702" t="s">
        <v>38</v>
      </c>
      <c r="I702" t="s">
        <v>13</v>
      </c>
      <c r="J702" t="s">
        <v>13</v>
      </c>
    </row>
    <row r="703" spans="1:11" x14ac:dyDescent="0.25">
      <c r="A703" t="s">
        <v>39</v>
      </c>
      <c r="B703" t="s">
        <v>13</v>
      </c>
      <c r="C703" t="s">
        <v>7</v>
      </c>
      <c r="D703" t="s">
        <v>8</v>
      </c>
      <c r="E703">
        <v>4310900</v>
      </c>
      <c r="F703">
        <v>577400</v>
      </c>
      <c r="G703" t="s">
        <v>11</v>
      </c>
      <c r="H703">
        <v>20159400</v>
      </c>
      <c r="I703" t="s">
        <v>13</v>
      </c>
      <c r="J703" t="s">
        <v>13</v>
      </c>
      <c r="K703">
        <v>2.86</v>
      </c>
    </row>
    <row r="705" spans="1:11" x14ac:dyDescent="0.25">
      <c r="A705" t="s">
        <v>190</v>
      </c>
      <c r="B705" t="str">
        <f>"40136"</f>
        <v>40136</v>
      </c>
      <c r="C705" t="str">
        <f>"003"</f>
        <v>003</v>
      </c>
      <c r="D705">
        <v>2008</v>
      </c>
      <c r="E705">
        <v>10014400</v>
      </c>
      <c r="F705">
        <v>3864600</v>
      </c>
      <c r="G705" t="s">
        <v>11</v>
      </c>
      <c r="H705" t="s">
        <v>38</v>
      </c>
      <c r="I705" t="s">
        <v>13</v>
      </c>
      <c r="J705" t="s">
        <v>13</v>
      </c>
    </row>
    <row r="706" spans="1:11" x14ac:dyDescent="0.25">
      <c r="A706" t="s">
        <v>5</v>
      </c>
      <c r="B706" t="str">
        <f>"40136"</f>
        <v>40136</v>
      </c>
      <c r="C706" t="str">
        <f>"004"</f>
        <v>004</v>
      </c>
      <c r="D706">
        <v>2016</v>
      </c>
      <c r="E706">
        <v>16225000</v>
      </c>
      <c r="F706">
        <v>4247800</v>
      </c>
      <c r="G706" t="s">
        <v>11</v>
      </c>
      <c r="H706" t="s">
        <v>38</v>
      </c>
      <c r="I706" t="s">
        <v>13</v>
      </c>
      <c r="J706" t="s">
        <v>13</v>
      </c>
    </row>
    <row r="707" spans="1:11" x14ac:dyDescent="0.25">
      <c r="A707" t="s">
        <v>39</v>
      </c>
      <c r="B707" t="s">
        <v>13</v>
      </c>
      <c r="C707" t="s">
        <v>7</v>
      </c>
      <c r="D707" t="s">
        <v>8</v>
      </c>
      <c r="E707">
        <v>26239400</v>
      </c>
      <c r="F707">
        <v>8112400</v>
      </c>
      <c r="G707" t="s">
        <v>11</v>
      </c>
      <c r="H707">
        <v>727751600</v>
      </c>
      <c r="I707" t="s">
        <v>13</v>
      </c>
      <c r="J707" t="s">
        <v>13</v>
      </c>
      <c r="K707">
        <v>1.1100000000000001</v>
      </c>
    </row>
    <row r="709" spans="1:11" x14ac:dyDescent="0.25">
      <c r="A709" t="s">
        <v>191</v>
      </c>
      <c r="B709" t="str">
        <f>"55136"</f>
        <v>55136</v>
      </c>
      <c r="C709" t="str">
        <f>"003"</f>
        <v>003</v>
      </c>
      <c r="D709">
        <v>1993</v>
      </c>
      <c r="E709">
        <v>535500</v>
      </c>
      <c r="F709">
        <v>396300</v>
      </c>
      <c r="G709" t="s">
        <v>11</v>
      </c>
      <c r="H709" t="s">
        <v>38</v>
      </c>
      <c r="I709" t="s">
        <v>13</v>
      </c>
      <c r="J709" t="s">
        <v>13</v>
      </c>
    </row>
    <row r="710" spans="1:11" x14ac:dyDescent="0.25">
      <c r="A710" t="s">
        <v>5</v>
      </c>
      <c r="B710" t="str">
        <f>"55136"</f>
        <v>55136</v>
      </c>
      <c r="C710" t="str">
        <f>"004"</f>
        <v>004</v>
      </c>
      <c r="D710">
        <v>1993</v>
      </c>
      <c r="E710">
        <v>522600</v>
      </c>
      <c r="F710">
        <v>321500</v>
      </c>
      <c r="G710" t="s">
        <v>11</v>
      </c>
      <c r="H710" t="s">
        <v>38</v>
      </c>
      <c r="I710" t="s">
        <v>13</v>
      </c>
      <c r="J710" t="s">
        <v>13</v>
      </c>
    </row>
    <row r="711" spans="1:11" x14ac:dyDescent="0.25">
      <c r="A711" t="s">
        <v>5</v>
      </c>
      <c r="B711" t="str">
        <f>"55136"</f>
        <v>55136</v>
      </c>
      <c r="C711" t="str">
        <f>"005"</f>
        <v>005</v>
      </c>
      <c r="D711">
        <v>1995</v>
      </c>
      <c r="E711">
        <v>14334700</v>
      </c>
      <c r="F711">
        <v>14192100</v>
      </c>
      <c r="G711" t="s">
        <v>11</v>
      </c>
      <c r="H711" t="s">
        <v>38</v>
      </c>
      <c r="I711" t="s">
        <v>13</v>
      </c>
      <c r="J711" t="s">
        <v>13</v>
      </c>
    </row>
    <row r="712" spans="1:11" x14ac:dyDescent="0.25">
      <c r="A712" t="s">
        <v>39</v>
      </c>
      <c r="B712" t="s">
        <v>13</v>
      </c>
      <c r="C712" t="s">
        <v>7</v>
      </c>
      <c r="D712" t="s">
        <v>8</v>
      </c>
      <c r="E712">
        <v>15392800</v>
      </c>
      <c r="F712">
        <v>14909900</v>
      </c>
      <c r="G712" t="s">
        <v>11</v>
      </c>
      <c r="H712">
        <v>140614600</v>
      </c>
      <c r="I712" t="s">
        <v>13</v>
      </c>
      <c r="J712" t="s">
        <v>13</v>
      </c>
      <c r="K712">
        <v>10.6</v>
      </c>
    </row>
    <row r="714" spans="1:11" x14ac:dyDescent="0.25">
      <c r="A714" t="s">
        <v>192</v>
      </c>
      <c r="B714" t="str">
        <f>"69136"</f>
        <v>69136</v>
      </c>
      <c r="C714" t="str">
        <f>"001"</f>
        <v>001</v>
      </c>
      <c r="D714">
        <v>2016</v>
      </c>
      <c r="E714">
        <v>770200</v>
      </c>
      <c r="F714">
        <v>296300</v>
      </c>
      <c r="G714" t="s">
        <v>11</v>
      </c>
      <c r="H714" t="s">
        <v>38</v>
      </c>
      <c r="I714" t="s">
        <v>13</v>
      </c>
      <c r="J714" t="s">
        <v>13</v>
      </c>
    </row>
    <row r="715" spans="1:11" x14ac:dyDescent="0.25">
      <c r="A715" t="s">
        <v>39</v>
      </c>
      <c r="B715" t="s">
        <v>13</v>
      </c>
      <c r="C715" t="s">
        <v>7</v>
      </c>
      <c r="D715" t="s">
        <v>8</v>
      </c>
      <c r="E715">
        <v>770200</v>
      </c>
      <c r="F715">
        <v>296300</v>
      </c>
      <c r="G715" t="s">
        <v>11</v>
      </c>
      <c r="H715">
        <v>17822900</v>
      </c>
      <c r="I715" t="s">
        <v>13</v>
      </c>
      <c r="J715" t="s">
        <v>13</v>
      </c>
      <c r="K715">
        <v>1.66</v>
      </c>
    </row>
    <row r="717" spans="1:11" x14ac:dyDescent="0.25">
      <c r="A717" t="s">
        <v>193</v>
      </c>
      <c r="B717" t="str">
        <f>"08131"</f>
        <v>08131</v>
      </c>
      <c r="C717" t="str">
        <f>"001"</f>
        <v>001</v>
      </c>
      <c r="D717">
        <v>2013</v>
      </c>
      <c r="E717">
        <v>46285100</v>
      </c>
      <c r="F717">
        <v>45500000</v>
      </c>
      <c r="G717" t="s">
        <v>11</v>
      </c>
      <c r="H717" t="s">
        <v>38</v>
      </c>
      <c r="I717" t="s">
        <v>13</v>
      </c>
      <c r="J717" t="s">
        <v>13</v>
      </c>
    </row>
    <row r="718" spans="1:11" x14ac:dyDescent="0.25">
      <c r="A718" t="s">
        <v>39</v>
      </c>
      <c r="B718" t="s">
        <v>13</v>
      </c>
      <c r="C718" t="s">
        <v>7</v>
      </c>
      <c r="D718" t="s">
        <v>8</v>
      </c>
      <c r="E718">
        <v>46285100</v>
      </c>
      <c r="F718">
        <v>45500000</v>
      </c>
      <c r="G718" t="s">
        <v>11</v>
      </c>
      <c r="H718">
        <v>1213180500</v>
      </c>
      <c r="I718" t="s">
        <v>13</v>
      </c>
      <c r="J718" t="s">
        <v>13</v>
      </c>
      <c r="K718">
        <v>3.75</v>
      </c>
    </row>
    <row r="720" spans="1:11" x14ac:dyDescent="0.25">
      <c r="A720" t="s">
        <v>194</v>
      </c>
      <c r="B720" t="str">
        <f>"66236"</f>
        <v>66236</v>
      </c>
      <c r="C720" t="str">
        <f>"006"</f>
        <v>006</v>
      </c>
      <c r="D720">
        <v>2008</v>
      </c>
      <c r="E720">
        <v>1812400</v>
      </c>
      <c r="F720">
        <v>712400</v>
      </c>
      <c r="G720" t="s">
        <v>11</v>
      </c>
      <c r="H720" t="s">
        <v>38</v>
      </c>
      <c r="I720" t="s">
        <v>13</v>
      </c>
      <c r="J720" t="s">
        <v>13</v>
      </c>
    </row>
    <row r="721" spans="1:11" x14ac:dyDescent="0.25">
      <c r="A721" t="s">
        <v>5</v>
      </c>
      <c r="B721" t="str">
        <f>"66236"</f>
        <v>66236</v>
      </c>
      <c r="C721" t="str">
        <f>"007"</f>
        <v>007</v>
      </c>
      <c r="D721">
        <v>2011</v>
      </c>
      <c r="E721">
        <v>2647000</v>
      </c>
      <c r="F721">
        <v>2643400</v>
      </c>
      <c r="G721" t="s">
        <v>11</v>
      </c>
      <c r="H721" t="s">
        <v>38</v>
      </c>
      <c r="I721" t="s">
        <v>13</v>
      </c>
      <c r="J721" t="s">
        <v>13</v>
      </c>
    </row>
    <row r="722" spans="1:11" x14ac:dyDescent="0.25">
      <c r="A722" t="s">
        <v>5</v>
      </c>
      <c r="B722" t="str">
        <f>"14230"</f>
        <v>14230</v>
      </c>
      <c r="C722" t="str">
        <f>"007"</f>
        <v>007</v>
      </c>
      <c r="D722">
        <v>2011</v>
      </c>
      <c r="E722">
        <v>6273100</v>
      </c>
      <c r="F722">
        <v>6259300</v>
      </c>
      <c r="G722" t="s">
        <v>11</v>
      </c>
      <c r="H722" t="s">
        <v>38</v>
      </c>
      <c r="I722" t="s">
        <v>13</v>
      </c>
      <c r="J722" t="s">
        <v>13</v>
      </c>
    </row>
    <row r="723" spans="1:11" x14ac:dyDescent="0.25">
      <c r="A723" t="s">
        <v>5</v>
      </c>
      <c r="B723" t="str">
        <f>"66236"</f>
        <v>66236</v>
      </c>
      <c r="C723" t="str">
        <f>"008"</f>
        <v>008</v>
      </c>
      <c r="D723">
        <v>2013</v>
      </c>
      <c r="E723">
        <v>9117200</v>
      </c>
      <c r="F723">
        <v>3069800</v>
      </c>
      <c r="G723" t="s">
        <v>11</v>
      </c>
      <c r="H723" t="s">
        <v>38</v>
      </c>
      <c r="I723" t="s">
        <v>13</v>
      </c>
      <c r="J723" t="s">
        <v>13</v>
      </c>
    </row>
    <row r="724" spans="1:11" x14ac:dyDescent="0.25">
      <c r="A724" t="s">
        <v>5</v>
      </c>
      <c r="B724" t="str">
        <f>"14230"</f>
        <v>14230</v>
      </c>
      <c r="C724" t="str">
        <f>"009"</f>
        <v>009</v>
      </c>
      <c r="D724">
        <v>2015</v>
      </c>
      <c r="E724">
        <v>9828600</v>
      </c>
      <c r="F724">
        <v>5399700</v>
      </c>
      <c r="G724" t="s">
        <v>11</v>
      </c>
      <c r="H724" t="s">
        <v>38</v>
      </c>
      <c r="I724" t="s">
        <v>13</v>
      </c>
      <c r="J724" t="s">
        <v>13</v>
      </c>
    </row>
    <row r="725" spans="1:11" x14ac:dyDescent="0.25">
      <c r="A725" t="s">
        <v>5</v>
      </c>
      <c r="B725" t="str">
        <f>"66236"</f>
        <v>66236</v>
      </c>
      <c r="C725" t="str">
        <f>"010"</f>
        <v>010</v>
      </c>
      <c r="D725">
        <v>2017</v>
      </c>
      <c r="E725">
        <v>9766100</v>
      </c>
      <c r="F725">
        <v>4974500</v>
      </c>
      <c r="G725" t="s">
        <v>11</v>
      </c>
      <c r="H725" t="s">
        <v>38</v>
      </c>
      <c r="I725" t="s">
        <v>13</v>
      </c>
      <c r="J725" t="s">
        <v>13</v>
      </c>
    </row>
    <row r="726" spans="1:11" x14ac:dyDescent="0.25">
      <c r="A726" t="s">
        <v>5</v>
      </c>
      <c r="B726" t="str">
        <f>"66236"</f>
        <v>66236</v>
      </c>
      <c r="C726" t="str">
        <f>"011"</f>
        <v>011</v>
      </c>
      <c r="D726">
        <v>2017</v>
      </c>
      <c r="E726">
        <v>15784900</v>
      </c>
      <c r="F726">
        <v>4196200</v>
      </c>
      <c r="G726" t="s">
        <v>11</v>
      </c>
      <c r="H726" t="s">
        <v>38</v>
      </c>
      <c r="I726" t="s">
        <v>13</v>
      </c>
      <c r="J726" t="s">
        <v>13</v>
      </c>
    </row>
    <row r="727" spans="1:11" x14ac:dyDescent="0.25">
      <c r="A727" t="s">
        <v>39</v>
      </c>
      <c r="B727" t="s">
        <v>13</v>
      </c>
      <c r="C727" t="s">
        <v>7</v>
      </c>
      <c r="D727" t="s">
        <v>8</v>
      </c>
      <c r="E727">
        <v>55229300</v>
      </c>
      <c r="F727">
        <v>27255300</v>
      </c>
      <c r="G727" t="s">
        <v>11</v>
      </c>
      <c r="H727">
        <v>1442537700</v>
      </c>
      <c r="I727" t="s">
        <v>13</v>
      </c>
      <c r="J727" t="s">
        <v>13</v>
      </c>
      <c r="K727">
        <v>1.89</v>
      </c>
    </row>
    <row r="729" spans="1:11" x14ac:dyDescent="0.25">
      <c r="A729" t="s">
        <v>195</v>
      </c>
      <c r="B729" t="str">
        <f>"67136"</f>
        <v>67136</v>
      </c>
      <c r="C729" t="str">
        <f>"004"</f>
        <v>004</v>
      </c>
      <c r="D729">
        <v>2008</v>
      </c>
      <c r="E729">
        <v>2873500</v>
      </c>
      <c r="F729">
        <v>1855200</v>
      </c>
      <c r="G729" t="s">
        <v>11</v>
      </c>
      <c r="H729" t="s">
        <v>38</v>
      </c>
      <c r="I729" t="s">
        <v>13</v>
      </c>
      <c r="J729" t="s">
        <v>13</v>
      </c>
    </row>
    <row r="730" spans="1:11" x14ac:dyDescent="0.25">
      <c r="A730" t="s">
        <v>5</v>
      </c>
      <c r="B730" t="str">
        <f>"67136"</f>
        <v>67136</v>
      </c>
      <c r="C730" t="str">
        <f>"005"</f>
        <v>005</v>
      </c>
      <c r="D730">
        <v>2011</v>
      </c>
      <c r="E730">
        <v>1625100</v>
      </c>
      <c r="F730">
        <v>1271300</v>
      </c>
      <c r="G730" t="s">
        <v>11</v>
      </c>
      <c r="H730" t="s">
        <v>38</v>
      </c>
      <c r="I730" t="s">
        <v>13</v>
      </c>
      <c r="J730" t="s">
        <v>13</v>
      </c>
    </row>
    <row r="731" spans="1:11" x14ac:dyDescent="0.25">
      <c r="A731" t="s">
        <v>5</v>
      </c>
      <c r="B731" t="str">
        <f>"67136"</f>
        <v>67136</v>
      </c>
      <c r="C731" t="str">
        <f>"006"</f>
        <v>006</v>
      </c>
      <c r="D731">
        <v>2015</v>
      </c>
      <c r="E731">
        <v>13891700</v>
      </c>
      <c r="F731">
        <v>12561400</v>
      </c>
      <c r="G731" t="s">
        <v>11</v>
      </c>
      <c r="H731" t="s">
        <v>38</v>
      </c>
      <c r="I731" t="s">
        <v>13</v>
      </c>
      <c r="J731" t="s">
        <v>13</v>
      </c>
    </row>
    <row r="732" spans="1:11" x14ac:dyDescent="0.25">
      <c r="A732" t="s">
        <v>39</v>
      </c>
      <c r="B732" t="s">
        <v>13</v>
      </c>
      <c r="C732" t="s">
        <v>7</v>
      </c>
      <c r="D732" t="s">
        <v>8</v>
      </c>
      <c r="E732">
        <v>18390300</v>
      </c>
      <c r="F732">
        <v>15687900</v>
      </c>
      <c r="G732" t="s">
        <v>11</v>
      </c>
      <c r="H732">
        <v>1397844200</v>
      </c>
      <c r="I732" t="s">
        <v>13</v>
      </c>
      <c r="J732" t="s">
        <v>13</v>
      </c>
      <c r="K732">
        <v>1.1200000000000001</v>
      </c>
    </row>
    <row r="734" spans="1:11" x14ac:dyDescent="0.25">
      <c r="A734" t="s">
        <v>196</v>
      </c>
      <c r="B734" t="str">
        <f>"37136"</f>
        <v>37136</v>
      </c>
      <c r="C734" t="str">
        <f>"001"</f>
        <v>001</v>
      </c>
      <c r="D734">
        <v>2007</v>
      </c>
      <c r="E734">
        <v>9057800</v>
      </c>
      <c r="F734">
        <v>5817300</v>
      </c>
      <c r="G734" t="s">
        <v>11</v>
      </c>
      <c r="H734" t="s">
        <v>38</v>
      </c>
      <c r="I734" t="s">
        <v>13</v>
      </c>
      <c r="J734" t="s">
        <v>13</v>
      </c>
    </row>
    <row r="735" spans="1:11" x14ac:dyDescent="0.25">
      <c r="A735" t="s">
        <v>39</v>
      </c>
      <c r="B735" t="s">
        <v>13</v>
      </c>
      <c r="C735" t="s">
        <v>7</v>
      </c>
      <c r="D735" t="s">
        <v>8</v>
      </c>
      <c r="E735">
        <v>9057800</v>
      </c>
      <c r="F735">
        <v>5817300</v>
      </c>
      <c r="G735" t="s">
        <v>11</v>
      </c>
      <c r="H735">
        <v>35937400</v>
      </c>
      <c r="I735" t="s">
        <v>13</v>
      </c>
      <c r="J735" t="s">
        <v>13</v>
      </c>
      <c r="K735">
        <v>16.190000000000001</v>
      </c>
    </row>
    <row r="737" spans="1:11" x14ac:dyDescent="0.25">
      <c r="A737" t="s">
        <v>197</v>
      </c>
      <c r="B737" t="str">
        <f>"54136"</f>
        <v>54136</v>
      </c>
      <c r="C737" t="str">
        <f>"002"</f>
        <v>002</v>
      </c>
      <c r="D737">
        <v>2005</v>
      </c>
      <c r="E737">
        <v>0</v>
      </c>
      <c r="F737">
        <v>-59400</v>
      </c>
      <c r="G737" t="s">
        <v>49</v>
      </c>
      <c r="H737" t="s">
        <v>38</v>
      </c>
      <c r="I737" t="s">
        <v>13</v>
      </c>
      <c r="J737" t="s">
        <v>13</v>
      </c>
    </row>
    <row r="738" spans="1:11" x14ac:dyDescent="0.25">
      <c r="A738" t="s">
        <v>5</v>
      </c>
      <c r="B738" t="str">
        <f>"54136"</f>
        <v>54136</v>
      </c>
      <c r="C738" t="str">
        <f>"003"</f>
        <v>003</v>
      </c>
      <c r="D738">
        <v>2010</v>
      </c>
      <c r="E738">
        <v>652700</v>
      </c>
      <c r="F738">
        <v>556100</v>
      </c>
      <c r="G738" t="s">
        <v>11</v>
      </c>
      <c r="H738" t="s">
        <v>38</v>
      </c>
      <c r="I738" t="s">
        <v>13</v>
      </c>
      <c r="J738" t="s">
        <v>13</v>
      </c>
    </row>
    <row r="739" spans="1:11" x14ac:dyDescent="0.25">
      <c r="A739" t="s">
        <v>39</v>
      </c>
      <c r="B739" t="s">
        <v>13</v>
      </c>
      <c r="C739" t="s">
        <v>7</v>
      </c>
      <c r="D739" t="s">
        <v>8</v>
      </c>
      <c r="E739">
        <v>652700</v>
      </c>
      <c r="F739">
        <v>556100</v>
      </c>
      <c r="G739" t="s">
        <v>11</v>
      </c>
      <c r="H739">
        <v>14432100</v>
      </c>
      <c r="I739" t="s">
        <v>13</v>
      </c>
      <c r="J739" t="s">
        <v>13</v>
      </c>
      <c r="K739">
        <v>3.85</v>
      </c>
    </row>
    <row r="741" spans="1:11" x14ac:dyDescent="0.25">
      <c r="A741" t="s">
        <v>198</v>
      </c>
      <c r="B741" t="str">
        <f>"57236"</f>
        <v>57236</v>
      </c>
      <c r="C741" t="str">
        <f>"005"</f>
        <v>005</v>
      </c>
      <c r="D741">
        <v>2018</v>
      </c>
      <c r="E741">
        <v>905300</v>
      </c>
      <c r="F741">
        <v>211900</v>
      </c>
      <c r="G741" t="s">
        <v>11</v>
      </c>
      <c r="H741" t="s">
        <v>38</v>
      </c>
      <c r="I741" t="s">
        <v>13</v>
      </c>
      <c r="J741" t="s">
        <v>13</v>
      </c>
    </row>
    <row r="742" spans="1:11" x14ac:dyDescent="0.25">
      <c r="A742" t="s">
        <v>39</v>
      </c>
      <c r="B742" t="s">
        <v>13</v>
      </c>
      <c r="C742" t="s">
        <v>7</v>
      </c>
      <c r="D742" t="s">
        <v>8</v>
      </c>
      <c r="E742">
        <v>905300</v>
      </c>
      <c r="F742">
        <v>211900</v>
      </c>
      <c r="G742" t="s">
        <v>11</v>
      </c>
      <c r="H742">
        <v>237778700</v>
      </c>
      <c r="I742" t="s">
        <v>13</v>
      </c>
      <c r="J742" t="s">
        <v>13</v>
      </c>
      <c r="K742">
        <v>0.09</v>
      </c>
    </row>
    <row r="744" spans="1:11" x14ac:dyDescent="0.25">
      <c r="A744" t="s">
        <v>199</v>
      </c>
      <c r="B744" t="str">
        <f>"22136"</f>
        <v>22136</v>
      </c>
      <c r="C744" t="str">
        <f>"001"</f>
        <v>001</v>
      </c>
      <c r="D744">
        <v>1997</v>
      </c>
      <c r="E744">
        <v>2298600</v>
      </c>
      <c r="F744">
        <v>1474700</v>
      </c>
      <c r="G744" t="s">
        <v>11</v>
      </c>
      <c r="H744" t="s">
        <v>38</v>
      </c>
      <c r="I744" t="s">
        <v>13</v>
      </c>
      <c r="J744" t="s">
        <v>13</v>
      </c>
    </row>
    <row r="745" spans="1:11" x14ac:dyDescent="0.25">
      <c r="A745" t="s">
        <v>39</v>
      </c>
      <c r="B745" t="s">
        <v>13</v>
      </c>
      <c r="C745" t="s">
        <v>7</v>
      </c>
      <c r="D745" t="s">
        <v>8</v>
      </c>
      <c r="E745">
        <v>2298600</v>
      </c>
      <c r="F745">
        <v>1474700</v>
      </c>
      <c r="G745" t="s">
        <v>11</v>
      </c>
      <c r="H745">
        <v>63183900</v>
      </c>
      <c r="I745" t="s">
        <v>13</v>
      </c>
      <c r="J745" t="s">
        <v>13</v>
      </c>
      <c r="K745">
        <v>2.33</v>
      </c>
    </row>
    <row r="747" spans="1:11" x14ac:dyDescent="0.25">
      <c r="A747" t="s">
        <v>200</v>
      </c>
      <c r="B747" t="str">
        <f>"25136"</f>
        <v>25136</v>
      </c>
      <c r="C747" t="str">
        <f>"002"</f>
        <v>002</v>
      </c>
      <c r="D747">
        <v>1999</v>
      </c>
      <c r="E747">
        <v>4929400</v>
      </c>
      <c r="F747">
        <v>3955800</v>
      </c>
      <c r="G747" t="s">
        <v>11</v>
      </c>
      <c r="H747" t="s">
        <v>38</v>
      </c>
      <c r="I747" t="s">
        <v>13</v>
      </c>
      <c r="J747" t="s">
        <v>13</v>
      </c>
    </row>
    <row r="748" spans="1:11" x14ac:dyDescent="0.25">
      <c r="A748" t="s">
        <v>39</v>
      </c>
      <c r="B748" t="s">
        <v>13</v>
      </c>
      <c r="C748" t="s">
        <v>7</v>
      </c>
      <c r="D748" t="s">
        <v>8</v>
      </c>
      <c r="E748">
        <v>4929400</v>
      </c>
      <c r="F748">
        <v>3955800</v>
      </c>
      <c r="G748" t="s">
        <v>11</v>
      </c>
      <c r="H748">
        <v>42352600</v>
      </c>
      <c r="I748" t="s">
        <v>13</v>
      </c>
      <c r="J748" t="s">
        <v>13</v>
      </c>
      <c r="K748">
        <v>9.34</v>
      </c>
    </row>
    <row r="750" spans="1:11" x14ac:dyDescent="0.25">
      <c r="A750" t="s">
        <v>201</v>
      </c>
      <c r="B750" t="str">
        <f>"08136"</f>
        <v>08136</v>
      </c>
      <c r="C750" t="str">
        <f>"001"</f>
        <v>001</v>
      </c>
      <c r="D750">
        <v>1996</v>
      </c>
      <c r="E750">
        <v>6431500</v>
      </c>
      <c r="F750">
        <v>4658600</v>
      </c>
      <c r="G750" t="s">
        <v>11</v>
      </c>
      <c r="H750" t="s">
        <v>38</v>
      </c>
      <c r="I750" t="s">
        <v>13</v>
      </c>
      <c r="J750" t="s">
        <v>13</v>
      </c>
    </row>
    <row r="751" spans="1:11" x14ac:dyDescent="0.25">
      <c r="A751" t="s">
        <v>5</v>
      </c>
      <c r="B751" t="str">
        <f>"08136"</f>
        <v>08136</v>
      </c>
      <c r="C751" t="str">
        <f>"002"</f>
        <v>002</v>
      </c>
      <c r="D751">
        <v>2007</v>
      </c>
      <c r="E751">
        <v>21599300</v>
      </c>
      <c r="F751">
        <v>19227600</v>
      </c>
      <c r="G751" t="s">
        <v>11</v>
      </c>
      <c r="H751" t="s">
        <v>38</v>
      </c>
      <c r="I751" t="s">
        <v>13</v>
      </c>
      <c r="J751" t="s">
        <v>13</v>
      </c>
    </row>
    <row r="752" spans="1:11" x14ac:dyDescent="0.25">
      <c r="A752" t="s">
        <v>39</v>
      </c>
      <c r="B752" t="s">
        <v>13</v>
      </c>
      <c r="C752" t="s">
        <v>7</v>
      </c>
      <c r="D752" t="s">
        <v>8</v>
      </c>
      <c r="E752">
        <v>28030800</v>
      </c>
      <c r="F752">
        <v>23886200</v>
      </c>
      <c r="G752" t="s">
        <v>11</v>
      </c>
      <c r="H752">
        <v>81704700</v>
      </c>
      <c r="I752" t="s">
        <v>13</v>
      </c>
      <c r="J752" t="s">
        <v>13</v>
      </c>
      <c r="K752">
        <v>29.23</v>
      </c>
    </row>
    <row r="754" spans="1:11" x14ac:dyDescent="0.25">
      <c r="A754" t="s">
        <v>202</v>
      </c>
      <c r="B754" t="str">
        <f>"62236"</f>
        <v>62236</v>
      </c>
      <c r="C754" t="str">
        <f>"002"</f>
        <v>002</v>
      </c>
      <c r="D754">
        <v>1993</v>
      </c>
      <c r="E754">
        <v>13441400</v>
      </c>
      <c r="F754">
        <v>12957800</v>
      </c>
      <c r="G754" t="s">
        <v>11</v>
      </c>
      <c r="H754" t="s">
        <v>38</v>
      </c>
      <c r="I754" t="s">
        <v>13</v>
      </c>
      <c r="J754" t="s">
        <v>13</v>
      </c>
    </row>
    <row r="755" spans="1:11" x14ac:dyDescent="0.25">
      <c r="A755" t="s">
        <v>5</v>
      </c>
      <c r="B755" t="str">
        <f>"62236"</f>
        <v>62236</v>
      </c>
      <c r="C755" t="str">
        <f>"004"</f>
        <v>004</v>
      </c>
      <c r="D755">
        <v>1998</v>
      </c>
      <c r="E755">
        <v>11966300</v>
      </c>
      <c r="F755">
        <v>9250500</v>
      </c>
      <c r="G755" t="s">
        <v>11</v>
      </c>
      <c r="H755" t="s">
        <v>38</v>
      </c>
      <c r="I755" t="s">
        <v>13</v>
      </c>
      <c r="J755" t="s">
        <v>13</v>
      </c>
    </row>
    <row r="756" spans="1:11" x14ac:dyDescent="0.25">
      <c r="A756" t="s">
        <v>39</v>
      </c>
      <c r="B756" t="s">
        <v>13</v>
      </c>
      <c r="C756" t="s">
        <v>7</v>
      </c>
      <c r="D756" t="s">
        <v>8</v>
      </c>
      <c r="E756">
        <v>25407700</v>
      </c>
      <c r="F756">
        <v>22208300</v>
      </c>
      <c r="G756" t="s">
        <v>11</v>
      </c>
      <c r="H756">
        <v>70685700</v>
      </c>
      <c r="I756" t="s">
        <v>13</v>
      </c>
      <c r="J756" t="s">
        <v>13</v>
      </c>
      <c r="K756">
        <v>31.42</v>
      </c>
    </row>
    <row r="758" spans="1:11" x14ac:dyDescent="0.25">
      <c r="A758" t="s">
        <v>203</v>
      </c>
      <c r="B758" t="str">
        <f>"27136"</f>
        <v>27136</v>
      </c>
      <c r="C758" t="str">
        <f>"001"</f>
        <v>001</v>
      </c>
      <c r="D758">
        <v>2007</v>
      </c>
      <c r="E758">
        <v>9662700</v>
      </c>
      <c r="F758">
        <v>8105700</v>
      </c>
      <c r="G758" t="s">
        <v>11</v>
      </c>
      <c r="H758" t="s">
        <v>38</v>
      </c>
      <c r="I758" t="s">
        <v>13</v>
      </c>
      <c r="J758" t="s">
        <v>13</v>
      </c>
    </row>
    <row r="759" spans="1:11" x14ac:dyDescent="0.25">
      <c r="A759" t="s">
        <v>39</v>
      </c>
      <c r="B759" t="s">
        <v>13</v>
      </c>
      <c r="C759" t="s">
        <v>7</v>
      </c>
      <c r="D759" t="s">
        <v>8</v>
      </c>
      <c r="E759">
        <v>9662700</v>
      </c>
      <c r="F759">
        <v>8105700</v>
      </c>
      <c r="G759" t="s">
        <v>11</v>
      </c>
      <c r="H759">
        <v>29694800</v>
      </c>
      <c r="I759" t="s">
        <v>13</v>
      </c>
      <c r="J759" t="s">
        <v>13</v>
      </c>
      <c r="K759">
        <v>27.3</v>
      </c>
    </row>
    <row r="761" spans="1:11" x14ac:dyDescent="0.25">
      <c r="A761" t="s">
        <v>204</v>
      </c>
      <c r="B761" t="str">
        <f>"05126"</f>
        <v>05126</v>
      </c>
      <c r="C761" t="str">
        <f>"001"</f>
        <v>001</v>
      </c>
      <c r="D761">
        <v>2009</v>
      </c>
      <c r="E761">
        <v>188278300</v>
      </c>
      <c r="F761">
        <v>167286400</v>
      </c>
      <c r="G761" t="s">
        <v>11</v>
      </c>
      <c r="H761" t="s">
        <v>38</v>
      </c>
      <c r="I761" t="s">
        <v>13</v>
      </c>
      <c r="J761" t="s">
        <v>13</v>
      </c>
    </row>
    <row r="762" spans="1:11" x14ac:dyDescent="0.25">
      <c r="A762" t="s">
        <v>5</v>
      </c>
      <c r="B762" t="str">
        <f>"05126"</f>
        <v>05126</v>
      </c>
      <c r="C762" t="str">
        <f>"002"</f>
        <v>002</v>
      </c>
      <c r="D762">
        <v>2011</v>
      </c>
      <c r="E762">
        <v>71643400</v>
      </c>
      <c r="F762">
        <v>68357900</v>
      </c>
      <c r="G762" t="s">
        <v>11</v>
      </c>
      <c r="H762" t="s">
        <v>38</v>
      </c>
      <c r="I762" t="s">
        <v>13</v>
      </c>
      <c r="J762" t="s">
        <v>13</v>
      </c>
    </row>
    <row r="763" spans="1:11" x14ac:dyDescent="0.25">
      <c r="A763" t="s">
        <v>39</v>
      </c>
      <c r="B763" t="s">
        <v>13</v>
      </c>
      <c r="C763" t="s">
        <v>7</v>
      </c>
      <c r="D763" t="s">
        <v>8</v>
      </c>
      <c r="E763">
        <v>259921700</v>
      </c>
      <c r="F763">
        <v>235644300</v>
      </c>
      <c r="G763" t="s">
        <v>11</v>
      </c>
      <c r="H763">
        <v>971510200</v>
      </c>
      <c r="I763" t="s">
        <v>13</v>
      </c>
      <c r="J763" t="s">
        <v>13</v>
      </c>
      <c r="K763">
        <v>24.26</v>
      </c>
    </row>
    <row r="765" spans="1:11" x14ac:dyDescent="0.25">
      <c r="A765" t="s">
        <v>205</v>
      </c>
      <c r="B765" t="str">
        <f>"32136"</f>
        <v>32136</v>
      </c>
      <c r="C765" t="str">
        <f>"002"</f>
        <v>002</v>
      </c>
      <c r="D765">
        <v>2009</v>
      </c>
      <c r="E765">
        <v>14605000</v>
      </c>
      <c r="F765">
        <v>11958000</v>
      </c>
      <c r="G765" t="s">
        <v>11</v>
      </c>
      <c r="H765" t="s">
        <v>38</v>
      </c>
      <c r="I765" t="s">
        <v>13</v>
      </c>
      <c r="J765" t="s">
        <v>13</v>
      </c>
    </row>
    <row r="766" spans="1:11" x14ac:dyDescent="0.25">
      <c r="A766" t="s">
        <v>5</v>
      </c>
      <c r="B766" t="str">
        <f>"32136"</f>
        <v>32136</v>
      </c>
      <c r="C766" t="str">
        <f>"003"</f>
        <v>003</v>
      </c>
      <c r="D766">
        <v>2015</v>
      </c>
      <c r="E766">
        <v>80371500</v>
      </c>
      <c r="F766">
        <v>43009200</v>
      </c>
      <c r="G766" t="s">
        <v>11</v>
      </c>
      <c r="H766" t="s">
        <v>38</v>
      </c>
      <c r="I766" t="s">
        <v>13</v>
      </c>
      <c r="J766" t="s">
        <v>13</v>
      </c>
    </row>
    <row r="767" spans="1:11" x14ac:dyDescent="0.25">
      <c r="A767" t="s">
        <v>39</v>
      </c>
      <c r="B767" t="s">
        <v>13</v>
      </c>
      <c r="C767" t="s">
        <v>7</v>
      </c>
      <c r="D767" t="s">
        <v>8</v>
      </c>
      <c r="E767">
        <v>94976500</v>
      </c>
      <c r="F767">
        <v>54967200</v>
      </c>
      <c r="G767" t="s">
        <v>11</v>
      </c>
      <c r="H767">
        <v>771084100</v>
      </c>
      <c r="I767" t="s">
        <v>13</v>
      </c>
      <c r="J767" t="s">
        <v>13</v>
      </c>
      <c r="K767">
        <v>7.13</v>
      </c>
    </row>
    <row r="769" spans="1:11" x14ac:dyDescent="0.25">
      <c r="A769" t="s">
        <v>206</v>
      </c>
      <c r="B769" t="str">
        <f>"14236"</f>
        <v>14236</v>
      </c>
      <c r="C769" t="str">
        <f>"004"</f>
        <v>004</v>
      </c>
      <c r="D769">
        <v>2007</v>
      </c>
      <c r="E769">
        <v>12663100</v>
      </c>
      <c r="F769">
        <v>7700400</v>
      </c>
      <c r="G769" t="s">
        <v>11</v>
      </c>
      <c r="H769" t="s">
        <v>38</v>
      </c>
      <c r="I769" t="s">
        <v>13</v>
      </c>
      <c r="J769" t="s">
        <v>13</v>
      </c>
    </row>
    <row r="770" spans="1:11" x14ac:dyDescent="0.25">
      <c r="A770" t="s">
        <v>5</v>
      </c>
      <c r="B770" t="str">
        <f>"14236"</f>
        <v>14236</v>
      </c>
      <c r="C770" t="str">
        <f>"005"</f>
        <v>005</v>
      </c>
      <c r="D770">
        <v>2015</v>
      </c>
      <c r="E770">
        <v>32308600</v>
      </c>
      <c r="F770">
        <v>27906000</v>
      </c>
      <c r="G770" t="s">
        <v>11</v>
      </c>
      <c r="H770" t="s">
        <v>38</v>
      </c>
      <c r="I770" t="s">
        <v>13</v>
      </c>
      <c r="J770" t="s">
        <v>13</v>
      </c>
    </row>
    <row r="771" spans="1:11" x14ac:dyDescent="0.25">
      <c r="A771" t="s">
        <v>5</v>
      </c>
      <c r="B771" t="str">
        <f>"14236"</f>
        <v>14236</v>
      </c>
      <c r="C771" t="str">
        <f>"006"</f>
        <v>006</v>
      </c>
      <c r="D771">
        <v>2017</v>
      </c>
      <c r="E771">
        <v>14194500</v>
      </c>
      <c r="F771">
        <v>766700</v>
      </c>
      <c r="G771" t="s">
        <v>11</v>
      </c>
      <c r="H771" t="s">
        <v>38</v>
      </c>
      <c r="I771" t="s">
        <v>13</v>
      </c>
      <c r="J771" t="s">
        <v>13</v>
      </c>
    </row>
    <row r="772" spans="1:11" x14ac:dyDescent="0.25">
      <c r="A772" t="s">
        <v>39</v>
      </c>
      <c r="B772" t="s">
        <v>13</v>
      </c>
      <c r="C772" t="s">
        <v>7</v>
      </c>
      <c r="D772" t="s">
        <v>8</v>
      </c>
      <c r="E772">
        <v>59166200</v>
      </c>
      <c r="F772">
        <v>36373100</v>
      </c>
      <c r="G772" t="s">
        <v>11</v>
      </c>
      <c r="H772">
        <v>269420700</v>
      </c>
      <c r="I772" t="s">
        <v>13</v>
      </c>
      <c r="J772" t="s">
        <v>13</v>
      </c>
      <c r="K772">
        <v>13.5</v>
      </c>
    </row>
    <row r="774" spans="1:11" x14ac:dyDescent="0.25">
      <c r="A774" t="s">
        <v>207</v>
      </c>
      <c r="B774" t="str">
        <f>"44136"</f>
        <v>44136</v>
      </c>
      <c r="C774" t="str">
        <f>"003"</f>
        <v>003</v>
      </c>
      <c r="D774">
        <v>2013</v>
      </c>
      <c r="E774">
        <v>6651900</v>
      </c>
      <c r="F774">
        <v>6164200</v>
      </c>
      <c r="G774" t="s">
        <v>11</v>
      </c>
      <c r="H774" t="s">
        <v>38</v>
      </c>
      <c r="I774" t="s">
        <v>13</v>
      </c>
      <c r="J774" t="s">
        <v>13</v>
      </c>
    </row>
    <row r="775" spans="1:11" x14ac:dyDescent="0.25">
      <c r="A775" t="s">
        <v>5</v>
      </c>
      <c r="B775" t="str">
        <f>"44136"</f>
        <v>44136</v>
      </c>
      <c r="C775" t="str">
        <f>"004"</f>
        <v>004</v>
      </c>
      <c r="D775">
        <v>2017</v>
      </c>
      <c r="E775">
        <v>1803500</v>
      </c>
      <c r="F775">
        <v>1293200</v>
      </c>
      <c r="G775" t="s">
        <v>11</v>
      </c>
      <c r="H775" t="s">
        <v>38</v>
      </c>
      <c r="I775" t="s">
        <v>13</v>
      </c>
      <c r="J775" t="s">
        <v>13</v>
      </c>
    </row>
    <row r="776" spans="1:11" x14ac:dyDescent="0.25">
      <c r="A776" t="s">
        <v>5</v>
      </c>
      <c r="B776" t="str">
        <f>"44136"</f>
        <v>44136</v>
      </c>
      <c r="C776" t="str">
        <f>"005"</f>
        <v>005</v>
      </c>
      <c r="D776">
        <v>2017</v>
      </c>
      <c r="E776">
        <v>518400</v>
      </c>
      <c r="F776">
        <v>-4300</v>
      </c>
      <c r="G776" t="s">
        <v>49</v>
      </c>
      <c r="H776" t="s">
        <v>38</v>
      </c>
      <c r="I776" t="s">
        <v>13</v>
      </c>
      <c r="J776" t="s">
        <v>13</v>
      </c>
    </row>
    <row r="777" spans="1:11" x14ac:dyDescent="0.25">
      <c r="A777" t="s">
        <v>39</v>
      </c>
      <c r="B777" t="s">
        <v>13</v>
      </c>
      <c r="C777" t="s">
        <v>7</v>
      </c>
      <c r="D777" t="s">
        <v>8</v>
      </c>
      <c r="E777">
        <v>8973800</v>
      </c>
      <c r="F777">
        <v>7457400</v>
      </c>
      <c r="G777" t="s">
        <v>11</v>
      </c>
      <c r="H777">
        <v>218681900</v>
      </c>
      <c r="I777" t="s">
        <v>13</v>
      </c>
      <c r="J777" t="s">
        <v>13</v>
      </c>
      <c r="K777">
        <v>3.41</v>
      </c>
    </row>
    <row r="779" spans="1:11" x14ac:dyDescent="0.25">
      <c r="A779" t="s">
        <v>208</v>
      </c>
      <c r="B779" t="str">
        <f t="shared" ref="B779:B784" si="9">"05136"</f>
        <v>05136</v>
      </c>
      <c r="C779" t="str">
        <f>"003"</f>
        <v>003</v>
      </c>
      <c r="D779">
        <v>2006</v>
      </c>
      <c r="E779">
        <v>42146500</v>
      </c>
      <c r="F779">
        <v>25843700</v>
      </c>
      <c r="G779" t="s">
        <v>11</v>
      </c>
      <c r="H779" t="s">
        <v>38</v>
      </c>
      <c r="I779" t="s">
        <v>13</v>
      </c>
      <c r="J779" t="s">
        <v>13</v>
      </c>
    </row>
    <row r="780" spans="1:11" x14ac:dyDescent="0.25">
      <c r="A780" t="s">
        <v>5</v>
      </c>
      <c r="B780" t="str">
        <f t="shared" si="9"/>
        <v>05136</v>
      </c>
      <c r="C780" t="str">
        <f>"004"</f>
        <v>004</v>
      </c>
      <c r="D780">
        <v>2007</v>
      </c>
      <c r="E780">
        <v>105855300</v>
      </c>
      <c r="F780">
        <v>37699600</v>
      </c>
      <c r="G780" t="s">
        <v>11</v>
      </c>
      <c r="H780" t="s">
        <v>38</v>
      </c>
      <c r="I780" t="s">
        <v>13</v>
      </c>
      <c r="J780" t="s">
        <v>13</v>
      </c>
    </row>
    <row r="781" spans="1:11" x14ac:dyDescent="0.25">
      <c r="A781" t="s">
        <v>5</v>
      </c>
      <c r="B781" t="str">
        <f t="shared" si="9"/>
        <v>05136</v>
      </c>
      <c r="C781" t="str">
        <f>"005"</f>
        <v>005</v>
      </c>
      <c r="D781">
        <v>2008</v>
      </c>
      <c r="E781">
        <v>13599400</v>
      </c>
      <c r="F781">
        <v>3727000</v>
      </c>
      <c r="G781" t="s">
        <v>11</v>
      </c>
      <c r="H781" t="s">
        <v>38</v>
      </c>
      <c r="I781" t="s">
        <v>13</v>
      </c>
      <c r="J781" t="s">
        <v>13</v>
      </c>
    </row>
    <row r="782" spans="1:11" x14ac:dyDescent="0.25">
      <c r="A782" t="s">
        <v>5</v>
      </c>
      <c r="B782" t="str">
        <f t="shared" si="9"/>
        <v>05136</v>
      </c>
      <c r="C782" t="str">
        <f>"006"</f>
        <v>006</v>
      </c>
      <c r="D782">
        <v>2008</v>
      </c>
      <c r="E782">
        <v>35932400</v>
      </c>
      <c r="F782">
        <v>28002300</v>
      </c>
      <c r="G782" t="s">
        <v>11</v>
      </c>
      <c r="H782" t="s">
        <v>38</v>
      </c>
      <c r="I782" t="s">
        <v>13</v>
      </c>
      <c r="J782" t="s">
        <v>13</v>
      </c>
    </row>
    <row r="783" spans="1:11" x14ac:dyDescent="0.25">
      <c r="A783" t="s">
        <v>5</v>
      </c>
      <c r="B783" t="str">
        <f t="shared" si="9"/>
        <v>05136</v>
      </c>
      <c r="C783" t="str">
        <f>"007"</f>
        <v>007</v>
      </c>
      <c r="D783">
        <v>2012</v>
      </c>
      <c r="E783">
        <v>21650200</v>
      </c>
      <c r="F783">
        <v>3404500</v>
      </c>
      <c r="G783" t="s">
        <v>11</v>
      </c>
      <c r="H783" t="s">
        <v>38</v>
      </c>
      <c r="I783" t="s">
        <v>13</v>
      </c>
      <c r="J783" t="s">
        <v>13</v>
      </c>
    </row>
    <row r="784" spans="1:11" x14ac:dyDescent="0.25">
      <c r="A784" t="s">
        <v>5</v>
      </c>
      <c r="B784" t="str">
        <f t="shared" si="9"/>
        <v>05136</v>
      </c>
      <c r="C784" t="str">
        <f>"008"</f>
        <v>008</v>
      </c>
      <c r="D784">
        <v>2015</v>
      </c>
      <c r="E784">
        <v>31046500</v>
      </c>
      <c r="F784">
        <v>22668400</v>
      </c>
      <c r="G784" t="s">
        <v>11</v>
      </c>
      <c r="H784" t="s">
        <v>38</v>
      </c>
      <c r="I784" t="s">
        <v>13</v>
      </c>
      <c r="J784" t="s">
        <v>13</v>
      </c>
    </row>
    <row r="785" spans="1:11" x14ac:dyDescent="0.25">
      <c r="A785" t="s">
        <v>39</v>
      </c>
      <c r="B785" t="s">
        <v>13</v>
      </c>
      <c r="C785" t="s">
        <v>7</v>
      </c>
      <c r="D785" t="s">
        <v>8</v>
      </c>
      <c r="E785">
        <v>250230300</v>
      </c>
      <c r="F785">
        <v>121345500</v>
      </c>
      <c r="G785" t="s">
        <v>11</v>
      </c>
      <c r="H785">
        <v>1917535200</v>
      </c>
      <c r="I785" t="s">
        <v>13</v>
      </c>
      <c r="J785" t="s">
        <v>13</v>
      </c>
      <c r="K785">
        <v>6.33</v>
      </c>
    </row>
    <row r="787" spans="1:11" x14ac:dyDescent="0.25">
      <c r="A787" t="s">
        <v>209</v>
      </c>
      <c r="B787" t="str">
        <f>"59135"</f>
        <v>59135</v>
      </c>
      <c r="C787" t="str">
        <f>"001"</f>
        <v>001</v>
      </c>
      <c r="D787">
        <v>2005</v>
      </c>
      <c r="E787">
        <v>2579900</v>
      </c>
      <c r="F787">
        <v>786300</v>
      </c>
      <c r="G787" t="s">
        <v>11</v>
      </c>
      <c r="H787" t="s">
        <v>38</v>
      </c>
      <c r="I787" t="s">
        <v>13</v>
      </c>
      <c r="J787" t="s">
        <v>13</v>
      </c>
    </row>
    <row r="788" spans="1:11" x14ac:dyDescent="0.25">
      <c r="A788" t="s">
        <v>5</v>
      </c>
      <c r="B788" t="str">
        <f>"59135"</f>
        <v>59135</v>
      </c>
      <c r="C788" t="str">
        <f>"002"</f>
        <v>002</v>
      </c>
      <c r="D788">
        <v>2011</v>
      </c>
      <c r="E788">
        <v>3666900</v>
      </c>
      <c r="F788">
        <v>3594000</v>
      </c>
      <c r="G788" t="s">
        <v>11</v>
      </c>
      <c r="H788" t="s">
        <v>38</v>
      </c>
      <c r="I788" t="s">
        <v>13</v>
      </c>
      <c r="J788" t="s">
        <v>13</v>
      </c>
    </row>
    <row r="789" spans="1:11" x14ac:dyDescent="0.25">
      <c r="A789" t="s">
        <v>39</v>
      </c>
      <c r="B789" t="s">
        <v>13</v>
      </c>
      <c r="C789" t="s">
        <v>7</v>
      </c>
      <c r="D789" t="s">
        <v>8</v>
      </c>
      <c r="E789">
        <v>6246800</v>
      </c>
      <c r="F789">
        <v>4380300</v>
      </c>
      <c r="G789" t="s">
        <v>11</v>
      </c>
      <c r="H789">
        <v>267599300</v>
      </c>
      <c r="I789" t="s">
        <v>13</v>
      </c>
      <c r="J789" t="s">
        <v>13</v>
      </c>
      <c r="K789">
        <v>1.64</v>
      </c>
    </row>
    <row r="791" spans="1:11" x14ac:dyDescent="0.25">
      <c r="A791" t="s">
        <v>210</v>
      </c>
      <c r="B791" t="str">
        <f>"55236"</f>
        <v>55236</v>
      </c>
      <c r="C791" t="str">
        <f>"005"</f>
        <v>005</v>
      </c>
      <c r="D791">
        <v>2017</v>
      </c>
      <c r="E791">
        <v>17903200</v>
      </c>
      <c r="F791">
        <v>11580800</v>
      </c>
      <c r="G791" t="s">
        <v>11</v>
      </c>
      <c r="H791" t="s">
        <v>38</v>
      </c>
      <c r="I791" t="s">
        <v>13</v>
      </c>
      <c r="J791" t="s">
        <v>13</v>
      </c>
    </row>
    <row r="792" spans="1:11" x14ac:dyDescent="0.25">
      <c r="A792" t="s">
        <v>5</v>
      </c>
      <c r="B792" t="str">
        <f>"55236"</f>
        <v>55236</v>
      </c>
      <c r="C792" t="str">
        <f>"006"</f>
        <v>006</v>
      </c>
      <c r="D792">
        <v>2018</v>
      </c>
      <c r="E792">
        <v>110407400</v>
      </c>
      <c r="F792">
        <v>12532200</v>
      </c>
      <c r="G792" t="s">
        <v>11</v>
      </c>
      <c r="H792" t="s">
        <v>38</v>
      </c>
      <c r="I792" t="s">
        <v>13</v>
      </c>
      <c r="J792" t="s">
        <v>13</v>
      </c>
    </row>
    <row r="793" spans="1:11" x14ac:dyDescent="0.25">
      <c r="A793" t="s">
        <v>39</v>
      </c>
      <c r="B793" t="s">
        <v>13</v>
      </c>
      <c r="C793" t="s">
        <v>7</v>
      </c>
      <c r="D793" t="s">
        <v>8</v>
      </c>
      <c r="E793">
        <v>128310600</v>
      </c>
      <c r="F793">
        <v>24113000</v>
      </c>
      <c r="G793" t="s">
        <v>11</v>
      </c>
      <c r="H793">
        <v>2132731200</v>
      </c>
      <c r="I793" t="s">
        <v>13</v>
      </c>
      <c r="J793" t="s">
        <v>13</v>
      </c>
      <c r="K793">
        <v>1.1299999999999999</v>
      </c>
    </row>
    <row r="795" spans="1:11" x14ac:dyDescent="0.25">
      <c r="A795" t="s">
        <v>211</v>
      </c>
      <c r="B795" t="str">
        <f>"26236"</f>
        <v>26236</v>
      </c>
      <c r="C795" t="str">
        <f>"003"</f>
        <v>003</v>
      </c>
      <c r="D795">
        <v>1994</v>
      </c>
      <c r="E795">
        <v>5795000</v>
      </c>
      <c r="F795">
        <v>4616200</v>
      </c>
      <c r="G795" t="s">
        <v>11</v>
      </c>
      <c r="H795" t="s">
        <v>38</v>
      </c>
      <c r="I795" t="s">
        <v>13</v>
      </c>
      <c r="J795" t="s">
        <v>13</v>
      </c>
    </row>
    <row r="796" spans="1:11" x14ac:dyDescent="0.25">
      <c r="A796" t="s">
        <v>39</v>
      </c>
      <c r="B796" t="s">
        <v>13</v>
      </c>
      <c r="C796" t="s">
        <v>7</v>
      </c>
      <c r="D796" t="s">
        <v>8</v>
      </c>
      <c r="E796">
        <v>5795000</v>
      </c>
      <c r="F796">
        <v>4616200</v>
      </c>
      <c r="G796" t="s">
        <v>11</v>
      </c>
      <c r="H796">
        <v>65203500</v>
      </c>
      <c r="I796" t="s">
        <v>13</v>
      </c>
      <c r="J796" t="s">
        <v>13</v>
      </c>
      <c r="K796">
        <v>7.08</v>
      </c>
    </row>
    <row r="798" spans="1:11" x14ac:dyDescent="0.25">
      <c r="A798" t="s">
        <v>212</v>
      </c>
      <c r="B798" t="str">
        <f>"14136"</f>
        <v>14136</v>
      </c>
      <c r="C798" t="str">
        <f>"001"</f>
        <v>001</v>
      </c>
      <c r="D798">
        <v>2017</v>
      </c>
      <c r="E798">
        <v>6781700</v>
      </c>
      <c r="F798">
        <v>1369100</v>
      </c>
      <c r="G798" t="s">
        <v>11</v>
      </c>
      <c r="H798" t="s">
        <v>38</v>
      </c>
      <c r="I798" t="s">
        <v>13</v>
      </c>
      <c r="J798" t="s">
        <v>13</v>
      </c>
    </row>
    <row r="799" spans="1:11" x14ac:dyDescent="0.25">
      <c r="A799" t="s">
        <v>39</v>
      </c>
      <c r="B799" t="s">
        <v>13</v>
      </c>
      <c r="C799" t="s">
        <v>7</v>
      </c>
      <c r="D799" t="s">
        <v>8</v>
      </c>
      <c r="E799">
        <v>6781700</v>
      </c>
      <c r="F799">
        <v>1369100</v>
      </c>
      <c r="G799" t="s">
        <v>11</v>
      </c>
      <c r="H799">
        <v>78117400</v>
      </c>
      <c r="I799" t="s">
        <v>13</v>
      </c>
      <c r="J799" t="s">
        <v>13</v>
      </c>
      <c r="K799">
        <v>1.75</v>
      </c>
    </row>
    <row r="801" spans="1:11" x14ac:dyDescent="0.25">
      <c r="A801" t="s">
        <v>213</v>
      </c>
      <c r="B801" t="str">
        <f>"61241"</f>
        <v>61241</v>
      </c>
      <c r="C801" t="str">
        <f>"002"</f>
        <v>002</v>
      </c>
      <c r="D801">
        <v>2006</v>
      </c>
      <c r="E801">
        <v>8444100</v>
      </c>
      <c r="F801">
        <v>6436900</v>
      </c>
      <c r="G801" t="s">
        <v>11</v>
      </c>
      <c r="H801" t="s">
        <v>38</v>
      </c>
      <c r="I801" t="s">
        <v>13</v>
      </c>
      <c r="J801" t="s">
        <v>13</v>
      </c>
    </row>
    <row r="802" spans="1:11" x14ac:dyDescent="0.25">
      <c r="A802" t="s">
        <v>39</v>
      </c>
      <c r="B802" t="s">
        <v>13</v>
      </c>
      <c r="C802" t="s">
        <v>7</v>
      </c>
      <c r="D802" t="s">
        <v>8</v>
      </c>
      <c r="E802">
        <v>8444100</v>
      </c>
      <c r="F802">
        <v>6436900</v>
      </c>
      <c r="G802" t="s">
        <v>11</v>
      </c>
      <c r="H802">
        <v>94586400</v>
      </c>
      <c r="I802" t="s">
        <v>13</v>
      </c>
      <c r="J802" t="s">
        <v>13</v>
      </c>
      <c r="K802">
        <v>6.81</v>
      </c>
    </row>
    <row r="804" spans="1:11" x14ac:dyDescent="0.25">
      <c r="A804" t="s">
        <v>214</v>
      </c>
      <c r="B804" t="str">
        <f>"66141"</f>
        <v>66141</v>
      </c>
      <c r="C804" t="str">
        <f>"004"</f>
        <v>004</v>
      </c>
      <c r="D804">
        <v>1995</v>
      </c>
      <c r="E804">
        <v>46406600</v>
      </c>
      <c r="F804">
        <v>45760900</v>
      </c>
      <c r="G804" t="s">
        <v>11</v>
      </c>
      <c r="H804" t="s">
        <v>38</v>
      </c>
      <c r="I804" t="s">
        <v>13</v>
      </c>
      <c r="J804" t="s">
        <v>13</v>
      </c>
    </row>
    <row r="805" spans="1:11" x14ac:dyDescent="0.25">
      <c r="A805" t="s">
        <v>5</v>
      </c>
      <c r="B805" t="str">
        <f>"66141"</f>
        <v>66141</v>
      </c>
      <c r="C805" t="str">
        <f>"005"</f>
        <v>005</v>
      </c>
      <c r="D805">
        <v>2014</v>
      </c>
      <c r="E805">
        <v>7156400</v>
      </c>
      <c r="F805">
        <v>6223300</v>
      </c>
      <c r="G805" t="s">
        <v>11</v>
      </c>
      <c r="H805" t="s">
        <v>38</v>
      </c>
      <c r="I805" t="s">
        <v>13</v>
      </c>
      <c r="J805" t="s">
        <v>13</v>
      </c>
    </row>
    <row r="806" spans="1:11" x14ac:dyDescent="0.25">
      <c r="A806" t="s">
        <v>5</v>
      </c>
      <c r="B806" t="str">
        <f>"66141"</f>
        <v>66141</v>
      </c>
      <c r="C806" t="str">
        <f>"006"</f>
        <v>006</v>
      </c>
      <c r="D806">
        <v>2018</v>
      </c>
      <c r="E806">
        <v>2275200</v>
      </c>
      <c r="F806">
        <v>1800300</v>
      </c>
      <c r="G806" t="s">
        <v>11</v>
      </c>
      <c r="H806" t="s">
        <v>38</v>
      </c>
      <c r="I806" t="s">
        <v>13</v>
      </c>
      <c r="J806" t="s">
        <v>13</v>
      </c>
    </row>
    <row r="807" spans="1:11" x14ac:dyDescent="0.25">
      <c r="A807" t="s">
        <v>39</v>
      </c>
      <c r="B807" t="s">
        <v>13</v>
      </c>
      <c r="C807" t="s">
        <v>7</v>
      </c>
      <c r="D807" t="s">
        <v>8</v>
      </c>
      <c r="E807">
        <v>55838200</v>
      </c>
      <c r="F807">
        <v>53784500</v>
      </c>
      <c r="G807" t="s">
        <v>11</v>
      </c>
      <c r="H807">
        <v>732309800</v>
      </c>
      <c r="I807" t="s">
        <v>13</v>
      </c>
      <c r="J807" t="s">
        <v>13</v>
      </c>
      <c r="K807">
        <v>7.34</v>
      </c>
    </row>
    <row r="809" spans="1:11" x14ac:dyDescent="0.25">
      <c r="A809" t="s">
        <v>215</v>
      </c>
      <c r="B809" t="str">
        <f t="shared" ref="B809:B822" si="10">"53241"</f>
        <v>53241</v>
      </c>
      <c r="C809" t="str">
        <f>"017"</f>
        <v>017</v>
      </c>
      <c r="D809">
        <v>1997</v>
      </c>
      <c r="E809">
        <v>3043700</v>
      </c>
      <c r="F809">
        <v>1636200</v>
      </c>
      <c r="G809" t="s">
        <v>11</v>
      </c>
      <c r="H809" t="s">
        <v>38</v>
      </c>
      <c r="I809" t="s">
        <v>13</v>
      </c>
      <c r="J809" t="s">
        <v>13</v>
      </c>
    </row>
    <row r="810" spans="1:11" x14ac:dyDescent="0.25">
      <c r="A810" t="s">
        <v>5</v>
      </c>
      <c r="B810" t="str">
        <f t="shared" si="10"/>
        <v>53241</v>
      </c>
      <c r="C810" t="str">
        <f>"021"</f>
        <v>021</v>
      </c>
      <c r="D810">
        <v>1999</v>
      </c>
      <c r="E810">
        <v>11763700</v>
      </c>
      <c r="F810">
        <v>11761500</v>
      </c>
      <c r="G810" t="s">
        <v>11</v>
      </c>
      <c r="H810" t="s">
        <v>38</v>
      </c>
      <c r="I810" t="s">
        <v>13</v>
      </c>
      <c r="J810" t="s">
        <v>13</v>
      </c>
    </row>
    <row r="811" spans="1:11" x14ac:dyDescent="0.25">
      <c r="A811" t="s">
        <v>5</v>
      </c>
      <c r="B811" t="str">
        <f t="shared" si="10"/>
        <v>53241</v>
      </c>
      <c r="C811" t="str">
        <f>"022"</f>
        <v>022</v>
      </c>
      <c r="D811">
        <v>1999</v>
      </c>
      <c r="E811">
        <v>61496200</v>
      </c>
      <c r="F811">
        <v>55987700</v>
      </c>
      <c r="G811" t="s">
        <v>11</v>
      </c>
      <c r="H811" t="s">
        <v>38</v>
      </c>
      <c r="I811" t="s">
        <v>13</v>
      </c>
      <c r="J811" t="s">
        <v>13</v>
      </c>
    </row>
    <row r="812" spans="1:11" x14ac:dyDescent="0.25">
      <c r="A812" t="s">
        <v>5</v>
      </c>
      <c r="B812" t="str">
        <f t="shared" si="10"/>
        <v>53241</v>
      </c>
      <c r="C812" t="str">
        <f>"023"</f>
        <v>023</v>
      </c>
      <c r="D812">
        <v>2002</v>
      </c>
      <c r="E812">
        <v>7650700</v>
      </c>
      <c r="F812">
        <v>2677000</v>
      </c>
      <c r="G812" t="s">
        <v>11</v>
      </c>
      <c r="H812" t="s">
        <v>38</v>
      </c>
      <c r="I812" t="s">
        <v>13</v>
      </c>
      <c r="J812" t="s">
        <v>13</v>
      </c>
    </row>
    <row r="813" spans="1:11" x14ac:dyDescent="0.25">
      <c r="A813" t="s">
        <v>5</v>
      </c>
      <c r="B813" t="str">
        <f t="shared" si="10"/>
        <v>53241</v>
      </c>
      <c r="C813" t="str">
        <f>"025"</f>
        <v>025</v>
      </c>
      <c r="D813">
        <v>2003</v>
      </c>
      <c r="E813">
        <v>13958000</v>
      </c>
      <c r="F813">
        <v>13945100</v>
      </c>
      <c r="G813" t="s">
        <v>11</v>
      </c>
      <c r="H813" t="s">
        <v>38</v>
      </c>
      <c r="I813" t="s">
        <v>13</v>
      </c>
      <c r="J813" t="s">
        <v>13</v>
      </c>
    </row>
    <row r="814" spans="1:11" x14ac:dyDescent="0.25">
      <c r="A814" t="s">
        <v>5</v>
      </c>
      <c r="B814" t="str">
        <f t="shared" si="10"/>
        <v>53241</v>
      </c>
      <c r="C814" t="str">
        <f>"026"</f>
        <v>026</v>
      </c>
      <c r="D814">
        <v>2004</v>
      </c>
      <c r="E814">
        <v>48349900</v>
      </c>
      <c r="F814">
        <v>14706800</v>
      </c>
      <c r="G814" t="s">
        <v>11</v>
      </c>
      <c r="H814" t="s">
        <v>38</v>
      </c>
      <c r="I814" t="s">
        <v>13</v>
      </c>
      <c r="J814" t="s">
        <v>13</v>
      </c>
    </row>
    <row r="815" spans="1:11" x14ac:dyDescent="0.25">
      <c r="A815" t="s">
        <v>5</v>
      </c>
      <c r="B815" t="str">
        <f t="shared" si="10"/>
        <v>53241</v>
      </c>
      <c r="C815" t="str">
        <f>"027"</f>
        <v>027</v>
      </c>
      <c r="D815">
        <v>2003</v>
      </c>
      <c r="E815">
        <v>4339500</v>
      </c>
      <c r="F815">
        <v>274700</v>
      </c>
      <c r="G815" t="s">
        <v>11</v>
      </c>
      <c r="H815" t="s">
        <v>38</v>
      </c>
      <c r="I815" t="s">
        <v>13</v>
      </c>
      <c r="J815" t="s">
        <v>13</v>
      </c>
    </row>
    <row r="816" spans="1:11" x14ac:dyDescent="0.25">
      <c r="A816" t="s">
        <v>5</v>
      </c>
      <c r="B816" t="str">
        <f t="shared" si="10"/>
        <v>53241</v>
      </c>
      <c r="C816" t="str">
        <f>"028"</f>
        <v>028</v>
      </c>
      <c r="D816">
        <v>2006</v>
      </c>
      <c r="E816">
        <v>2489700</v>
      </c>
      <c r="F816">
        <v>18300</v>
      </c>
      <c r="G816" t="s">
        <v>11</v>
      </c>
      <c r="H816" t="s">
        <v>38</v>
      </c>
      <c r="I816" t="s">
        <v>13</v>
      </c>
      <c r="J816" t="s">
        <v>13</v>
      </c>
    </row>
    <row r="817" spans="1:11" x14ac:dyDescent="0.25">
      <c r="A817" t="s">
        <v>5</v>
      </c>
      <c r="B817" t="str">
        <f t="shared" si="10"/>
        <v>53241</v>
      </c>
      <c r="C817" t="str">
        <f>"029"</f>
        <v>029</v>
      </c>
      <c r="D817">
        <v>2007</v>
      </c>
      <c r="E817">
        <v>9151100</v>
      </c>
      <c r="F817">
        <v>2541000</v>
      </c>
      <c r="G817" t="s">
        <v>11</v>
      </c>
      <c r="H817" t="s">
        <v>38</v>
      </c>
      <c r="I817" t="s">
        <v>13</v>
      </c>
      <c r="J817" t="s">
        <v>13</v>
      </c>
    </row>
    <row r="818" spans="1:11" x14ac:dyDescent="0.25">
      <c r="A818" t="s">
        <v>5</v>
      </c>
      <c r="B818" t="str">
        <f t="shared" si="10"/>
        <v>53241</v>
      </c>
      <c r="C818" t="str">
        <f>"032"</f>
        <v>032</v>
      </c>
      <c r="D818">
        <v>2008</v>
      </c>
      <c r="E818">
        <v>117965200</v>
      </c>
      <c r="F818">
        <v>63130400</v>
      </c>
      <c r="G818" t="s">
        <v>11</v>
      </c>
      <c r="H818" t="s">
        <v>38</v>
      </c>
      <c r="I818" t="s">
        <v>13</v>
      </c>
      <c r="J818" t="s">
        <v>13</v>
      </c>
    </row>
    <row r="819" spans="1:11" x14ac:dyDescent="0.25">
      <c r="A819" t="s">
        <v>5</v>
      </c>
      <c r="B819" t="str">
        <f t="shared" si="10"/>
        <v>53241</v>
      </c>
      <c r="C819" t="str">
        <f>"033"</f>
        <v>033</v>
      </c>
      <c r="D819">
        <v>2008</v>
      </c>
      <c r="E819">
        <v>19024100</v>
      </c>
      <c r="F819">
        <v>11975600</v>
      </c>
      <c r="G819" t="s">
        <v>11</v>
      </c>
      <c r="H819" t="s">
        <v>38</v>
      </c>
      <c r="I819" t="s">
        <v>13</v>
      </c>
      <c r="J819" t="s">
        <v>13</v>
      </c>
    </row>
    <row r="820" spans="1:11" x14ac:dyDescent="0.25">
      <c r="A820" t="s">
        <v>5</v>
      </c>
      <c r="B820" t="str">
        <f t="shared" si="10"/>
        <v>53241</v>
      </c>
      <c r="C820" t="str">
        <f>"035"</f>
        <v>035</v>
      </c>
      <c r="D820">
        <v>2011</v>
      </c>
      <c r="E820">
        <v>83879600</v>
      </c>
      <c r="F820">
        <v>56149100</v>
      </c>
      <c r="G820" t="s">
        <v>11</v>
      </c>
      <c r="H820" t="s">
        <v>38</v>
      </c>
      <c r="I820" t="s">
        <v>13</v>
      </c>
      <c r="J820" t="s">
        <v>13</v>
      </c>
    </row>
    <row r="821" spans="1:11" x14ac:dyDescent="0.25">
      <c r="A821" t="s">
        <v>5</v>
      </c>
      <c r="B821" t="str">
        <f t="shared" si="10"/>
        <v>53241</v>
      </c>
      <c r="C821" t="str">
        <f>"036"</f>
        <v>036</v>
      </c>
      <c r="D821">
        <v>2016</v>
      </c>
      <c r="E821">
        <v>96046100</v>
      </c>
      <c r="F821">
        <v>7036500</v>
      </c>
      <c r="G821" t="s">
        <v>11</v>
      </c>
      <c r="H821" t="s">
        <v>38</v>
      </c>
      <c r="I821" t="s">
        <v>13</v>
      </c>
      <c r="J821" t="s">
        <v>13</v>
      </c>
    </row>
    <row r="822" spans="1:11" x14ac:dyDescent="0.25">
      <c r="A822" t="s">
        <v>5</v>
      </c>
      <c r="B822" t="str">
        <f t="shared" si="10"/>
        <v>53241</v>
      </c>
      <c r="C822" t="str">
        <f>"037"</f>
        <v>037</v>
      </c>
      <c r="D822">
        <v>2017</v>
      </c>
      <c r="E822">
        <v>20124100</v>
      </c>
      <c r="F822">
        <v>12863700</v>
      </c>
      <c r="G822" t="s">
        <v>11</v>
      </c>
      <c r="H822" t="s">
        <v>38</v>
      </c>
      <c r="I822" t="s">
        <v>13</v>
      </c>
      <c r="J822" t="s">
        <v>13</v>
      </c>
    </row>
    <row r="823" spans="1:11" x14ac:dyDescent="0.25">
      <c r="A823" t="s">
        <v>39</v>
      </c>
      <c r="B823" t="s">
        <v>13</v>
      </c>
      <c r="C823" t="s">
        <v>7</v>
      </c>
      <c r="D823" t="s">
        <v>8</v>
      </c>
      <c r="E823">
        <v>499281600</v>
      </c>
      <c r="F823">
        <v>254703600</v>
      </c>
      <c r="G823" t="s">
        <v>11</v>
      </c>
      <c r="H823">
        <v>5315922100</v>
      </c>
      <c r="I823" t="s">
        <v>13</v>
      </c>
      <c r="J823" t="s">
        <v>13</v>
      </c>
      <c r="K823">
        <v>4.79</v>
      </c>
    </row>
    <row r="825" spans="1:11" x14ac:dyDescent="0.25">
      <c r="A825" t="s">
        <v>216</v>
      </c>
      <c r="B825" t="str">
        <f>"28241"</f>
        <v>28241</v>
      </c>
      <c r="C825" t="str">
        <f>"004"</f>
        <v>004</v>
      </c>
      <c r="D825">
        <v>2000</v>
      </c>
      <c r="E825">
        <v>1626800</v>
      </c>
      <c r="F825">
        <v>1626800</v>
      </c>
      <c r="G825" t="s">
        <v>11</v>
      </c>
      <c r="H825" t="s">
        <v>38</v>
      </c>
      <c r="I825" t="s">
        <v>13</v>
      </c>
      <c r="J825" t="s">
        <v>13</v>
      </c>
    </row>
    <row r="826" spans="1:11" x14ac:dyDescent="0.25">
      <c r="A826" t="s">
        <v>5</v>
      </c>
      <c r="B826" t="str">
        <f>"28241"</f>
        <v>28241</v>
      </c>
      <c r="C826" t="str">
        <f>"005"</f>
        <v>005</v>
      </c>
      <c r="D826">
        <v>2001</v>
      </c>
      <c r="E826">
        <v>32552600</v>
      </c>
      <c r="F826">
        <v>11115300</v>
      </c>
      <c r="G826" t="s">
        <v>11</v>
      </c>
      <c r="H826" t="s">
        <v>38</v>
      </c>
      <c r="I826" t="s">
        <v>13</v>
      </c>
      <c r="J826" t="s">
        <v>13</v>
      </c>
    </row>
    <row r="827" spans="1:11" x14ac:dyDescent="0.25">
      <c r="A827" t="s">
        <v>5</v>
      </c>
      <c r="B827" t="str">
        <f>"28241"</f>
        <v>28241</v>
      </c>
      <c r="C827" t="str">
        <f>"006"</f>
        <v>006</v>
      </c>
      <c r="D827">
        <v>2009</v>
      </c>
      <c r="E827">
        <v>7673200</v>
      </c>
      <c r="F827">
        <v>7673200</v>
      </c>
      <c r="G827" t="s">
        <v>11</v>
      </c>
      <c r="H827" t="s">
        <v>38</v>
      </c>
      <c r="I827" t="s">
        <v>13</v>
      </c>
      <c r="J827" t="s">
        <v>13</v>
      </c>
    </row>
    <row r="828" spans="1:11" x14ac:dyDescent="0.25">
      <c r="A828" t="s">
        <v>5</v>
      </c>
      <c r="B828" t="str">
        <f>"28241"</f>
        <v>28241</v>
      </c>
      <c r="C828" t="str">
        <f>"007"</f>
        <v>007</v>
      </c>
      <c r="D828">
        <v>2012</v>
      </c>
      <c r="E828">
        <v>10370900</v>
      </c>
      <c r="F828">
        <v>10352700</v>
      </c>
      <c r="G828" t="s">
        <v>11</v>
      </c>
      <c r="H828" t="s">
        <v>38</v>
      </c>
      <c r="I828" t="s">
        <v>13</v>
      </c>
      <c r="J828" t="s">
        <v>13</v>
      </c>
    </row>
    <row r="829" spans="1:11" x14ac:dyDescent="0.25">
      <c r="A829" t="s">
        <v>5</v>
      </c>
      <c r="B829" t="str">
        <f>"28241"</f>
        <v>28241</v>
      </c>
      <c r="C829" t="str">
        <f>"008"</f>
        <v>008</v>
      </c>
      <c r="D829">
        <v>2015</v>
      </c>
      <c r="E829">
        <v>1596200</v>
      </c>
      <c r="F829">
        <v>723000</v>
      </c>
      <c r="G829" t="s">
        <v>11</v>
      </c>
      <c r="H829" t="s">
        <v>38</v>
      </c>
      <c r="I829" t="s">
        <v>13</v>
      </c>
      <c r="J829" t="s">
        <v>13</v>
      </c>
    </row>
    <row r="830" spans="1:11" x14ac:dyDescent="0.25">
      <c r="A830" t="s">
        <v>39</v>
      </c>
      <c r="B830" t="s">
        <v>13</v>
      </c>
      <c r="C830" t="s">
        <v>7</v>
      </c>
      <c r="D830" t="s">
        <v>8</v>
      </c>
      <c r="E830">
        <v>53819700</v>
      </c>
      <c r="F830">
        <v>31491000</v>
      </c>
      <c r="G830" t="s">
        <v>11</v>
      </c>
      <c r="H830">
        <v>573134000</v>
      </c>
      <c r="I830" t="s">
        <v>13</v>
      </c>
      <c r="J830" t="s">
        <v>13</v>
      </c>
      <c r="K830">
        <v>5.49</v>
      </c>
    </row>
    <row r="832" spans="1:11" x14ac:dyDescent="0.25">
      <c r="A832" t="s">
        <v>217</v>
      </c>
      <c r="B832" t="str">
        <f>"28141"</f>
        <v>28141</v>
      </c>
      <c r="C832" t="str">
        <f>"002"</f>
        <v>002</v>
      </c>
      <c r="D832">
        <v>1994</v>
      </c>
      <c r="E832">
        <v>78644000</v>
      </c>
      <c r="F832">
        <v>67265200</v>
      </c>
      <c r="G832" t="s">
        <v>11</v>
      </c>
      <c r="H832" t="s">
        <v>38</v>
      </c>
      <c r="I832" t="s">
        <v>13</v>
      </c>
      <c r="J832" t="s">
        <v>13</v>
      </c>
    </row>
    <row r="833" spans="1:11" x14ac:dyDescent="0.25">
      <c r="A833" t="s">
        <v>5</v>
      </c>
      <c r="B833" t="str">
        <f>"28141"</f>
        <v>28141</v>
      </c>
      <c r="C833" t="str">
        <f>"003"</f>
        <v>003</v>
      </c>
      <c r="D833">
        <v>1995</v>
      </c>
      <c r="E833">
        <v>64386600</v>
      </c>
      <c r="F833">
        <v>63685200</v>
      </c>
      <c r="G833" t="s">
        <v>11</v>
      </c>
      <c r="H833" t="s">
        <v>38</v>
      </c>
      <c r="I833" t="s">
        <v>13</v>
      </c>
      <c r="J833" t="s">
        <v>13</v>
      </c>
    </row>
    <row r="834" spans="1:11" x14ac:dyDescent="0.25">
      <c r="A834" t="s">
        <v>39</v>
      </c>
      <c r="B834" t="s">
        <v>13</v>
      </c>
      <c r="C834" t="s">
        <v>7</v>
      </c>
      <c r="D834" t="s">
        <v>8</v>
      </c>
      <c r="E834">
        <v>143030600</v>
      </c>
      <c r="F834">
        <v>130950400</v>
      </c>
      <c r="G834" t="s">
        <v>11</v>
      </c>
      <c r="H834">
        <v>372706900</v>
      </c>
      <c r="I834" t="s">
        <v>13</v>
      </c>
      <c r="J834" t="s">
        <v>13</v>
      </c>
      <c r="K834">
        <v>35.130000000000003</v>
      </c>
    </row>
    <row r="836" spans="1:11" x14ac:dyDescent="0.25">
      <c r="A836" t="s">
        <v>218</v>
      </c>
      <c r="B836" t="str">
        <f>"49141"</f>
        <v>49141</v>
      </c>
      <c r="C836" t="str">
        <f>"001"</f>
        <v>001</v>
      </c>
      <c r="D836">
        <v>2008</v>
      </c>
      <c r="E836">
        <v>2418400</v>
      </c>
      <c r="F836">
        <v>1073000</v>
      </c>
      <c r="G836" t="s">
        <v>11</v>
      </c>
      <c r="H836" t="s">
        <v>38</v>
      </c>
      <c r="I836" t="s">
        <v>13</v>
      </c>
      <c r="J836" t="s">
        <v>13</v>
      </c>
    </row>
    <row r="837" spans="1:11" x14ac:dyDescent="0.25">
      <c r="A837" t="s">
        <v>39</v>
      </c>
      <c r="B837" t="s">
        <v>13</v>
      </c>
      <c r="C837" t="s">
        <v>7</v>
      </c>
      <c r="D837" t="s">
        <v>8</v>
      </c>
      <c r="E837">
        <v>2418400</v>
      </c>
      <c r="F837">
        <v>1073000</v>
      </c>
      <c r="G837" t="s">
        <v>11</v>
      </c>
      <c r="H837">
        <v>19586900</v>
      </c>
      <c r="I837" t="s">
        <v>13</v>
      </c>
      <c r="J837" t="s">
        <v>13</v>
      </c>
      <c r="K837">
        <v>5.48</v>
      </c>
    </row>
    <row r="839" spans="1:11" x14ac:dyDescent="0.25">
      <c r="A839" t="s">
        <v>219</v>
      </c>
      <c r="B839" t="str">
        <f>"14241"</f>
        <v>14241</v>
      </c>
      <c r="C839" t="str">
        <f>"004"</f>
        <v>004</v>
      </c>
      <c r="D839">
        <v>2018</v>
      </c>
      <c r="E839">
        <v>7907600</v>
      </c>
      <c r="F839">
        <v>430500</v>
      </c>
      <c r="G839" t="s">
        <v>11</v>
      </c>
      <c r="H839" t="s">
        <v>38</v>
      </c>
      <c r="I839" t="s">
        <v>13</v>
      </c>
      <c r="J839" t="s">
        <v>13</v>
      </c>
    </row>
    <row r="840" spans="1:11" x14ac:dyDescent="0.25">
      <c r="A840" t="s">
        <v>39</v>
      </c>
      <c r="B840" t="s">
        <v>13</v>
      </c>
      <c r="C840" t="s">
        <v>7</v>
      </c>
      <c r="D840" t="s">
        <v>8</v>
      </c>
      <c r="E840">
        <v>7907600</v>
      </c>
      <c r="F840">
        <v>430500</v>
      </c>
      <c r="G840" t="s">
        <v>11</v>
      </c>
      <c r="H840">
        <v>115802500</v>
      </c>
      <c r="I840" t="s">
        <v>13</v>
      </c>
      <c r="J840" t="s">
        <v>13</v>
      </c>
      <c r="K840">
        <v>0.37</v>
      </c>
    </row>
    <row r="842" spans="1:11" x14ac:dyDescent="0.25">
      <c r="A842" t="s">
        <v>220</v>
      </c>
      <c r="B842" t="str">
        <f>"44241"</f>
        <v>44241</v>
      </c>
      <c r="C842" t="str">
        <f>"004"</f>
        <v>004</v>
      </c>
      <c r="D842">
        <v>2000</v>
      </c>
      <c r="E842">
        <v>19731500</v>
      </c>
      <c r="F842">
        <v>3682200</v>
      </c>
      <c r="G842" t="s">
        <v>11</v>
      </c>
      <c r="H842" t="s">
        <v>38</v>
      </c>
      <c r="I842" t="s">
        <v>13</v>
      </c>
      <c r="J842" t="s">
        <v>13</v>
      </c>
    </row>
    <row r="843" spans="1:11" x14ac:dyDescent="0.25">
      <c r="A843" t="s">
        <v>5</v>
      </c>
      <c r="B843" t="str">
        <f>"44241"</f>
        <v>44241</v>
      </c>
      <c r="C843" t="str">
        <f>"005"</f>
        <v>005</v>
      </c>
      <c r="D843">
        <v>2003</v>
      </c>
      <c r="E843">
        <v>4234800</v>
      </c>
      <c r="F843">
        <v>3156900</v>
      </c>
      <c r="G843" t="s">
        <v>11</v>
      </c>
      <c r="H843" t="s">
        <v>38</v>
      </c>
      <c r="I843" t="s">
        <v>13</v>
      </c>
      <c r="J843" t="s">
        <v>13</v>
      </c>
    </row>
    <row r="844" spans="1:11" x14ac:dyDescent="0.25">
      <c r="A844" t="s">
        <v>5</v>
      </c>
      <c r="B844" t="str">
        <f>"44241"</f>
        <v>44241</v>
      </c>
      <c r="C844" t="str">
        <f>"006"</f>
        <v>006</v>
      </c>
      <c r="D844">
        <v>2006</v>
      </c>
      <c r="E844">
        <v>42272300</v>
      </c>
      <c r="F844">
        <v>39120600</v>
      </c>
      <c r="G844" t="s">
        <v>11</v>
      </c>
      <c r="H844" t="s">
        <v>38</v>
      </c>
      <c r="I844" t="s">
        <v>13</v>
      </c>
      <c r="J844" t="s">
        <v>13</v>
      </c>
    </row>
    <row r="845" spans="1:11" x14ac:dyDescent="0.25">
      <c r="A845" t="s">
        <v>5</v>
      </c>
      <c r="B845" t="str">
        <f>"44241"</f>
        <v>44241</v>
      </c>
      <c r="C845" t="str">
        <f>"008"</f>
        <v>008</v>
      </c>
      <c r="D845">
        <v>2013</v>
      </c>
      <c r="E845">
        <v>8075800</v>
      </c>
      <c r="F845">
        <v>5504600</v>
      </c>
      <c r="G845" t="s">
        <v>11</v>
      </c>
      <c r="H845" t="s">
        <v>38</v>
      </c>
      <c r="I845" t="s">
        <v>13</v>
      </c>
      <c r="J845" t="s">
        <v>13</v>
      </c>
    </row>
    <row r="846" spans="1:11" x14ac:dyDescent="0.25">
      <c r="A846" t="s">
        <v>5</v>
      </c>
      <c r="B846" t="str">
        <f>"44241"</f>
        <v>44241</v>
      </c>
      <c r="C846" t="str">
        <f>"009"</f>
        <v>009</v>
      </c>
      <c r="D846">
        <v>2016</v>
      </c>
      <c r="E846">
        <v>2218400</v>
      </c>
      <c r="F846">
        <v>911800</v>
      </c>
      <c r="G846" t="s">
        <v>11</v>
      </c>
      <c r="H846" t="s">
        <v>38</v>
      </c>
      <c r="I846" t="s">
        <v>13</v>
      </c>
      <c r="J846" t="s">
        <v>13</v>
      </c>
    </row>
    <row r="847" spans="1:11" x14ac:dyDescent="0.25">
      <c r="A847" t="s">
        <v>39</v>
      </c>
      <c r="B847" t="s">
        <v>13</v>
      </c>
      <c r="C847" t="s">
        <v>7</v>
      </c>
      <c r="D847" t="s">
        <v>8</v>
      </c>
      <c r="E847">
        <v>76532800</v>
      </c>
      <c r="F847">
        <v>52376100</v>
      </c>
      <c r="G847" t="s">
        <v>11</v>
      </c>
      <c r="H847">
        <v>1153793700</v>
      </c>
      <c r="I847" t="s">
        <v>13</v>
      </c>
      <c r="J847" t="s">
        <v>13</v>
      </c>
      <c r="K847">
        <v>4.54</v>
      </c>
    </row>
    <row r="849" spans="1:11" x14ac:dyDescent="0.25">
      <c r="A849" t="s">
        <v>221</v>
      </c>
      <c r="B849" t="str">
        <f>"36132"</f>
        <v>36132</v>
      </c>
      <c r="C849" t="str">
        <f>"001"</f>
        <v>001</v>
      </c>
      <c r="D849">
        <v>2003</v>
      </c>
      <c r="E849">
        <v>1278200</v>
      </c>
      <c r="F849">
        <v>494600</v>
      </c>
      <c r="G849" t="s">
        <v>11</v>
      </c>
      <c r="H849" t="s">
        <v>38</v>
      </c>
      <c r="I849" t="s">
        <v>13</v>
      </c>
      <c r="J849" t="s">
        <v>13</v>
      </c>
    </row>
    <row r="850" spans="1:11" x14ac:dyDescent="0.25">
      <c r="A850" t="s">
        <v>39</v>
      </c>
      <c r="B850" t="s">
        <v>13</v>
      </c>
      <c r="C850" t="s">
        <v>7</v>
      </c>
      <c r="D850" t="s">
        <v>8</v>
      </c>
      <c r="E850">
        <v>1278200</v>
      </c>
      <c r="F850">
        <v>494600</v>
      </c>
      <c r="G850" t="s">
        <v>11</v>
      </c>
      <c r="H850">
        <v>14370800</v>
      </c>
      <c r="I850" t="s">
        <v>13</v>
      </c>
      <c r="J850" t="s">
        <v>13</v>
      </c>
      <c r="K850">
        <v>3.44</v>
      </c>
    </row>
    <row r="852" spans="1:11" x14ac:dyDescent="0.25">
      <c r="A852" t="s">
        <v>222</v>
      </c>
      <c r="B852" t="str">
        <f t="shared" ref="B852:B873" si="11">"30241"</f>
        <v>30241</v>
      </c>
      <c r="C852" t="str">
        <f>"001"</f>
        <v>001</v>
      </c>
      <c r="D852">
        <v>1979</v>
      </c>
      <c r="E852">
        <v>78665600</v>
      </c>
      <c r="F852">
        <v>76392600</v>
      </c>
      <c r="G852" t="s">
        <v>11</v>
      </c>
      <c r="H852" t="s">
        <v>38</v>
      </c>
      <c r="I852" t="s">
        <v>13</v>
      </c>
      <c r="J852" t="s">
        <v>13</v>
      </c>
    </row>
    <row r="853" spans="1:11" x14ac:dyDescent="0.25">
      <c r="A853" t="s">
        <v>5</v>
      </c>
      <c r="B853" t="str">
        <f t="shared" si="11"/>
        <v>30241</v>
      </c>
      <c r="C853" t="str">
        <f>"004"</f>
        <v>004</v>
      </c>
      <c r="D853">
        <v>1989</v>
      </c>
      <c r="E853">
        <v>118874000</v>
      </c>
      <c r="F853">
        <v>102700700</v>
      </c>
      <c r="G853" t="s">
        <v>11</v>
      </c>
      <c r="H853" t="s">
        <v>38</v>
      </c>
      <c r="I853" t="s">
        <v>13</v>
      </c>
      <c r="J853" t="s">
        <v>13</v>
      </c>
    </row>
    <row r="854" spans="1:11" x14ac:dyDescent="0.25">
      <c r="A854" t="s">
        <v>5</v>
      </c>
      <c r="B854" t="str">
        <f t="shared" si="11"/>
        <v>30241</v>
      </c>
      <c r="C854" t="str">
        <f>"005"</f>
        <v>005</v>
      </c>
      <c r="D854">
        <v>1994</v>
      </c>
      <c r="E854">
        <v>108183000</v>
      </c>
      <c r="F854">
        <v>107863300</v>
      </c>
      <c r="G854" t="s">
        <v>11</v>
      </c>
      <c r="H854" t="s">
        <v>38</v>
      </c>
      <c r="I854" t="s">
        <v>13</v>
      </c>
      <c r="J854" t="s">
        <v>13</v>
      </c>
    </row>
    <row r="855" spans="1:11" x14ac:dyDescent="0.25">
      <c r="A855" t="s">
        <v>5</v>
      </c>
      <c r="B855" t="str">
        <f t="shared" si="11"/>
        <v>30241</v>
      </c>
      <c r="C855" t="str">
        <f>"006"</f>
        <v>006</v>
      </c>
      <c r="D855">
        <v>1997</v>
      </c>
      <c r="E855">
        <v>17516000</v>
      </c>
      <c r="F855">
        <v>13799800</v>
      </c>
      <c r="G855" t="s">
        <v>11</v>
      </c>
      <c r="H855" t="s">
        <v>38</v>
      </c>
      <c r="I855" t="s">
        <v>13</v>
      </c>
      <c r="J855" t="s">
        <v>13</v>
      </c>
    </row>
    <row r="856" spans="1:11" x14ac:dyDescent="0.25">
      <c r="A856" t="s">
        <v>5</v>
      </c>
      <c r="B856" t="str">
        <f t="shared" si="11"/>
        <v>30241</v>
      </c>
      <c r="C856" t="str">
        <f>"007"</f>
        <v>007</v>
      </c>
      <c r="D856">
        <v>2002</v>
      </c>
      <c r="E856">
        <v>11569000</v>
      </c>
      <c r="F856">
        <v>10390400</v>
      </c>
      <c r="G856" t="s">
        <v>11</v>
      </c>
      <c r="H856" t="s">
        <v>38</v>
      </c>
      <c r="I856" t="s">
        <v>13</v>
      </c>
      <c r="J856" t="s">
        <v>13</v>
      </c>
    </row>
    <row r="857" spans="1:11" x14ac:dyDescent="0.25">
      <c r="A857" t="s">
        <v>5</v>
      </c>
      <c r="B857" t="str">
        <f t="shared" si="11"/>
        <v>30241</v>
      </c>
      <c r="C857" t="str">
        <f>"008"</f>
        <v>008</v>
      </c>
      <c r="D857">
        <v>2002</v>
      </c>
      <c r="E857">
        <v>66907400</v>
      </c>
      <c r="F857">
        <v>66661500</v>
      </c>
      <c r="G857" t="s">
        <v>11</v>
      </c>
      <c r="H857" t="s">
        <v>38</v>
      </c>
      <c r="I857" t="s">
        <v>13</v>
      </c>
      <c r="J857" t="s">
        <v>13</v>
      </c>
    </row>
    <row r="858" spans="1:11" x14ac:dyDescent="0.25">
      <c r="A858" t="s">
        <v>5</v>
      </c>
      <c r="B858" t="str">
        <f t="shared" si="11"/>
        <v>30241</v>
      </c>
      <c r="C858" t="str">
        <f>"009"</f>
        <v>009</v>
      </c>
      <c r="D858">
        <v>2003</v>
      </c>
      <c r="E858">
        <v>64854600</v>
      </c>
      <c r="F858">
        <v>40315900</v>
      </c>
      <c r="G858" t="s">
        <v>11</v>
      </c>
      <c r="H858" t="s">
        <v>38</v>
      </c>
      <c r="I858" t="s">
        <v>13</v>
      </c>
      <c r="J858" t="s">
        <v>13</v>
      </c>
    </row>
    <row r="859" spans="1:11" x14ac:dyDescent="0.25">
      <c r="A859" t="s">
        <v>5</v>
      </c>
      <c r="B859" t="str">
        <f t="shared" si="11"/>
        <v>30241</v>
      </c>
      <c r="C859" t="str">
        <f>"010"</f>
        <v>010</v>
      </c>
      <c r="D859">
        <v>2005</v>
      </c>
      <c r="E859">
        <v>15591000</v>
      </c>
      <c r="F859">
        <v>3293300</v>
      </c>
      <c r="G859" t="s">
        <v>11</v>
      </c>
      <c r="H859" t="s">
        <v>38</v>
      </c>
      <c r="I859" t="s">
        <v>13</v>
      </c>
      <c r="J859" t="s">
        <v>13</v>
      </c>
    </row>
    <row r="860" spans="1:11" x14ac:dyDescent="0.25">
      <c r="A860" t="s">
        <v>5</v>
      </c>
      <c r="B860" t="str">
        <f t="shared" si="11"/>
        <v>30241</v>
      </c>
      <c r="C860" t="str">
        <f>"011"</f>
        <v>011</v>
      </c>
      <c r="D860">
        <v>2006</v>
      </c>
      <c r="E860">
        <v>107437100</v>
      </c>
      <c r="F860">
        <v>104563800</v>
      </c>
      <c r="G860" t="s">
        <v>11</v>
      </c>
      <c r="H860" t="s">
        <v>38</v>
      </c>
      <c r="I860" t="s">
        <v>13</v>
      </c>
      <c r="J860" t="s">
        <v>13</v>
      </c>
    </row>
    <row r="861" spans="1:11" x14ac:dyDescent="0.25">
      <c r="A861" t="s">
        <v>5</v>
      </c>
      <c r="B861" t="str">
        <f t="shared" si="11"/>
        <v>30241</v>
      </c>
      <c r="C861" t="str">
        <f>"013"</f>
        <v>013</v>
      </c>
      <c r="D861">
        <v>2008</v>
      </c>
      <c r="E861">
        <v>56520300</v>
      </c>
      <c r="F861">
        <v>55895200</v>
      </c>
      <c r="G861" t="s">
        <v>11</v>
      </c>
      <c r="H861" t="s">
        <v>38</v>
      </c>
      <c r="I861" t="s">
        <v>13</v>
      </c>
      <c r="J861" t="s">
        <v>13</v>
      </c>
    </row>
    <row r="862" spans="1:11" x14ac:dyDescent="0.25">
      <c r="A862" t="s">
        <v>5</v>
      </c>
      <c r="B862" t="str">
        <f t="shared" si="11"/>
        <v>30241</v>
      </c>
      <c r="C862" t="str">
        <f>"015"</f>
        <v>015</v>
      </c>
      <c r="D862">
        <v>2013</v>
      </c>
      <c r="E862">
        <v>1261900</v>
      </c>
      <c r="F862">
        <v>970400</v>
      </c>
      <c r="G862" t="s">
        <v>11</v>
      </c>
      <c r="H862" t="s">
        <v>38</v>
      </c>
      <c r="I862" t="s">
        <v>13</v>
      </c>
      <c r="J862" t="s">
        <v>13</v>
      </c>
    </row>
    <row r="863" spans="1:11" x14ac:dyDescent="0.25">
      <c r="A863" t="s">
        <v>5</v>
      </c>
      <c r="B863" t="str">
        <f t="shared" si="11"/>
        <v>30241</v>
      </c>
      <c r="C863" t="str">
        <f>"016"</f>
        <v>016</v>
      </c>
      <c r="D863">
        <v>2013</v>
      </c>
      <c r="E863">
        <v>160535300</v>
      </c>
      <c r="F863">
        <v>158963400</v>
      </c>
      <c r="G863" t="s">
        <v>11</v>
      </c>
      <c r="H863" t="s">
        <v>38</v>
      </c>
      <c r="I863" t="s">
        <v>13</v>
      </c>
      <c r="J863" t="s">
        <v>13</v>
      </c>
    </row>
    <row r="864" spans="1:11" x14ac:dyDescent="0.25">
      <c r="A864" t="s">
        <v>5</v>
      </c>
      <c r="B864" t="str">
        <f t="shared" si="11"/>
        <v>30241</v>
      </c>
      <c r="C864" t="str">
        <f>"017"</f>
        <v>017</v>
      </c>
      <c r="D864">
        <v>2014</v>
      </c>
      <c r="E864">
        <v>9278000</v>
      </c>
      <c r="F864">
        <v>9227100</v>
      </c>
      <c r="G864" t="s">
        <v>11</v>
      </c>
      <c r="H864" t="s">
        <v>38</v>
      </c>
      <c r="I864" t="s">
        <v>13</v>
      </c>
      <c r="J864" t="s">
        <v>13</v>
      </c>
    </row>
    <row r="865" spans="1:11" x14ac:dyDescent="0.25">
      <c r="A865" t="s">
        <v>5</v>
      </c>
      <c r="B865" t="str">
        <f t="shared" si="11"/>
        <v>30241</v>
      </c>
      <c r="C865" t="str">
        <f>"018"</f>
        <v>018</v>
      </c>
      <c r="D865">
        <v>2015</v>
      </c>
      <c r="E865">
        <v>14852200</v>
      </c>
      <c r="F865">
        <v>14669900</v>
      </c>
      <c r="G865" t="s">
        <v>11</v>
      </c>
      <c r="H865" t="s">
        <v>38</v>
      </c>
      <c r="I865" t="s">
        <v>13</v>
      </c>
      <c r="J865" t="s">
        <v>13</v>
      </c>
    </row>
    <row r="866" spans="1:11" x14ac:dyDescent="0.25">
      <c r="A866" t="s">
        <v>5</v>
      </c>
      <c r="B866" t="str">
        <f t="shared" si="11"/>
        <v>30241</v>
      </c>
      <c r="C866" t="str">
        <f>"019"</f>
        <v>019</v>
      </c>
      <c r="D866">
        <v>2017</v>
      </c>
      <c r="E866">
        <v>358400</v>
      </c>
      <c r="F866">
        <v>-42500</v>
      </c>
      <c r="G866" t="s">
        <v>49</v>
      </c>
      <c r="H866" t="s">
        <v>38</v>
      </c>
      <c r="I866" t="s">
        <v>13</v>
      </c>
      <c r="J866" t="s">
        <v>13</v>
      </c>
    </row>
    <row r="867" spans="1:11" x14ac:dyDescent="0.25">
      <c r="A867" t="s">
        <v>5</v>
      </c>
      <c r="B867" t="str">
        <f t="shared" si="11"/>
        <v>30241</v>
      </c>
      <c r="C867" t="str">
        <f>"020"</f>
        <v>020</v>
      </c>
      <c r="D867">
        <v>2017</v>
      </c>
      <c r="E867">
        <v>11967400</v>
      </c>
      <c r="F867">
        <v>11963400</v>
      </c>
      <c r="G867" t="s">
        <v>11</v>
      </c>
      <c r="H867" t="s">
        <v>38</v>
      </c>
      <c r="I867" t="s">
        <v>13</v>
      </c>
      <c r="J867" t="s">
        <v>13</v>
      </c>
    </row>
    <row r="868" spans="1:11" x14ac:dyDescent="0.25">
      <c r="A868" t="s">
        <v>5</v>
      </c>
      <c r="B868" t="str">
        <f t="shared" si="11"/>
        <v>30241</v>
      </c>
      <c r="C868" t="str">
        <f>"021"</f>
        <v>021</v>
      </c>
      <c r="D868">
        <v>2017</v>
      </c>
      <c r="E868">
        <v>12111900</v>
      </c>
      <c r="F868">
        <v>12092500</v>
      </c>
      <c r="G868" t="s">
        <v>11</v>
      </c>
      <c r="H868" t="s">
        <v>38</v>
      </c>
      <c r="I868" t="s">
        <v>13</v>
      </c>
      <c r="J868" t="s">
        <v>13</v>
      </c>
    </row>
    <row r="869" spans="1:11" x14ac:dyDescent="0.25">
      <c r="A869" t="s">
        <v>5</v>
      </c>
      <c r="B869" t="str">
        <f t="shared" si="11"/>
        <v>30241</v>
      </c>
      <c r="C869" t="str">
        <f>"022"</f>
        <v>022</v>
      </c>
      <c r="D869">
        <v>2018</v>
      </c>
      <c r="E869">
        <v>16107000</v>
      </c>
      <c r="F869">
        <v>1254600</v>
      </c>
      <c r="G869" t="s">
        <v>11</v>
      </c>
      <c r="H869" t="s">
        <v>38</v>
      </c>
      <c r="I869" t="s">
        <v>13</v>
      </c>
      <c r="J869" t="s">
        <v>13</v>
      </c>
    </row>
    <row r="870" spans="1:11" x14ac:dyDescent="0.25">
      <c r="A870" t="s">
        <v>5</v>
      </c>
      <c r="B870" t="str">
        <f t="shared" si="11"/>
        <v>30241</v>
      </c>
      <c r="C870" t="str">
        <f>"023"</f>
        <v>023</v>
      </c>
      <c r="D870">
        <v>2018</v>
      </c>
      <c r="E870">
        <v>0</v>
      </c>
      <c r="F870">
        <v>0</v>
      </c>
      <c r="G870" t="s">
        <v>11</v>
      </c>
      <c r="H870" t="s">
        <v>38</v>
      </c>
      <c r="I870" t="s">
        <v>13</v>
      </c>
      <c r="J870" t="s">
        <v>13</v>
      </c>
    </row>
    <row r="871" spans="1:11" x14ac:dyDescent="0.25">
      <c r="A871" t="s">
        <v>5</v>
      </c>
      <c r="B871" t="str">
        <f t="shared" si="11"/>
        <v>30241</v>
      </c>
      <c r="C871" t="str">
        <f>"024"</f>
        <v>024</v>
      </c>
      <c r="D871">
        <v>2018</v>
      </c>
      <c r="E871">
        <v>0</v>
      </c>
      <c r="F871">
        <v>0</v>
      </c>
      <c r="G871" t="s">
        <v>11</v>
      </c>
      <c r="H871" t="s">
        <v>38</v>
      </c>
      <c r="I871" t="s">
        <v>13</v>
      </c>
      <c r="J871" t="s">
        <v>13</v>
      </c>
    </row>
    <row r="872" spans="1:11" x14ac:dyDescent="0.25">
      <c r="A872" t="s">
        <v>5</v>
      </c>
      <c r="B872" t="str">
        <f t="shared" si="11"/>
        <v>30241</v>
      </c>
      <c r="C872" t="str">
        <f>"025"</f>
        <v>025</v>
      </c>
      <c r="D872">
        <v>2018</v>
      </c>
      <c r="E872">
        <v>132100</v>
      </c>
      <c r="F872">
        <v>10300</v>
      </c>
      <c r="G872" t="s">
        <v>11</v>
      </c>
      <c r="H872" t="s">
        <v>38</v>
      </c>
      <c r="I872" t="s">
        <v>13</v>
      </c>
      <c r="J872" t="s">
        <v>13</v>
      </c>
    </row>
    <row r="873" spans="1:11" x14ac:dyDescent="0.25">
      <c r="A873" t="s">
        <v>5</v>
      </c>
      <c r="B873" t="str">
        <f t="shared" si="11"/>
        <v>30241</v>
      </c>
      <c r="C873" t="str">
        <f>"026"</f>
        <v>026</v>
      </c>
      <c r="D873">
        <v>2018</v>
      </c>
      <c r="E873">
        <v>5026800</v>
      </c>
      <c r="F873">
        <v>391600</v>
      </c>
      <c r="G873" t="s">
        <v>11</v>
      </c>
      <c r="H873" t="s">
        <v>38</v>
      </c>
      <c r="I873" t="s">
        <v>13</v>
      </c>
      <c r="J873" t="s">
        <v>13</v>
      </c>
    </row>
    <row r="874" spans="1:11" x14ac:dyDescent="0.25">
      <c r="A874" t="s">
        <v>39</v>
      </c>
      <c r="B874" t="s">
        <v>13</v>
      </c>
      <c r="C874" t="s">
        <v>7</v>
      </c>
      <c r="D874" t="s">
        <v>8</v>
      </c>
      <c r="E874">
        <v>877749000</v>
      </c>
      <c r="F874">
        <v>791419700</v>
      </c>
      <c r="G874" t="s">
        <v>11</v>
      </c>
      <c r="H874">
        <v>7280422000</v>
      </c>
      <c r="I874" t="s">
        <v>13</v>
      </c>
      <c r="J874" t="s">
        <v>13</v>
      </c>
      <c r="K874">
        <v>10.87</v>
      </c>
    </row>
    <row r="876" spans="1:11" x14ac:dyDescent="0.25">
      <c r="A876" t="s">
        <v>223</v>
      </c>
      <c r="B876" t="str">
        <f>"66142"</f>
        <v>66142</v>
      </c>
      <c r="C876" t="str">
        <f>"002"</f>
        <v>002</v>
      </c>
      <c r="D876">
        <v>2005</v>
      </c>
      <c r="E876">
        <v>25996600</v>
      </c>
      <c r="F876">
        <v>23127900</v>
      </c>
      <c r="G876" t="s">
        <v>11</v>
      </c>
      <c r="H876" t="s">
        <v>38</v>
      </c>
      <c r="I876" t="s">
        <v>13</v>
      </c>
      <c r="J876" t="s">
        <v>13</v>
      </c>
    </row>
    <row r="877" spans="1:11" x14ac:dyDescent="0.25">
      <c r="A877" t="s">
        <v>39</v>
      </c>
      <c r="B877" t="s">
        <v>13</v>
      </c>
      <c r="C877" t="s">
        <v>7</v>
      </c>
      <c r="D877" t="s">
        <v>8</v>
      </c>
      <c r="E877">
        <v>25996600</v>
      </c>
      <c r="F877">
        <v>23127900</v>
      </c>
      <c r="G877" t="s">
        <v>11</v>
      </c>
      <c r="H877">
        <v>342958500</v>
      </c>
      <c r="I877" t="s">
        <v>13</v>
      </c>
      <c r="J877" t="s">
        <v>13</v>
      </c>
      <c r="K877">
        <v>6.74</v>
      </c>
    </row>
    <row r="879" spans="1:11" x14ac:dyDescent="0.25">
      <c r="A879" t="s">
        <v>224</v>
      </c>
      <c r="B879" t="str">
        <f>"31241"</f>
        <v>31241</v>
      </c>
      <c r="C879" t="str">
        <f>"002"</f>
        <v>002</v>
      </c>
      <c r="D879">
        <v>1994</v>
      </c>
      <c r="E879">
        <v>7001600</v>
      </c>
      <c r="F879">
        <v>6602600</v>
      </c>
      <c r="G879" t="s">
        <v>11</v>
      </c>
      <c r="H879" t="s">
        <v>38</v>
      </c>
      <c r="I879" t="s">
        <v>13</v>
      </c>
      <c r="J879" t="s">
        <v>13</v>
      </c>
    </row>
    <row r="880" spans="1:11" x14ac:dyDescent="0.25">
      <c r="A880" t="s">
        <v>39</v>
      </c>
      <c r="B880" t="s">
        <v>13</v>
      </c>
      <c r="C880" t="s">
        <v>7</v>
      </c>
      <c r="D880" t="s">
        <v>8</v>
      </c>
      <c r="E880">
        <v>7001600</v>
      </c>
      <c r="F880">
        <v>6602600</v>
      </c>
      <c r="G880" t="s">
        <v>11</v>
      </c>
      <c r="H880">
        <v>171763600</v>
      </c>
      <c r="I880" t="s">
        <v>13</v>
      </c>
      <c r="J880" t="s">
        <v>13</v>
      </c>
      <c r="K880">
        <v>3.84</v>
      </c>
    </row>
    <row r="882" spans="1:11" x14ac:dyDescent="0.25">
      <c r="A882" t="s">
        <v>225</v>
      </c>
      <c r="B882" t="str">
        <f>"36241"</f>
        <v>36241</v>
      </c>
      <c r="C882" t="str">
        <f>"004"</f>
        <v>004</v>
      </c>
      <c r="D882">
        <v>2011</v>
      </c>
      <c r="E882">
        <v>27166700</v>
      </c>
      <c r="F882">
        <v>23469600</v>
      </c>
      <c r="G882" t="s">
        <v>11</v>
      </c>
      <c r="H882" t="s">
        <v>38</v>
      </c>
      <c r="I882" t="s">
        <v>13</v>
      </c>
      <c r="J882" t="s">
        <v>13</v>
      </c>
    </row>
    <row r="883" spans="1:11" x14ac:dyDescent="0.25">
      <c r="A883" t="s">
        <v>5</v>
      </c>
      <c r="B883" t="str">
        <f>"08241"</f>
        <v>08241</v>
      </c>
      <c r="C883" t="str">
        <f>"005"</f>
        <v>005</v>
      </c>
      <c r="D883">
        <v>2014</v>
      </c>
      <c r="E883">
        <v>30727900</v>
      </c>
      <c r="F883">
        <v>19792900</v>
      </c>
      <c r="G883" t="s">
        <v>11</v>
      </c>
      <c r="H883" t="s">
        <v>38</v>
      </c>
      <c r="I883" t="s">
        <v>13</v>
      </c>
      <c r="J883" t="s">
        <v>13</v>
      </c>
    </row>
    <row r="884" spans="1:11" x14ac:dyDescent="0.25">
      <c r="A884" t="s">
        <v>39</v>
      </c>
      <c r="B884" t="s">
        <v>13</v>
      </c>
      <c r="C884" t="s">
        <v>7</v>
      </c>
      <c r="D884" t="s">
        <v>8</v>
      </c>
      <c r="E884">
        <v>57894600</v>
      </c>
      <c r="F884">
        <v>43262500</v>
      </c>
      <c r="G884" t="s">
        <v>11</v>
      </c>
      <c r="H884">
        <v>319787900</v>
      </c>
      <c r="I884" t="s">
        <v>13</v>
      </c>
      <c r="J884" t="s">
        <v>13</v>
      </c>
      <c r="K884">
        <v>13.53</v>
      </c>
    </row>
    <row r="886" spans="1:11" x14ac:dyDescent="0.25">
      <c r="A886" t="s">
        <v>226</v>
      </c>
      <c r="B886" t="str">
        <f>"44141"</f>
        <v>44141</v>
      </c>
      <c r="C886" t="str">
        <f>"004"</f>
        <v>004</v>
      </c>
      <c r="D886">
        <v>2005</v>
      </c>
      <c r="E886">
        <v>10763000</v>
      </c>
      <c r="F886">
        <v>9984800</v>
      </c>
      <c r="G886" t="s">
        <v>11</v>
      </c>
      <c r="H886" t="s">
        <v>38</v>
      </c>
      <c r="I886" t="s">
        <v>13</v>
      </c>
      <c r="J886" t="s">
        <v>13</v>
      </c>
    </row>
    <row r="887" spans="1:11" x14ac:dyDescent="0.25">
      <c r="A887" t="s">
        <v>5</v>
      </c>
      <c r="B887" t="str">
        <f>"44141"</f>
        <v>44141</v>
      </c>
      <c r="C887" t="str">
        <f>"005"</f>
        <v>005</v>
      </c>
      <c r="D887">
        <v>2008</v>
      </c>
      <c r="E887">
        <v>46716300</v>
      </c>
      <c r="F887">
        <v>35371200</v>
      </c>
      <c r="G887" t="s">
        <v>11</v>
      </c>
      <c r="H887" t="s">
        <v>38</v>
      </c>
      <c r="I887" t="s">
        <v>13</v>
      </c>
      <c r="J887" t="s">
        <v>13</v>
      </c>
    </row>
    <row r="888" spans="1:11" x14ac:dyDescent="0.25">
      <c r="A888" t="s">
        <v>5</v>
      </c>
      <c r="B888" t="str">
        <f>"44141"</f>
        <v>44141</v>
      </c>
      <c r="C888" t="str">
        <f>"006"</f>
        <v>006</v>
      </c>
      <c r="D888">
        <v>2016</v>
      </c>
      <c r="E888">
        <v>22246500</v>
      </c>
      <c r="F888">
        <v>8328000</v>
      </c>
      <c r="G888" t="s">
        <v>11</v>
      </c>
      <c r="H888" t="s">
        <v>38</v>
      </c>
      <c r="I888" t="s">
        <v>13</v>
      </c>
      <c r="J888" t="s">
        <v>13</v>
      </c>
    </row>
    <row r="889" spans="1:11" x14ac:dyDescent="0.25">
      <c r="A889" t="s">
        <v>39</v>
      </c>
      <c r="B889" t="s">
        <v>13</v>
      </c>
      <c r="C889" t="s">
        <v>7</v>
      </c>
      <c r="D889" t="s">
        <v>8</v>
      </c>
      <c r="E889">
        <v>79725800</v>
      </c>
      <c r="F889">
        <v>53684000</v>
      </c>
      <c r="G889" t="s">
        <v>11</v>
      </c>
      <c r="H889">
        <v>561813100</v>
      </c>
      <c r="I889" t="s">
        <v>13</v>
      </c>
      <c r="J889" t="s">
        <v>13</v>
      </c>
      <c r="K889">
        <v>9.56</v>
      </c>
    </row>
    <row r="891" spans="1:11" x14ac:dyDescent="0.25">
      <c r="A891" t="s">
        <v>227</v>
      </c>
      <c r="B891" t="str">
        <f>"17141"</f>
        <v>17141</v>
      </c>
      <c r="C891" t="str">
        <f>"002"</f>
        <v>002</v>
      </c>
      <c r="D891">
        <v>1997</v>
      </c>
      <c r="E891">
        <v>2194600</v>
      </c>
      <c r="F891">
        <v>508600</v>
      </c>
      <c r="G891" t="s">
        <v>11</v>
      </c>
      <c r="H891" t="s">
        <v>38</v>
      </c>
      <c r="I891" t="s">
        <v>13</v>
      </c>
      <c r="J891" t="s">
        <v>13</v>
      </c>
    </row>
    <row r="892" spans="1:11" x14ac:dyDescent="0.25">
      <c r="A892" t="s">
        <v>5</v>
      </c>
      <c r="B892" t="str">
        <f>"17141"</f>
        <v>17141</v>
      </c>
      <c r="C892" t="str">
        <f>"003"</f>
        <v>003</v>
      </c>
      <c r="D892">
        <v>2005</v>
      </c>
      <c r="E892">
        <v>3084000</v>
      </c>
      <c r="F892">
        <v>2882800</v>
      </c>
      <c r="G892" t="s">
        <v>11</v>
      </c>
      <c r="H892" t="s">
        <v>38</v>
      </c>
      <c r="I892" t="s">
        <v>13</v>
      </c>
      <c r="J892" t="s">
        <v>13</v>
      </c>
    </row>
    <row r="893" spans="1:11" x14ac:dyDescent="0.25">
      <c r="A893" t="s">
        <v>39</v>
      </c>
      <c r="B893" t="s">
        <v>13</v>
      </c>
      <c r="C893" t="s">
        <v>7</v>
      </c>
      <c r="D893" t="s">
        <v>8</v>
      </c>
      <c r="E893">
        <v>5278600</v>
      </c>
      <c r="F893">
        <v>3391400</v>
      </c>
      <c r="G893" t="s">
        <v>11</v>
      </c>
      <c r="H893">
        <v>23748100</v>
      </c>
      <c r="I893" t="s">
        <v>13</v>
      </c>
      <c r="J893" t="s">
        <v>13</v>
      </c>
      <c r="K893">
        <v>14.28</v>
      </c>
    </row>
    <row r="895" spans="1:11" x14ac:dyDescent="0.25">
      <c r="A895" t="s">
        <v>228</v>
      </c>
      <c r="B895" t="str">
        <f>"37145"</f>
        <v>37145</v>
      </c>
      <c r="C895" t="str">
        <f>"001"</f>
        <v>001</v>
      </c>
      <c r="D895">
        <v>2005</v>
      </c>
      <c r="E895">
        <v>18144700</v>
      </c>
      <c r="F895">
        <v>15882400</v>
      </c>
      <c r="G895" t="s">
        <v>11</v>
      </c>
      <c r="H895" t="s">
        <v>38</v>
      </c>
      <c r="I895" t="s">
        <v>13</v>
      </c>
      <c r="J895" t="s">
        <v>13</v>
      </c>
    </row>
    <row r="896" spans="1:11" x14ac:dyDescent="0.25">
      <c r="A896" t="s">
        <v>5</v>
      </c>
      <c r="B896" t="str">
        <f>"37145"</f>
        <v>37145</v>
      </c>
      <c r="C896" t="str">
        <f>"002"</f>
        <v>002</v>
      </c>
      <c r="D896">
        <v>2005</v>
      </c>
      <c r="E896">
        <v>44429200</v>
      </c>
      <c r="F896">
        <v>39030600</v>
      </c>
      <c r="G896" t="s">
        <v>11</v>
      </c>
      <c r="H896" t="s">
        <v>38</v>
      </c>
      <c r="I896" t="s">
        <v>13</v>
      </c>
      <c r="J896" t="s">
        <v>13</v>
      </c>
    </row>
    <row r="897" spans="1:11" x14ac:dyDescent="0.25">
      <c r="A897" t="s">
        <v>5</v>
      </c>
      <c r="B897" t="str">
        <f>"37145"</f>
        <v>37145</v>
      </c>
      <c r="C897" t="str">
        <f>"003"</f>
        <v>003</v>
      </c>
      <c r="D897">
        <v>2005</v>
      </c>
      <c r="E897">
        <v>1136700</v>
      </c>
      <c r="F897">
        <v>731600</v>
      </c>
      <c r="G897" t="s">
        <v>11</v>
      </c>
      <c r="H897" t="s">
        <v>38</v>
      </c>
      <c r="I897" t="s">
        <v>13</v>
      </c>
      <c r="J897" t="s">
        <v>13</v>
      </c>
    </row>
    <row r="898" spans="1:11" x14ac:dyDescent="0.25">
      <c r="A898" t="s">
        <v>5</v>
      </c>
      <c r="B898" t="str">
        <f>"37145"</f>
        <v>37145</v>
      </c>
      <c r="C898" t="str">
        <f>"004"</f>
        <v>004</v>
      </c>
      <c r="D898">
        <v>2005</v>
      </c>
      <c r="E898">
        <v>5141400</v>
      </c>
      <c r="F898">
        <v>5034800</v>
      </c>
      <c r="G898" t="s">
        <v>11</v>
      </c>
      <c r="H898" t="s">
        <v>38</v>
      </c>
      <c r="I898" t="s">
        <v>13</v>
      </c>
      <c r="J898" t="s">
        <v>13</v>
      </c>
    </row>
    <row r="899" spans="1:11" x14ac:dyDescent="0.25">
      <c r="A899" t="s">
        <v>39</v>
      </c>
      <c r="B899" t="s">
        <v>13</v>
      </c>
      <c r="C899" t="s">
        <v>7</v>
      </c>
      <c r="D899" t="s">
        <v>8</v>
      </c>
      <c r="E899">
        <v>68852000</v>
      </c>
      <c r="F899">
        <v>60679400</v>
      </c>
      <c r="G899" t="s">
        <v>11</v>
      </c>
      <c r="H899">
        <v>653682400</v>
      </c>
      <c r="I899" t="s">
        <v>13</v>
      </c>
      <c r="J899" t="s">
        <v>13</v>
      </c>
      <c r="K899">
        <v>9.2799999999999994</v>
      </c>
    </row>
    <row r="901" spans="1:11" x14ac:dyDescent="0.25">
      <c r="A901" t="s">
        <v>229</v>
      </c>
      <c r="B901" t="str">
        <f t="shared" ref="B901:B910" si="12">"32246"</f>
        <v>32246</v>
      </c>
      <c r="C901" t="str">
        <f>"006"</f>
        <v>006</v>
      </c>
      <c r="D901">
        <v>1994</v>
      </c>
      <c r="E901">
        <v>97635100</v>
      </c>
      <c r="F901">
        <v>63750300</v>
      </c>
      <c r="G901" t="s">
        <v>11</v>
      </c>
      <c r="H901" t="s">
        <v>38</v>
      </c>
      <c r="I901" t="s">
        <v>13</v>
      </c>
      <c r="J901" t="s">
        <v>13</v>
      </c>
    </row>
    <row r="902" spans="1:11" x14ac:dyDescent="0.25">
      <c r="A902" t="s">
        <v>5</v>
      </c>
      <c r="B902" t="str">
        <f t="shared" si="12"/>
        <v>32246</v>
      </c>
      <c r="C902" t="str">
        <f>"007"</f>
        <v>007</v>
      </c>
      <c r="D902">
        <v>1997</v>
      </c>
      <c r="E902">
        <v>26654000</v>
      </c>
      <c r="F902">
        <v>11653200</v>
      </c>
      <c r="G902" t="s">
        <v>11</v>
      </c>
      <c r="H902" t="s">
        <v>38</v>
      </c>
      <c r="I902" t="s">
        <v>13</v>
      </c>
      <c r="J902" t="s">
        <v>13</v>
      </c>
    </row>
    <row r="903" spans="1:11" x14ac:dyDescent="0.25">
      <c r="A903" t="s">
        <v>5</v>
      </c>
      <c r="B903" t="str">
        <f t="shared" si="12"/>
        <v>32246</v>
      </c>
      <c r="C903" t="str">
        <f>"010"</f>
        <v>010</v>
      </c>
      <c r="D903">
        <v>2003</v>
      </c>
      <c r="E903">
        <v>9237600</v>
      </c>
      <c r="F903">
        <v>6697500</v>
      </c>
      <c r="G903" t="s">
        <v>11</v>
      </c>
      <c r="H903" t="s">
        <v>38</v>
      </c>
      <c r="I903" t="s">
        <v>13</v>
      </c>
      <c r="J903" t="s">
        <v>13</v>
      </c>
    </row>
    <row r="904" spans="1:11" x14ac:dyDescent="0.25">
      <c r="A904" t="s">
        <v>5</v>
      </c>
      <c r="B904" t="str">
        <f t="shared" si="12"/>
        <v>32246</v>
      </c>
      <c r="C904" t="str">
        <f>"011"</f>
        <v>011</v>
      </c>
      <c r="D904">
        <v>2005</v>
      </c>
      <c r="E904">
        <v>281828700</v>
      </c>
      <c r="F904">
        <v>148872900</v>
      </c>
      <c r="G904" t="s">
        <v>11</v>
      </c>
      <c r="H904" t="s">
        <v>38</v>
      </c>
      <c r="I904" t="s">
        <v>13</v>
      </c>
      <c r="J904" t="s">
        <v>13</v>
      </c>
    </row>
    <row r="905" spans="1:11" x14ac:dyDescent="0.25">
      <c r="A905" t="s">
        <v>5</v>
      </c>
      <c r="B905" t="str">
        <f t="shared" si="12"/>
        <v>32246</v>
      </c>
      <c r="C905" t="str">
        <f>"012"</f>
        <v>012</v>
      </c>
      <c r="D905">
        <v>2005</v>
      </c>
      <c r="E905">
        <v>39810500</v>
      </c>
      <c r="F905">
        <v>20446700</v>
      </c>
      <c r="G905" t="s">
        <v>11</v>
      </c>
      <c r="H905" t="s">
        <v>38</v>
      </c>
      <c r="I905" t="s">
        <v>13</v>
      </c>
      <c r="J905" t="s">
        <v>13</v>
      </c>
    </row>
    <row r="906" spans="1:11" x14ac:dyDescent="0.25">
      <c r="A906" t="s">
        <v>5</v>
      </c>
      <c r="B906" t="str">
        <f t="shared" si="12"/>
        <v>32246</v>
      </c>
      <c r="C906" t="str">
        <f>"013"</f>
        <v>013</v>
      </c>
      <c r="D906">
        <v>2006</v>
      </c>
      <c r="E906">
        <v>121834500</v>
      </c>
      <c r="F906">
        <v>68136100</v>
      </c>
      <c r="G906" t="s">
        <v>11</v>
      </c>
      <c r="H906" t="s">
        <v>38</v>
      </c>
      <c r="I906" t="s">
        <v>13</v>
      </c>
      <c r="J906" t="s">
        <v>13</v>
      </c>
    </row>
    <row r="907" spans="1:11" x14ac:dyDescent="0.25">
      <c r="A907" t="s">
        <v>5</v>
      </c>
      <c r="B907" t="str">
        <f t="shared" si="12"/>
        <v>32246</v>
      </c>
      <c r="C907" t="str">
        <f>"014"</f>
        <v>014</v>
      </c>
      <c r="D907">
        <v>2006</v>
      </c>
      <c r="E907">
        <v>118910100</v>
      </c>
      <c r="F907">
        <v>58162800</v>
      </c>
      <c r="G907" t="s">
        <v>11</v>
      </c>
      <c r="H907" t="s">
        <v>38</v>
      </c>
      <c r="I907" t="s">
        <v>13</v>
      </c>
      <c r="J907" t="s">
        <v>13</v>
      </c>
    </row>
    <row r="908" spans="1:11" x14ac:dyDescent="0.25">
      <c r="A908" t="s">
        <v>5</v>
      </c>
      <c r="B908" t="str">
        <f t="shared" si="12"/>
        <v>32246</v>
      </c>
      <c r="C908" t="str">
        <f>"015"</f>
        <v>015</v>
      </c>
      <c r="D908">
        <v>2013</v>
      </c>
      <c r="E908">
        <v>95109700</v>
      </c>
      <c r="F908">
        <v>32307700</v>
      </c>
      <c r="G908" t="s">
        <v>11</v>
      </c>
      <c r="H908" t="s">
        <v>38</v>
      </c>
      <c r="I908" t="s">
        <v>13</v>
      </c>
      <c r="J908" t="s">
        <v>13</v>
      </c>
    </row>
    <row r="909" spans="1:11" x14ac:dyDescent="0.25">
      <c r="A909" t="s">
        <v>5</v>
      </c>
      <c r="B909" t="str">
        <f t="shared" si="12"/>
        <v>32246</v>
      </c>
      <c r="C909" t="str">
        <f>"016"</f>
        <v>016</v>
      </c>
      <c r="D909">
        <v>2014</v>
      </c>
      <c r="E909">
        <v>24749300</v>
      </c>
      <c r="F909">
        <v>6662000</v>
      </c>
      <c r="G909" t="s">
        <v>11</v>
      </c>
      <c r="H909" t="s">
        <v>38</v>
      </c>
      <c r="I909" t="s">
        <v>13</v>
      </c>
      <c r="J909" t="s">
        <v>13</v>
      </c>
    </row>
    <row r="910" spans="1:11" x14ac:dyDescent="0.25">
      <c r="A910" t="s">
        <v>5</v>
      </c>
      <c r="B910" t="str">
        <f t="shared" si="12"/>
        <v>32246</v>
      </c>
      <c r="C910" t="str">
        <f>"017"</f>
        <v>017</v>
      </c>
      <c r="D910">
        <v>2015</v>
      </c>
      <c r="E910">
        <v>74051100</v>
      </c>
      <c r="F910">
        <v>62306500</v>
      </c>
      <c r="G910" t="s">
        <v>11</v>
      </c>
      <c r="H910" t="s">
        <v>38</v>
      </c>
      <c r="I910" t="s">
        <v>13</v>
      </c>
      <c r="J910" t="s">
        <v>13</v>
      </c>
    </row>
    <row r="911" spans="1:11" x14ac:dyDescent="0.25">
      <c r="A911" t="s">
        <v>39</v>
      </c>
      <c r="B911" t="s">
        <v>13</v>
      </c>
      <c r="C911" t="s">
        <v>7</v>
      </c>
      <c r="D911" t="s">
        <v>8</v>
      </c>
      <c r="E911">
        <v>889820600</v>
      </c>
      <c r="F911">
        <v>478995700</v>
      </c>
      <c r="G911" t="s">
        <v>11</v>
      </c>
      <c r="H911">
        <v>4022713300</v>
      </c>
      <c r="I911" t="s">
        <v>13</v>
      </c>
      <c r="J911" t="s">
        <v>13</v>
      </c>
      <c r="K911">
        <v>11.91</v>
      </c>
    </row>
    <row r="913" spans="1:11" x14ac:dyDescent="0.25">
      <c r="A913" t="s">
        <v>230</v>
      </c>
      <c r="B913" t="str">
        <f>"62146"</f>
        <v>62146</v>
      </c>
      <c r="C913" t="str">
        <f>"001"</f>
        <v>001</v>
      </c>
      <c r="D913">
        <v>2003</v>
      </c>
      <c r="E913">
        <v>10488200</v>
      </c>
      <c r="F913">
        <v>10369900</v>
      </c>
      <c r="G913" t="s">
        <v>11</v>
      </c>
      <c r="H913" t="s">
        <v>38</v>
      </c>
      <c r="I913" t="s">
        <v>13</v>
      </c>
      <c r="J913" t="s">
        <v>13</v>
      </c>
    </row>
    <row r="914" spans="1:11" x14ac:dyDescent="0.25">
      <c r="A914" t="s">
        <v>39</v>
      </c>
      <c r="B914" t="s">
        <v>13</v>
      </c>
      <c r="C914" t="s">
        <v>7</v>
      </c>
      <c r="D914" t="s">
        <v>8</v>
      </c>
      <c r="E914">
        <v>10488200</v>
      </c>
      <c r="F914">
        <v>10369900</v>
      </c>
      <c r="G914" t="s">
        <v>11</v>
      </c>
      <c r="H914">
        <v>36485900</v>
      </c>
      <c r="I914" t="s">
        <v>13</v>
      </c>
      <c r="J914" t="s">
        <v>13</v>
      </c>
      <c r="K914">
        <v>28.42</v>
      </c>
    </row>
    <row r="916" spans="1:11" x14ac:dyDescent="0.25">
      <c r="A916" t="s">
        <v>231</v>
      </c>
      <c r="B916" t="str">
        <f>"54246"</f>
        <v>54246</v>
      </c>
      <c r="C916" t="str">
        <f>"005"</f>
        <v>005</v>
      </c>
      <c r="D916">
        <v>1997</v>
      </c>
      <c r="E916">
        <v>4627900</v>
      </c>
      <c r="F916">
        <v>1665900</v>
      </c>
      <c r="G916" t="s">
        <v>11</v>
      </c>
      <c r="H916" t="s">
        <v>38</v>
      </c>
      <c r="I916" t="s">
        <v>13</v>
      </c>
      <c r="J916" t="s">
        <v>13</v>
      </c>
    </row>
    <row r="917" spans="1:11" x14ac:dyDescent="0.25">
      <c r="A917" t="s">
        <v>5</v>
      </c>
      <c r="B917" t="str">
        <f>"54246"</f>
        <v>54246</v>
      </c>
      <c r="C917" t="str">
        <f>"008"</f>
        <v>008</v>
      </c>
      <c r="D917">
        <v>2003</v>
      </c>
      <c r="E917">
        <v>5847000</v>
      </c>
      <c r="F917">
        <v>4987000</v>
      </c>
      <c r="G917" t="s">
        <v>11</v>
      </c>
      <c r="H917" t="s">
        <v>38</v>
      </c>
      <c r="I917" t="s">
        <v>13</v>
      </c>
      <c r="J917" t="s">
        <v>13</v>
      </c>
    </row>
    <row r="918" spans="1:11" x14ac:dyDescent="0.25">
      <c r="A918" t="s">
        <v>5</v>
      </c>
      <c r="B918" t="str">
        <f>"54246"</f>
        <v>54246</v>
      </c>
      <c r="C918" t="str">
        <f>"009"</f>
        <v>009</v>
      </c>
      <c r="D918">
        <v>2006</v>
      </c>
      <c r="E918">
        <v>10001800</v>
      </c>
      <c r="F918">
        <v>7118200</v>
      </c>
      <c r="G918" t="s">
        <v>11</v>
      </c>
      <c r="H918" t="s">
        <v>38</v>
      </c>
      <c r="I918" t="s">
        <v>13</v>
      </c>
      <c r="J918" t="s">
        <v>13</v>
      </c>
    </row>
    <row r="919" spans="1:11" x14ac:dyDescent="0.25">
      <c r="A919" t="s">
        <v>5</v>
      </c>
      <c r="B919" t="str">
        <f>"54246"</f>
        <v>54246</v>
      </c>
      <c r="C919" t="str">
        <f>"010"</f>
        <v>010</v>
      </c>
      <c r="D919">
        <v>2007</v>
      </c>
      <c r="E919">
        <v>1867900</v>
      </c>
      <c r="F919">
        <v>1464400</v>
      </c>
      <c r="G919" t="s">
        <v>11</v>
      </c>
      <c r="H919" t="s">
        <v>38</v>
      </c>
      <c r="I919" t="s">
        <v>13</v>
      </c>
      <c r="J919" t="s">
        <v>13</v>
      </c>
    </row>
    <row r="920" spans="1:11" x14ac:dyDescent="0.25">
      <c r="A920" t="s">
        <v>5</v>
      </c>
      <c r="B920" t="str">
        <f>"54246"</f>
        <v>54246</v>
      </c>
      <c r="C920" t="str">
        <f>"011"</f>
        <v>011</v>
      </c>
      <c r="D920">
        <v>2011</v>
      </c>
      <c r="E920">
        <v>7823200</v>
      </c>
      <c r="F920">
        <v>7793000</v>
      </c>
      <c r="G920" t="s">
        <v>11</v>
      </c>
      <c r="H920" t="s">
        <v>38</v>
      </c>
      <c r="I920" t="s">
        <v>13</v>
      </c>
      <c r="J920" t="s">
        <v>13</v>
      </c>
    </row>
    <row r="921" spans="1:11" x14ac:dyDescent="0.25">
      <c r="A921" t="s">
        <v>39</v>
      </c>
      <c r="B921" t="s">
        <v>13</v>
      </c>
      <c r="C921" t="s">
        <v>7</v>
      </c>
      <c r="D921" t="s">
        <v>8</v>
      </c>
      <c r="E921">
        <v>30167800</v>
      </c>
      <c r="F921">
        <v>23028500</v>
      </c>
      <c r="G921" t="s">
        <v>11</v>
      </c>
      <c r="H921">
        <v>167092300</v>
      </c>
      <c r="I921" t="s">
        <v>13</v>
      </c>
      <c r="J921" t="s">
        <v>13</v>
      </c>
      <c r="K921">
        <v>13.78</v>
      </c>
    </row>
    <row r="923" spans="1:11" x14ac:dyDescent="0.25">
      <c r="A923" t="s">
        <v>232</v>
      </c>
      <c r="B923" t="str">
        <f>"56146"</f>
        <v>56146</v>
      </c>
      <c r="C923" t="str">
        <f>"002"</f>
        <v>002</v>
      </c>
      <c r="D923">
        <v>2000</v>
      </c>
      <c r="E923">
        <v>97752600</v>
      </c>
      <c r="F923">
        <v>61384000</v>
      </c>
      <c r="G923" t="s">
        <v>11</v>
      </c>
      <c r="H923" t="s">
        <v>38</v>
      </c>
      <c r="I923" t="s">
        <v>13</v>
      </c>
      <c r="J923" t="s">
        <v>13</v>
      </c>
    </row>
    <row r="924" spans="1:11" x14ac:dyDescent="0.25">
      <c r="A924" t="s">
        <v>5</v>
      </c>
      <c r="B924" t="str">
        <f>"56146"</f>
        <v>56146</v>
      </c>
      <c r="C924" t="str">
        <f>"003"</f>
        <v>003</v>
      </c>
      <c r="D924">
        <v>2005</v>
      </c>
      <c r="E924">
        <v>347044500</v>
      </c>
      <c r="F924">
        <v>303080800</v>
      </c>
      <c r="G924" t="s">
        <v>11</v>
      </c>
      <c r="H924" t="s">
        <v>38</v>
      </c>
      <c r="I924" t="s">
        <v>13</v>
      </c>
      <c r="J924" t="s">
        <v>13</v>
      </c>
    </row>
    <row r="925" spans="1:11" x14ac:dyDescent="0.25">
      <c r="A925" t="s">
        <v>5</v>
      </c>
      <c r="B925" t="str">
        <f>"56146"</f>
        <v>56146</v>
      </c>
      <c r="C925" t="str">
        <f>"004"</f>
        <v>004</v>
      </c>
      <c r="D925">
        <v>2007</v>
      </c>
      <c r="E925">
        <v>57393100</v>
      </c>
      <c r="F925">
        <v>25652100</v>
      </c>
      <c r="G925" t="s">
        <v>11</v>
      </c>
      <c r="H925" t="s">
        <v>38</v>
      </c>
      <c r="I925" t="s">
        <v>13</v>
      </c>
      <c r="J925" t="s">
        <v>13</v>
      </c>
    </row>
    <row r="926" spans="1:11" x14ac:dyDescent="0.25">
      <c r="A926" t="s">
        <v>39</v>
      </c>
      <c r="B926" t="s">
        <v>13</v>
      </c>
      <c r="C926" t="s">
        <v>7</v>
      </c>
      <c r="D926" t="s">
        <v>8</v>
      </c>
      <c r="E926">
        <v>502190200</v>
      </c>
      <c r="F926">
        <v>390116900</v>
      </c>
      <c r="G926" t="s">
        <v>11</v>
      </c>
      <c r="H926">
        <v>1583572100</v>
      </c>
      <c r="I926" t="s">
        <v>13</v>
      </c>
      <c r="J926" t="s">
        <v>13</v>
      </c>
      <c r="K926">
        <v>24.64</v>
      </c>
    </row>
    <row r="928" spans="1:11" x14ac:dyDescent="0.25">
      <c r="A928" t="s">
        <v>233</v>
      </c>
      <c r="B928" t="str">
        <f>"09128"</f>
        <v>09128</v>
      </c>
      <c r="C928" t="str">
        <f>"001"</f>
        <v>001</v>
      </c>
      <c r="D928">
        <v>2003</v>
      </c>
      <c r="E928">
        <v>100110100</v>
      </c>
      <c r="F928">
        <v>87971200</v>
      </c>
      <c r="G928" t="s">
        <v>11</v>
      </c>
      <c r="H928" t="s">
        <v>38</v>
      </c>
      <c r="I928" t="s">
        <v>13</v>
      </c>
      <c r="J928" t="s">
        <v>13</v>
      </c>
    </row>
    <row r="929" spans="1:11" x14ac:dyDescent="0.25">
      <c r="A929" t="s">
        <v>5</v>
      </c>
      <c r="B929" t="str">
        <f>"09128"</f>
        <v>09128</v>
      </c>
      <c r="C929" t="str">
        <f>"002"</f>
        <v>002</v>
      </c>
      <c r="D929">
        <v>2003</v>
      </c>
      <c r="E929">
        <v>19996900</v>
      </c>
      <c r="F929">
        <v>19865000</v>
      </c>
      <c r="G929" t="s">
        <v>11</v>
      </c>
      <c r="H929" t="s">
        <v>38</v>
      </c>
      <c r="I929" t="s">
        <v>13</v>
      </c>
      <c r="J929" t="s">
        <v>13</v>
      </c>
    </row>
    <row r="930" spans="1:11" x14ac:dyDescent="0.25">
      <c r="A930" t="s">
        <v>39</v>
      </c>
      <c r="B930" t="s">
        <v>13</v>
      </c>
      <c r="C930" t="s">
        <v>7</v>
      </c>
      <c r="D930" t="s">
        <v>8</v>
      </c>
      <c r="E930">
        <v>120107000</v>
      </c>
      <c r="F930">
        <v>107836200</v>
      </c>
      <c r="G930" t="s">
        <v>11</v>
      </c>
      <c r="H930">
        <v>710173400</v>
      </c>
      <c r="I930" t="s">
        <v>13</v>
      </c>
      <c r="J930" t="s">
        <v>13</v>
      </c>
      <c r="K930">
        <v>15.18</v>
      </c>
    </row>
    <row r="932" spans="1:11" x14ac:dyDescent="0.25">
      <c r="A932" t="s">
        <v>234</v>
      </c>
      <c r="B932" t="str">
        <f>"28246"</f>
        <v>28246</v>
      </c>
      <c r="C932" t="str">
        <f>"002"</f>
        <v>002</v>
      </c>
      <c r="D932">
        <v>1998</v>
      </c>
      <c r="E932">
        <v>30196300</v>
      </c>
      <c r="F932">
        <v>18750600</v>
      </c>
      <c r="G932" t="s">
        <v>11</v>
      </c>
      <c r="H932" t="s">
        <v>38</v>
      </c>
      <c r="I932" t="s">
        <v>13</v>
      </c>
      <c r="J932" t="s">
        <v>13</v>
      </c>
    </row>
    <row r="933" spans="1:11" x14ac:dyDescent="0.25">
      <c r="A933" t="s">
        <v>5</v>
      </c>
      <c r="B933" t="str">
        <f>"28246"</f>
        <v>28246</v>
      </c>
      <c r="C933" t="str">
        <f>"003"</f>
        <v>003</v>
      </c>
      <c r="D933">
        <v>2006</v>
      </c>
      <c r="E933">
        <v>11551200</v>
      </c>
      <c r="F933">
        <v>4557400</v>
      </c>
      <c r="G933" t="s">
        <v>11</v>
      </c>
      <c r="H933" t="s">
        <v>38</v>
      </c>
      <c r="I933" t="s">
        <v>13</v>
      </c>
      <c r="J933" t="s">
        <v>13</v>
      </c>
    </row>
    <row r="934" spans="1:11" x14ac:dyDescent="0.25">
      <c r="A934" t="s">
        <v>5</v>
      </c>
      <c r="B934" t="str">
        <f>"28246"</f>
        <v>28246</v>
      </c>
      <c r="C934" t="str">
        <f>"004"</f>
        <v>004</v>
      </c>
      <c r="D934">
        <v>2006</v>
      </c>
      <c r="E934">
        <v>25673200</v>
      </c>
      <c r="F934">
        <v>17107800</v>
      </c>
      <c r="G934" t="s">
        <v>11</v>
      </c>
      <c r="H934" t="s">
        <v>38</v>
      </c>
      <c r="I934" t="s">
        <v>13</v>
      </c>
      <c r="J934" t="s">
        <v>13</v>
      </c>
    </row>
    <row r="935" spans="1:11" x14ac:dyDescent="0.25">
      <c r="A935" t="s">
        <v>5</v>
      </c>
      <c r="B935" t="str">
        <f>"28246"</f>
        <v>28246</v>
      </c>
      <c r="C935" t="str">
        <f>"005"</f>
        <v>005</v>
      </c>
      <c r="D935">
        <v>2014</v>
      </c>
      <c r="E935">
        <v>4367000</v>
      </c>
      <c r="F935">
        <v>-1565900</v>
      </c>
      <c r="G935" t="s">
        <v>49</v>
      </c>
      <c r="H935" t="s">
        <v>38</v>
      </c>
      <c r="I935" t="s">
        <v>13</v>
      </c>
      <c r="J935" t="s">
        <v>13</v>
      </c>
    </row>
    <row r="936" spans="1:11" x14ac:dyDescent="0.25">
      <c r="A936" t="s">
        <v>5</v>
      </c>
      <c r="B936" t="str">
        <f>"28246"</f>
        <v>28246</v>
      </c>
      <c r="C936" t="str">
        <f>"006"</f>
        <v>006</v>
      </c>
      <c r="D936">
        <v>2014</v>
      </c>
      <c r="E936">
        <v>3150600</v>
      </c>
      <c r="F936">
        <v>-161600</v>
      </c>
      <c r="G936" t="s">
        <v>49</v>
      </c>
      <c r="H936" t="s">
        <v>38</v>
      </c>
      <c r="I936" t="s">
        <v>13</v>
      </c>
      <c r="J936" t="s">
        <v>13</v>
      </c>
    </row>
    <row r="937" spans="1:11" x14ac:dyDescent="0.25">
      <c r="A937" t="s">
        <v>39</v>
      </c>
      <c r="B937" t="s">
        <v>13</v>
      </c>
      <c r="C937" t="s">
        <v>7</v>
      </c>
      <c r="D937" t="s">
        <v>8</v>
      </c>
      <c r="E937">
        <v>74938300</v>
      </c>
      <c r="F937">
        <v>40415800</v>
      </c>
      <c r="G937" t="s">
        <v>11</v>
      </c>
      <c r="H937">
        <v>600718700</v>
      </c>
      <c r="I937" t="s">
        <v>13</v>
      </c>
      <c r="J937" t="s">
        <v>13</v>
      </c>
      <c r="K937">
        <v>6.73</v>
      </c>
    </row>
    <row r="939" spans="1:11" x14ac:dyDescent="0.25">
      <c r="A939" t="s">
        <v>235</v>
      </c>
      <c r="B939" t="str">
        <f>"22246"</f>
        <v>22246</v>
      </c>
      <c r="C939" t="str">
        <f>"003"</f>
        <v>003</v>
      </c>
      <c r="D939">
        <v>2006</v>
      </c>
      <c r="E939">
        <v>6941400</v>
      </c>
      <c r="F939">
        <v>6516900</v>
      </c>
      <c r="G939" t="s">
        <v>11</v>
      </c>
      <c r="H939" t="s">
        <v>38</v>
      </c>
      <c r="I939" t="s">
        <v>13</v>
      </c>
      <c r="J939" t="s">
        <v>13</v>
      </c>
    </row>
    <row r="940" spans="1:11" x14ac:dyDescent="0.25">
      <c r="A940" t="s">
        <v>5</v>
      </c>
      <c r="B940" t="str">
        <f>"22246"</f>
        <v>22246</v>
      </c>
      <c r="C940" t="str">
        <f>"004"</f>
        <v>004</v>
      </c>
      <c r="D940">
        <v>2006</v>
      </c>
      <c r="E940">
        <v>5800400</v>
      </c>
      <c r="F940">
        <v>3386000</v>
      </c>
      <c r="G940" t="s">
        <v>11</v>
      </c>
      <c r="H940" t="s">
        <v>38</v>
      </c>
      <c r="I940" t="s">
        <v>13</v>
      </c>
      <c r="J940" t="s">
        <v>13</v>
      </c>
    </row>
    <row r="941" spans="1:11" x14ac:dyDescent="0.25">
      <c r="A941" t="s">
        <v>5</v>
      </c>
      <c r="B941" t="str">
        <f>"22246"</f>
        <v>22246</v>
      </c>
      <c r="C941" t="str">
        <f>"005"</f>
        <v>005</v>
      </c>
      <c r="D941">
        <v>2018</v>
      </c>
      <c r="E941">
        <v>0</v>
      </c>
      <c r="F941">
        <v>0</v>
      </c>
      <c r="G941" t="s">
        <v>11</v>
      </c>
      <c r="H941" t="s">
        <v>38</v>
      </c>
      <c r="I941" t="s">
        <v>13</v>
      </c>
      <c r="J941" t="s">
        <v>13</v>
      </c>
    </row>
    <row r="942" spans="1:11" x14ac:dyDescent="0.25">
      <c r="A942" t="s">
        <v>39</v>
      </c>
      <c r="B942" t="s">
        <v>13</v>
      </c>
      <c r="C942" t="s">
        <v>7</v>
      </c>
      <c r="D942" t="s">
        <v>8</v>
      </c>
      <c r="E942">
        <v>12741800</v>
      </c>
      <c r="F942">
        <v>9902900</v>
      </c>
      <c r="G942" t="s">
        <v>11</v>
      </c>
      <c r="H942">
        <v>248510900</v>
      </c>
      <c r="I942" t="s">
        <v>13</v>
      </c>
      <c r="J942" t="s">
        <v>13</v>
      </c>
      <c r="K942">
        <v>3.98</v>
      </c>
    </row>
    <row r="944" spans="1:11" x14ac:dyDescent="0.25">
      <c r="A944" t="s">
        <v>236</v>
      </c>
      <c r="B944" t="str">
        <f>"67147"</f>
        <v>67147</v>
      </c>
      <c r="C944" t="str">
        <f>"001"</f>
        <v>001</v>
      </c>
      <c r="D944">
        <v>2018</v>
      </c>
      <c r="E944">
        <v>5888800</v>
      </c>
      <c r="F944">
        <v>-1764400</v>
      </c>
      <c r="G944" t="s">
        <v>49</v>
      </c>
      <c r="H944" t="s">
        <v>38</v>
      </c>
      <c r="I944" t="s">
        <v>13</v>
      </c>
      <c r="J944" t="s">
        <v>13</v>
      </c>
    </row>
    <row r="945" spans="1:11" x14ac:dyDescent="0.25">
      <c r="A945" t="s">
        <v>5</v>
      </c>
      <c r="B945" t="str">
        <f>"67147"</f>
        <v>67147</v>
      </c>
      <c r="C945" t="str">
        <f>"002"</f>
        <v>002</v>
      </c>
      <c r="D945">
        <v>2018</v>
      </c>
      <c r="E945">
        <v>10007600</v>
      </c>
      <c r="F945">
        <v>251000</v>
      </c>
      <c r="G945" t="s">
        <v>11</v>
      </c>
      <c r="H945" t="s">
        <v>38</v>
      </c>
      <c r="I945" t="s">
        <v>13</v>
      </c>
      <c r="J945" t="s">
        <v>13</v>
      </c>
    </row>
    <row r="946" spans="1:11" x14ac:dyDescent="0.25">
      <c r="A946" t="s">
        <v>39</v>
      </c>
      <c r="B946" t="s">
        <v>13</v>
      </c>
      <c r="C946" t="s">
        <v>7</v>
      </c>
      <c r="D946" t="s">
        <v>8</v>
      </c>
      <c r="E946">
        <v>15896400</v>
      </c>
      <c r="F946">
        <v>251000</v>
      </c>
      <c r="G946" t="s">
        <v>11</v>
      </c>
      <c r="H946">
        <v>141268000</v>
      </c>
      <c r="I946" t="s">
        <v>13</v>
      </c>
      <c r="J946" t="s">
        <v>13</v>
      </c>
      <c r="K946">
        <v>0.18</v>
      </c>
    </row>
    <row r="948" spans="1:11" x14ac:dyDescent="0.25">
      <c r="A948" t="s">
        <v>237</v>
      </c>
      <c r="B948" t="str">
        <f>"05024"</f>
        <v>05024</v>
      </c>
      <c r="C948" t="str">
        <f>"001A"</f>
        <v>001A</v>
      </c>
      <c r="D948">
        <v>2018</v>
      </c>
      <c r="E948">
        <v>983600</v>
      </c>
      <c r="F948">
        <v>770700</v>
      </c>
      <c r="G948" t="s">
        <v>11</v>
      </c>
      <c r="H948" t="s">
        <v>38</v>
      </c>
      <c r="I948" t="s">
        <v>13</v>
      </c>
      <c r="J948" t="s">
        <v>13</v>
      </c>
    </row>
    <row r="949" spans="1:11" x14ac:dyDescent="0.25">
      <c r="A949" t="s">
        <v>5</v>
      </c>
      <c r="B949" t="str">
        <f>"05024"</f>
        <v>05024</v>
      </c>
      <c r="C949" t="str">
        <f>"002A"</f>
        <v>002A</v>
      </c>
      <c r="D949">
        <v>2018</v>
      </c>
      <c r="E949">
        <v>5674600</v>
      </c>
      <c r="F949">
        <v>4455700</v>
      </c>
      <c r="G949" t="s">
        <v>11</v>
      </c>
      <c r="H949" t="s">
        <v>38</v>
      </c>
      <c r="I949" t="s">
        <v>13</v>
      </c>
      <c r="J949" t="s">
        <v>13</v>
      </c>
    </row>
    <row r="950" spans="1:11" x14ac:dyDescent="0.25">
      <c r="A950" t="s">
        <v>39</v>
      </c>
      <c r="B950" t="s">
        <v>13</v>
      </c>
      <c r="C950" t="s">
        <v>7</v>
      </c>
      <c r="D950" t="s">
        <v>8</v>
      </c>
      <c r="E950">
        <v>6658200</v>
      </c>
      <c r="F950">
        <v>5226400</v>
      </c>
      <c r="G950" t="s">
        <v>11</v>
      </c>
      <c r="H950">
        <v>711478500</v>
      </c>
      <c r="I950" t="s">
        <v>13</v>
      </c>
      <c r="J950" t="s">
        <v>13</v>
      </c>
      <c r="K950">
        <v>0.73</v>
      </c>
    </row>
    <row r="952" spans="1:11" x14ac:dyDescent="0.25">
      <c r="A952" t="s">
        <v>238</v>
      </c>
      <c r="B952" t="str">
        <f>"05025"</f>
        <v>05025</v>
      </c>
      <c r="C952" t="str">
        <f>"001A"</f>
        <v>001A</v>
      </c>
      <c r="D952">
        <v>2015</v>
      </c>
      <c r="E952">
        <v>49279900</v>
      </c>
      <c r="F952">
        <v>21861400</v>
      </c>
      <c r="G952" t="s">
        <v>11</v>
      </c>
      <c r="H952" t="s">
        <v>38</v>
      </c>
      <c r="I952" t="s">
        <v>13</v>
      </c>
      <c r="J952" t="s">
        <v>13</v>
      </c>
    </row>
    <row r="953" spans="1:11" x14ac:dyDescent="0.25">
      <c r="A953" t="s">
        <v>39</v>
      </c>
      <c r="B953" t="s">
        <v>13</v>
      </c>
      <c r="C953" t="s">
        <v>7</v>
      </c>
      <c r="D953" t="s">
        <v>8</v>
      </c>
      <c r="E953">
        <v>49279900</v>
      </c>
      <c r="F953">
        <v>21861400</v>
      </c>
      <c r="G953" t="s">
        <v>11</v>
      </c>
      <c r="H953">
        <v>1037503900</v>
      </c>
      <c r="I953" t="s">
        <v>13</v>
      </c>
      <c r="J953" t="s">
        <v>13</v>
      </c>
      <c r="K953">
        <v>2.11</v>
      </c>
    </row>
    <row r="955" spans="1:11" x14ac:dyDescent="0.25">
      <c r="A955" t="s">
        <v>239</v>
      </c>
      <c r="B955" t="str">
        <f>"44146"</f>
        <v>44146</v>
      </c>
      <c r="C955" t="str">
        <f>"004"</f>
        <v>004</v>
      </c>
      <c r="D955">
        <v>2007</v>
      </c>
      <c r="E955">
        <v>72068100</v>
      </c>
      <c r="F955">
        <v>68654700</v>
      </c>
      <c r="G955" t="s">
        <v>11</v>
      </c>
      <c r="H955" t="s">
        <v>38</v>
      </c>
      <c r="I955" t="s">
        <v>13</v>
      </c>
      <c r="J955" t="s">
        <v>13</v>
      </c>
    </row>
    <row r="956" spans="1:11" x14ac:dyDescent="0.25">
      <c r="A956" t="s">
        <v>5</v>
      </c>
      <c r="B956" t="str">
        <f>"44146"</f>
        <v>44146</v>
      </c>
      <c r="C956" t="str">
        <f>"005"</f>
        <v>005</v>
      </c>
      <c r="D956">
        <v>2013</v>
      </c>
      <c r="E956">
        <v>30677400</v>
      </c>
      <c r="F956">
        <v>18941700</v>
      </c>
      <c r="G956" t="s">
        <v>11</v>
      </c>
      <c r="H956" t="s">
        <v>38</v>
      </c>
      <c r="I956" t="s">
        <v>13</v>
      </c>
      <c r="J956" t="s">
        <v>13</v>
      </c>
    </row>
    <row r="957" spans="1:11" x14ac:dyDescent="0.25">
      <c r="A957" t="s">
        <v>5</v>
      </c>
      <c r="B957" t="str">
        <f>"44146"</f>
        <v>44146</v>
      </c>
      <c r="C957" t="str">
        <f>"006"</f>
        <v>006</v>
      </c>
      <c r="D957">
        <v>2016</v>
      </c>
      <c r="E957">
        <v>51194400</v>
      </c>
      <c r="F957">
        <v>49118700</v>
      </c>
      <c r="G957" t="s">
        <v>11</v>
      </c>
      <c r="H957" t="s">
        <v>38</v>
      </c>
      <c r="I957" t="s">
        <v>13</v>
      </c>
      <c r="J957" t="s">
        <v>13</v>
      </c>
    </row>
    <row r="958" spans="1:11" x14ac:dyDescent="0.25">
      <c r="A958" t="s">
        <v>5</v>
      </c>
      <c r="B958" t="str">
        <f>"44146"</f>
        <v>44146</v>
      </c>
      <c r="C958" t="str">
        <f>"007"</f>
        <v>007</v>
      </c>
      <c r="D958">
        <v>2018</v>
      </c>
      <c r="E958">
        <v>8064200</v>
      </c>
      <c r="F958">
        <v>4628000</v>
      </c>
      <c r="G958" t="s">
        <v>11</v>
      </c>
      <c r="H958" t="s">
        <v>38</v>
      </c>
      <c r="I958" t="s">
        <v>13</v>
      </c>
      <c r="J958" t="s">
        <v>13</v>
      </c>
    </row>
    <row r="959" spans="1:11" x14ac:dyDescent="0.25">
      <c r="A959" t="s">
        <v>5</v>
      </c>
      <c r="B959" t="str">
        <f>"44146"</f>
        <v>44146</v>
      </c>
      <c r="C959" t="str">
        <f>"008"</f>
        <v>008</v>
      </c>
      <c r="D959">
        <v>2018</v>
      </c>
      <c r="E959">
        <v>3145400</v>
      </c>
      <c r="F959">
        <v>520900</v>
      </c>
      <c r="G959" t="s">
        <v>11</v>
      </c>
      <c r="H959" t="s">
        <v>38</v>
      </c>
      <c r="I959" t="s">
        <v>13</v>
      </c>
      <c r="J959" t="s">
        <v>13</v>
      </c>
    </row>
    <row r="960" spans="1:11" x14ac:dyDescent="0.25">
      <c r="A960" t="s">
        <v>39</v>
      </c>
      <c r="B960" t="s">
        <v>13</v>
      </c>
      <c r="C960" t="s">
        <v>7</v>
      </c>
      <c r="D960" t="s">
        <v>8</v>
      </c>
      <c r="E960">
        <v>165149500</v>
      </c>
      <c r="F960">
        <v>141864000</v>
      </c>
      <c r="G960" t="s">
        <v>11</v>
      </c>
      <c r="H960">
        <v>952165700</v>
      </c>
      <c r="I960" t="s">
        <v>13</v>
      </c>
      <c r="J960" t="s">
        <v>13</v>
      </c>
      <c r="K960">
        <v>14.9</v>
      </c>
    </row>
    <row r="962" spans="1:11" x14ac:dyDescent="0.25">
      <c r="A962" t="s">
        <v>240</v>
      </c>
      <c r="B962" t="str">
        <f>"25147"</f>
        <v>25147</v>
      </c>
      <c r="C962" t="str">
        <f>"001"</f>
        <v>001</v>
      </c>
      <c r="D962">
        <v>1992</v>
      </c>
      <c r="E962">
        <v>2980200</v>
      </c>
      <c r="F962">
        <v>2930600</v>
      </c>
      <c r="G962" t="s">
        <v>11</v>
      </c>
      <c r="H962" t="s">
        <v>38</v>
      </c>
      <c r="I962" t="s">
        <v>13</v>
      </c>
      <c r="J962" t="s">
        <v>13</v>
      </c>
    </row>
    <row r="963" spans="1:11" x14ac:dyDescent="0.25">
      <c r="A963" t="s">
        <v>5</v>
      </c>
      <c r="B963" t="str">
        <f>"22147"</f>
        <v>22147</v>
      </c>
      <c r="C963" t="str">
        <f>"002"</f>
        <v>002</v>
      </c>
      <c r="D963">
        <v>1996</v>
      </c>
      <c r="E963">
        <v>602300</v>
      </c>
      <c r="F963">
        <v>309000</v>
      </c>
      <c r="G963" t="s">
        <v>11</v>
      </c>
      <c r="H963" t="s">
        <v>38</v>
      </c>
      <c r="I963" t="s">
        <v>13</v>
      </c>
      <c r="J963" t="s">
        <v>13</v>
      </c>
    </row>
    <row r="964" spans="1:11" x14ac:dyDescent="0.25">
      <c r="A964" t="s">
        <v>39</v>
      </c>
      <c r="B964" t="s">
        <v>13</v>
      </c>
      <c r="C964" t="s">
        <v>7</v>
      </c>
      <c r="D964" t="s">
        <v>8</v>
      </c>
      <c r="E964">
        <v>3582500</v>
      </c>
      <c r="F964">
        <v>3239600</v>
      </c>
      <c r="G964" t="s">
        <v>11</v>
      </c>
      <c r="H964">
        <v>31908700</v>
      </c>
      <c r="I964" t="s">
        <v>13</v>
      </c>
      <c r="J964" t="s">
        <v>13</v>
      </c>
      <c r="K964">
        <v>10.15</v>
      </c>
    </row>
    <row r="966" spans="1:11" x14ac:dyDescent="0.25">
      <c r="A966" t="s">
        <v>241</v>
      </c>
      <c r="B966" t="str">
        <f>"11246"</f>
        <v>11246</v>
      </c>
      <c r="C966" t="str">
        <f>"003"</f>
        <v>003</v>
      </c>
      <c r="D966">
        <v>2005</v>
      </c>
      <c r="E966">
        <v>1052400</v>
      </c>
      <c r="F966">
        <v>891400</v>
      </c>
      <c r="G966" t="s">
        <v>11</v>
      </c>
      <c r="H966" t="s">
        <v>38</v>
      </c>
      <c r="I966" t="s">
        <v>13</v>
      </c>
      <c r="J966" t="s">
        <v>13</v>
      </c>
    </row>
    <row r="967" spans="1:11" x14ac:dyDescent="0.25">
      <c r="A967" t="s">
        <v>5</v>
      </c>
      <c r="B967" t="str">
        <f>"11246"</f>
        <v>11246</v>
      </c>
      <c r="C967" t="str">
        <f>"004"</f>
        <v>004</v>
      </c>
      <c r="D967">
        <v>2015</v>
      </c>
      <c r="E967">
        <v>16057700</v>
      </c>
      <c r="F967">
        <v>24900</v>
      </c>
      <c r="G967" t="s">
        <v>11</v>
      </c>
      <c r="H967" t="s">
        <v>38</v>
      </c>
      <c r="I967" t="s">
        <v>13</v>
      </c>
      <c r="J967" t="s">
        <v>13</v>
      </c>
    </row>
    <row r="968" spans="1:11" x14ac:dyDescent="0.25">
      <c r="A968" t="s">
        <v>5</v>
      </c>
      <c r="B968" t="str">
        <f>"11246"</f>
        <v>11246</v>
      </c>
      <c r="C968" t="str">
        <f>"005"</f>
        <v>005</v>
      </c>
      <c r="D968">
        <v>2015</v>
      </c>
      <c r="E968">
        <v>12983900</v>
      </c>
      <c r="F968">
        <v>361100</v>
      </c>
      <c r="G968" t="s">
        <v>11</v>
      </c>
      <c r="H968" t="s">
        <v>38</v>
      </c>
      <c r="I968" t="s">
        <v>13</v>
      </c>
      <c r="J968" t="s">
        <v>13</v>
      </c>
    </row>
    <row r="969" spans="1:11" x14ac:dyDescent="0.25">
      <c r="A969" t="s">
        <v>39</v>
      </c>
      <c r="B969" t="s">
        <v>13</v>
      </c>
      <c r="C969" t="s">
        <v>7</v>
      </c>
      <c r="D969" t="s">
        <v>8</v>
      </c>
      <c r="E969">
        <v>30094000</v>
      </c>
      <c r="F969">
        <v>1277400</v>
      </c>
      <c r="G969" t="s">
        <v>11</v>
      </c>
      <c r="H969">
        <v>279991900</v>
      </c>
      <c r="I969" t="s">
        <v>13</v>
      </c>
      <c r="J969" t="s">
        <v>13</v>
      </c>
      <c r="K969">
        <v>0.46</v>
      </c>
    </row>
    <row r="971" spans="1:11" x14ac:dyDescent="0.25">
      <c r="A971" t="s">
        <v>242</v>
      </c>
      <c r="B971" t="str">
        <f>"56149"</f>
        <v>56149</v>
      </c>
      <c r="C971" t="str">
        <f>"002"</f>
        <v>002</v>
      </c>
      <c r="D971">
        <v>2018</v>
      </c>
      <c r="E971">
        <v>1814000</v>
      </c>
      <c r="F971">
        <v>74900</v>
      </c>
      <c r="G971" t="s">
        <v>11</v>
      </c>
      <c r="H971" t="s">
        <v>38</v>
      </c>
      <c r="I971" t="s">
        <v>13</v>
      </c>
      <c r="J971" t="s">
        <v>13</v>
      </c>
    </row>
    <row r="972" spans="1:11" x14ac:dyDescent="0.25">
      <c r="A972" t="s">
        <v>39</v>
      </c>
      <c r="B972" t="s">
        <v>13</v>
      </c>
      <c r="C972" t="s">
        <v>7</v>
      </c>
      <c r="D972" t="s">
        <v>8</v>
      </c>
      <c r="E972">
        <v>1814000</v>
      </c>
      <c r="F972">
        <v>74900</v>
      </c>
      <c r="G972" t="s">
        <v>11</v>
      </c>
      <c r="H972">
        <v>15322000</v>
      </c>
      <c r="I972" t="s">
        <v>13</v>
      </c>
      <c r="J972" t="s">
        <v>13</v>
      </c>
      <c r="K972">
        <v>0.49</v>
      </c>
    </row>
    <row r="974" spans="1:11" x14ac:dyDescent="0.25">
      <c r="A974" t="s">
        <v>243</v>
      </c>
      <c r="B974" t="str">
        <f>"14146"</f>
        <v>14146</v>
      </c>
      <c r="C974" t="str">
        <f>"004"</f>
        <v>004</v>
      </c>
      <c r="D974">
        <v>2006</v>
      </c>
      <c r="E974">
        <v>12578400</v>
      </c>
      <c r="F974">
        <v>11684400</v>
      </c>
      <c r="G974" t="s">
        <v>11</v>
      </c>
      <c r="H974" t="s">
        <v>38</v>
      </c>
      <c r="I974" t="s">
        <v>13</v>
      </c>
      <c r="J974" t="s">
        <v>13</v>
      </c>
    </row>
    <row r="975" spans="1:11" x14ac:dyDescent="0.25">
      <c r="A975" t="s">
        <v>5</v>
      </c>
      <c r="B975" t="str">
        <f>"14146"</f>
        <v>14146</v>
      </c>
      <c r="C975" t="str">
        <f>"005"</f>
        <v>005</v>
      </c>
      <c r="D975">
        <v>2015</v>
      </c>
      <c r="E975">
        <v>13752400</v>
      </c>
      <c r="F975">
        <v>13454800</v>
      </c>
      <c r="G975" t="s">
        <v>11</v>
      </c>
      <c r="H975" t="s">
        <v>38</v>
      </c>
      <c r="I975" t="s">
        <v>13</v>
      </c>
      <c r="J975" t="s">
        <v>13</v>
      </c>
    </row>
    <row r="976" spans="1:11" x14ac:dyDescent="0.25">
      <c r="A976" t="s">
        <v>39</v>
      </c>
      <c r="B976" t="s">
        <v>13</v>
      </c>
      <c r="C976" t="s">
        <v>7</v>
      </c>
      <c r="D976" t="s">
        <v>8</v>
      </c>
      <c r="E976">
        <v>26330800</v>
      </c>
      <c r="F976">
        <v>25139200</v>
      </c>
      <c r="G976" t="s">
        <v>11</v>
      </c>
      <c r="H976">
        <v>176246400</v>
      </c>
      <c r="I976" t="s">
        <v>13</v>
      </c>
      <c r="J976" t="s">
        <v>13</v>
      </c>
      <c r="K976">
        <v>14.26</v>
      </c>
    </row>
    <row r="978" spans="1:11" x14ac:dyDescent="0.25">
      <c r="A978" t="s">
        <v>244</v>
      </c>
      <c r="B978" t="str">
        <f>"10246"</f>
        <v>10246</v>
      </c>
      <c r="C978" t="str">
        <f>"002"</f>
        <v>002</v>
      </c>
      <c r="D978">
        <v>2006</v>
      </c>
      <c r="E978">
        <v>8660200</v>
      </c>
      <c r="F978">
        <v>4092800</v>
      </c>
      <c r="G978" t="s">
        <v>11</v>
      </c>
      <c r="H978" t="s">
        <v>38</v>
      </c>
      <c r="I978" t="s">
        <v>13</v>
      </c>
      <c r="J978" t="s">
        <v>13</v>
      </c>
    </row>
    <row r="979" spans="1:11" x14ac:dyDescent="0.25">
      <c r="A979" t="s">
        <v>39</v>
      </c>
      <c r="B979" t="s">
        <v>13</v>
      </c>
      <c r="C979" t="s">
        <v>7</v>
      </c>
      <c r="D979" t="s">
        <v>8</v>
      </c>
      <c r="E979">
        <v>8660200</v>
      </c>
      <c r="F979">
        <v>4092800</v>
      </c>
      <c r="G979" t="s">
        <v>11</v>
      </c>
      <c r="H979">
        <v>59023100</v>
      </c>
      <c r="I979" t="s">
        <v>13</v>
      </c>
      <c r="J979" t="s">
        <v>13</v>
      </c>
      <c r="K979">
        <v>6.93</v>
      </c>
    </row>
    <row r="981" spans="1:11" x14ac:dyDescent="0.25">
      <c r="A981" t="s">
        <v>245</v>
      </c>
      <c r="B981" t="str">
        <f>"48146"</f>
        <v>48146</v>
      </c>
      <c r="C981" t="str">
        <f>"002"</f>
        <v>002</v>
      </c>
      <c r="D981">
        <v>2002</v>
      </c>
      <c r="E981">
        <v>11170800</v>
      </c>
      <c r="F981">
        <v>5661200</v>
      </c>
      <c r="G981" t="s">
        <v>11</v>
      </c>
      <c r="H981" t="s">
        <v>38</v>
      </c>
      <c r="I981" t="s">
        <v>13</v>
      </c>
      <c r="J981" t="s">
        <v>13</v>
      </c>
    </row>
    <row r="982" spans="1:11" x14ac:dyDescent="0.25">
      <c r="A982" t="s">
        <v>5</v>
      </c>
      <c r="B982" t="str">
        <f>"48146"</f>
        <v>48146</v>
      </c>
      <c r="C982" t="str">
        <f>"003"</f>
        <v>003</v>
      </c>
      <c r="D982">
        <v>2005</v>
      </c>
      <c r="E982">
        <v>4262900</v>
      </c>
      <c r="F982">
        <v>740500</v>
      </c>
      <c r="G982" t="s">
        <v>11</v>
      </c>
      <c r="H982" t="s">
        <v>38</v>
      </c>
      <c r="I982" t="s">
        <v>13</v>
      </c>
      <c r="J982" t="s">
        <v>13</v>
      </c>
    </row>
    <row r="983" spans="1:11" x14ac:dyDescent="0.25">
      <c r="A983" t="s">
        <v>5</v>
      </c>
      <c r="B983" t="str">
        <f>"48146"</f>
        <v>48146</v>
      </c>
      <c r="C983" t="str">
        <f>"004"</f>
        <v>004</v>
      </c>
      <c r="D983">
        <v>2018</v>
      </c>
      <c r="E983">
        <v>9371000</v>
      </c>
      <c r="F983">
        <v>1677800</v>
      </c>
      <c r="G983" t="s">
        <v>11</v>
      </c>
      <c r="H983" t="s">
        <v>38</v>
      </c>
      <c r="I983" t="s">
        <v>13</v>
      </c>
      <c r="J983" t="s">
        <v>13</v>
      </c>
    </row>
    <row r="984" spans="1:11" x14ac:dyDescent="0.25">
      <c r="A984" t="s">
        <v>39</v>
      </c>
      <c r="B984" t="s">
        <v>13</v>
      </c>
      <c r="C984" t="s">
        <v>7</v>
      </c>
      <c r="D984" t="s">
        <v>8</v>
      </c>
      <c r="E984">
        <v>24804700</v>
      </c>
      <c r="F984">
        <v>8079500</v>
      </c>
      <c r="G984" t="s">
        <v>11</v>
      </c>
      <c r="H984">
        <v>79042400</v>
      </c>
      <c r="I984" t="s">
        <v>13</v>
      </c>
      <c r="J984" t="s">
        <v>13</v>
      </c>
      <c r="K984">
        <v>10.220000000000001</v>
      </c>
    </row>
    <row r="986" spans="1:11" x14ac:dyDescent="0.25">
      <c r="A986" t="s">
        <v>246</v>
      </c>
      <c r="B986" t="str">
        <f>"31146"</f>
        <v>31146</v>
      </c>
      <c r="C986" t="str">
        <f>"001"</f>
        <v>001</v>
      </c>
      <c r="D986">
        <v>1995</v>
      </c>
      <c r="E986">
        <v>35730900</v>
      </c>
      <c r="F986">
        <v>31010700</v>
      </c>
      <c r="G986" t="s">
        <v>11</v>
      </c>
      <c r="H986" t="s">
        <v>38</v>
      </c>
      <c r="I986" t="s">
        <v>13</v>
      </c>
      <c r="J986" t="s">
        <v>13</v>
      </c>
    </row>
    <row r="987" spans="1:11" x14ac:dyDescent="0.25">
      <c r="A987" t="s">
        <v>39</v>
      </c>
      <c r="B987" t="s">
        <v>13</v>
      </c>
      <c r="C987" t="s">
        <v>7</v>
      </c>
      <c r="D987" t="s">
        <v>8</v>
      </c>
      <c r="E987">
        <v>35730900</v>
      </c>
      <c r="F987">
        <v>31010700</v>
      </c>
      <c r="G987" t="s">
        <v>11</v>
      </c>
      <c r="H987">
        <v>199569200</v>
      </c>
      <c r="I987" t="s">
        <v>13</v>
      </c>
      <c r="J987" t="s">
        <v>13</v>
      </c>
      <c r="K987">
        <v>15.54</v>
      </c>
    </row>
    <row r="989" spans="1:11" x14ac:dyDescent="0.25">
      <c r="A989" t="s">
        <v>247</v>
      </c>
      <c r="B989" t="str">
        <f>"13032"</f>
        <v>13032</v>
      </c>
      <c r="C989" t="str">
        <f>"002O"</f>
        <v>002O</v>
      </c>
      <c r="D989">
        <v>2006</v>
      </c>
      <c r="E989">
        <v>59298300</v>
      </c>
      <c r="F989">
        <v>34451500</v>
      </c>
      <c r="G989" t="s">
        <v>11</v>
      </c>
      <c r="H989" t="s">
        <v>38</v>
      </c>
      <c r="I989" t="s">
        <v>13</v>
      </c>
      <c r="J989" t="s">
        <v>13</v>
      </c>
    </row>
    <row r="990" spans="1:11" x14ac:dyDescent="0.25">
      <c r="A990" t="s">
        <v>39</v>
      </c>
      <c r="B990" t="s">
        <v>13</v>
      </c>
      <c r="C990" t="s">
        <v>7</v>
      </c>
      <c r="D990" t="s">
        <v>8</v>
      </c>
      <c r="E990">
        <v>59298300</v>
      </c>
      <c r="F990">
        <v>34451500</v>
      </c>
      <c r="G990" t="s">
        <v>11</v>
      </c>
      <c r="H990">
        <v>471858200</v>
      </c>
      <c r="I990" t="s">
        <v>13</v>
      </c>
      <c r="J990" t="s">
        <v>13</v>
      </c>
      <c r="K990">
        <v>7.3</v>
      </c>
    </row>
    <row r="991" spans="1:11" x14ac:dyDescent="0.25">
      <c r="A991" t="s">
        <v>247</v>
      </c>
      <c r="B991" t="str">
        <f t="shared" ref="B991:B1003" si="13">"13251"</f>
        <v>13251</v>
      </c>
      <c r="C991" t="str">
        <f>"025"</f>
        <v>025</v>
      </c>
      <c r="D991">
        <v>1995</v>
      </c>
      <c r="E991">
        <v>222869700</v>
      </c>
      <c r="F991">
        <v>184263000</v>
      </c>
      <c r="G991" t="s">
        <v>11</v>
      </c>
      <c r="H991" t="s">
        <v>38</v>
      </c>
      <c r="I991" t="s">
        <v>13</v>
      </c>
      <c r="J991" t="s">
        <v>13</v>
      </c>
    </row>
    <row r="992" spans="1:11" x14ac:dyDescent="0.25">
      <c r="A992" t="s">
        <v>5</v>
      </c>
      <c r="B992" t="str">
        <f t="shared" si="13"/>
        <v>13251</v>
      </c>
      <c r="C992" t="str">
        <f>"029"</f>
        <v>029</v>
      </c>
      <c r="D992">
        <v>2000</v>
      </c>
      <c r="E992">
        <v>66015800</v>
      </c>
      <c r="F992">
        <v>24274400</v>
      </c>
      <c r="G992" t="s">
        <v>11</v>
      </c>
      <c r="H992" t="s">
        <v>38</v>
      </c>
      <c r="I992" t="s">
        <v>13</v>
      </c>
      <c r="J992" t="s">
        <v>13</v>
      </c>
    </row>
    <row r="993" spans="1:11" x14ac:dyDescent="0.25">
      <c r="A993" t="s">
        <v>5</v>
      </c>
      <c r="B993" t="str">
        <f t="shared" si="13"/>
        <v>13251</v>
      </c>
      <c r="C993" t="str">
        <f>"035"</f>
        <v>035</v>
      </c>
      <c r="D993">
        <v>2005</v>
      </c>
      <c r="E993">
        <v>78038100</v>
      </c>
      <c r="F993">
        <v>52237500</v>
      </c>
      <c r="G993" t="s">
        <v>11</v>
      </c>
      <c r="H993" t="s">
        <v>38</v>
      </c>
      <c r="I993" t="s">
        <v>13</v>
      </c>
      <c r="J993" t="s">
        <v>13</v>
      </c>
    </row>
    <row r="994" spans="1:11" x14ac:dyDescent="0.25">
      <c r="A994" t="s">
        <v>5</v>
      </c>
      <c r="B994" t="str">
        <f t="shared" si="13"/>
        <v>13251</v>
      </c>
      <c r="C994" t="str">
        <f>"036"</f>
        <v>036</v>
      </c>
      <c r="D994">
        <v>2005</v>
      </c>
      <c r="E994">
        <v>424702800</v>
      </c>
      <c r="F994">
        <v>327050400</v>
      </c>
      <c r="G994" t="s">
        <v>11</v>
      </c>
      <c r="H994" t="s">
        <v>38</v>
      </c>
      <c r="I994" t="s">
        <v>13</v>
      </c>
      <c r="J994" t="s">
        <v>13</v>
      </c>
    </row>
    <row r="995" spans="1:11" x14ac:dyDescent="0.25">
      <c r="A995" t="s">
        <v>5</v>
      </c>
      <c r="B995" t="str">
        <f t="shared" si="13"/>
        <v>13251</v>
      </c>
      <c r="C995" t="str">
        <f>"037"</f>
        <v>037</v>
      </c>
      <c r="D995">
        <v>2006</v>
      </c>
      <c r="E995">
        <v>131820000</v>
      </c>
      <c r="F995">
        <v>88353100</v>
      </c>
      <c r="G995" t="s">
        <v>11</v>
      </c>
      <c r="H995" t="s">
        <v>38</v>
      </c>
      <c r="I995" t="s">
        <v>13</v>
      </c>
      <c r="J995" t="s">
        <v>13</v>
      </c>
    </row>
    <row r="996" spans="1:11" x14ac:dyDescent="0.25">
      <c r="A996" t="s">
        <v>5</v>
      </c>
      <c r="B996" t="str">
        <f t="shared" si="13"/>
        <v>13251</v>
      </c>
      <c r="C996" t="str">
        <f>"038"</f>
        <v>038</v>
      </c>
      <c r="D996">
        <v>2008</v>
      </c>
      <c r="E996">
        <v>51525200</v>
      </c>
      <c r="F996">
        <v>-2678500</v>
      </c>
      <c r="G996" t="s">
        <v>49</v>
      </c>
      <c r="H996" t="s">
        <v>38</v>
      </c>
      <c r="I996" t="s">
        <v>13</v>
      </c>
      <c r="J996" t="s">
        <v>13</v>
      </c>
    </row>
    <row r="997" spans="1:11" x14ac:dyDescent="0.25">
      <c r="A997" t="s">
        <v>5</v>
      </c>
      <c r="B997" t="str">
        <f t="shared" si="13"/>
        <v>13251</v>
      </c>
      <c r="C997" t="str">
        <f>"039"</f>
        <v>039</v>
      </c>
      <c r="D997">
        <v>2008</v>
      </c>
      <c r="E997">
        <v>367152600</v>
      </c>
      <c r="F997">
        <v>103896100</v>
      </c>
      <c r="G997" t="s">
        <v>11</v>
      </c>
      <c r="H997" t="s">
        <v>38</v>
      </c>
      <c r="I997" t="s">
        <v>13</v>
      </c>
      <c r="J997" t="s">
        <v>13</v>
      </c>
    </row>
    <row r="998" spans="1:11" x14ac:dyDescent="0.25">
      <c r="A998" t="s">
        <v>5</v>
      </c>
      <c r="B998" t="str">
        <f t="shared" si="13"/>
        <v>13251</v>
      </c>
      <c r="C998" t="str">
        <f>"041"</f>
        <v>041</v>
      </c>
      <c r="D998">
        <v>2011</v>
      </c>
      <c r="E998">
        <v>61047000</v>
      </c>
      <c r="F998">
        <v>42343700</v>
      </c>
      <c r="G998" t="s">
        <v>11</v>
      </c>
      <c r="H998" t="s">
        <v>38</v>
      </c>
      <c r="I998" t="s">
        <v>13</v>
      </c>
      <c r="J998" t="s">
        <v>13</v>
      </c>
    </row>
    <row r="999" spans="1:11" x14ac:dyDescent="0.25">
      <c r="A999" t="s">
        <v>5</v>
      </c>
      <c r="B999" t="str">
        <f t="shared" si="13"/>
        <v>13251</v>
      </c>
      <c r="C999" t="str">
        <f>"042"</f>
        <v>042</v>
      </c>
      <c r="D999">
        <v>2012</v>
      </c>
      <c r="E999">
        <v>79118500</v>
      </c>
      <c r="F999">
        <v>28252300</v>
      </c>
      <c r="G999" t="s">
        <v>11</v>
      </c>
      <c r="H999" t="s">
        <v>38</v>
      </c>
      <c r="I999" t="s">
        <v>13</v>
      </c>
      <c r="J999" t="s">
        <v>13</v>
      </c>
    </row>
    <row r="1000" spans="1:11" x14ac:dyDescent="0.25">
      <c r="A1000" t="s">
        <v>5</v>
      </c>
      <c r="B1000" t="str">
        <f t="shared" si="13"/>
        <v>13251</v>
      </c>
      <c r="C1000" t="str">
        <f>"044"</f>
        <v>044</v>
      </c>
      <c r="D1000">
        <v>2013</v>
      </c>
      <c r="E1000">
        <v>56383300</v>
      </c>
      <c r="F1000">
        <v>25934900</v>
      </c>
      <c r="G1000" t="s">
        <v>11</v>
      </c>
      <c r="H1000" t="s">
        <v>38</v>
      </c>
      <c r="I1000" t="s">
        <v>13</v>
      </c>
      <c r="J1000" t="s">
        <v>13</v>
      </c>
    </row>
    <row r="1001" spans="1:11" x14ac:dyDescent="0.25">
      <c r="A1001" t="s">
        <v>5</v>
      </c>
      <c r="B1001" t="str">
        <f t="shared" si="13"/>
        <v>13251</v>
      </c>
      <c r="C1001" t="str">
        <f>"045"</f>
        <v>045</v>
      </c>
      <c r="D1001">
        <v>2015</v>
      </c>
      <c r="E1001">
        <v>151102600</v>
      </c>
      <c r="F1001">
        <v>71798600</v>
      </c>
      <c r="G1001" t="s">
        <v>11</v>
      </c>
      <c r="H1001" t="s">
        <v>38</v>
      </c>
      <c r="I1001" t="s">
        <v>13</v>
      </c>
      <c r="J1001" t="s">
        <v>13</v>
      </c>
    </row>
    <row r="1002" spans="1:11" x14ac:dyDescent="0.25">
      <c r="A1002" t="s">
        <v>5</v>
      </c>
      <c r="B1002" t="str">
        <f t="shared" si="13"/>
        <v>13251</v>
      </c>
      <c r="C1002" t="str">
        <f>"046"</f>
        <v>046</v>
      </c>
      <c r="D1002">
        <v>2015</v>
      </c>
      <c r="E1002">
        <v>272846500</v>
      </c>
      <c r="F1002">
        <v>142942500</v>
      </c>
      <c r="G1002" t="s">
        <v>11</v>
      </c>
      <c r="H1002" t="s">
        <v>38</v>
      </c>
      <c r="I1002" t="s">
        <v>13</v>
      </c>
      <c r="J1002" t="s">
        <v>13</v>
      </c>
    </row>
    <row r="1003" spans="1:11" x14ac:dyDescent="0.25">
      <c r="A1003" t="s">
        <v>5</v>
      </c>
      <c r="B1003" t="str">
        <f t="shared" si="13"/>
        <v>13251</v>
      </c>
      <c r="C1003" t="str">
        <f>"047"</f>
        <v>047</v>
      </c>
      <c r="D1003">
        <v>2017</v>
      </c>
      <c r="E1003">
        <v>26487400</v>
      </c>
      <c r="F1003">
        <v>16454800</v>
      </c>
      <c r="G1003" t="s">
        <v>11</v>
      </c>
      <c r="H1003" t="s">
        <v>38</v>
      </c>
      <c r="I1003" t="s">
        <v>13</v>
      </c>
      <c r="J1003" t="s">
        <v>13</v>
      </c>
    </row>
    <row r="1004" spans="1:11" x14ac:dyDescent="0.25">
      <c r="A1004" t="s">
        <v>39</v>
      </c>
      <c r="B1004" t="s">
        <v>13</v>
      </c>
      <c r="C1004" t="s">
        <v>7</v>
      </c>
      <c r="D1004" t="s">
        <v>8</v>
      </c>
      <c r="E1004">
        <v>1989109500</v>
      </c>
      <c r="F1004">
        <v>1107801300</v>
      </c>
      <c r="G1004" t="s">
        <v>11</v>
      </c>
      <c r="H1004">
        <v>30910698000</v>
      </c>
      <c r="I1004" t="s">
        <v>13</v>
      </c>
      <c r="J1004" t="s">
        <v>13</v>
      </c>
      <c r="K1004">
        <v>3.58</v>
      </c>
    </row>
    <row r="1006" spans="1:11" x14ac:dyDescent="0.25">
      <c r="A1006" t="s">
        <v>248</v>
      </c>
      <c r="B1006" t="str">
        <f>"37146"</f>
        <v>37146</v>
      </c>
      <c r="C1006" t="str">
        <f>"001"</f>
        <v>001</v>
      </c>
      <c r="D1006">
        <v>1997</v>
      </c>
      <c r="E1006">
        <v>10116300</v>
      </c>
      <c r="F1006">
        <v>9669200</v>
      </c>
      <c r="G1006" t="s">
        <v>11</v>
      </c>
      <c r="H1006" t="s">
        <v>38</v>
      </c>
      <c r="I1006" t="s">
        <v>13</v>
      </c>
      <c r="J1006" t="s">
        <v>13</v>
      </c>
    </row>
    <row r="1007" spans="1:11" x14ac:dyDescent="0.25">
      <c r="A1007" t="s">
        <v>39</v>
      </c>
      <c r="B1007" t="s">
        <v>13</v>
      </c>
      <c r="C1007" t="s">
        <v>7</v>
      </c>
      <c r="D1007" t="s">
        <v>8</v>
      </c>
      <c r="E1007">
        <v>10116300</v>
      </c>
      <c r="F1007">
        <v>9669200</v>
      </c>
      <c r="G1007" t="s">
        <v>11</v>
      </c>
      <c r="H1007">
        <v>257558700</v>
      </c>
      <c r="I1007" t="s">
        <v>13</v>
      </c>
      <c r="J1007" t="s">
        <v>13</v>
      </c>
      <c r="K1007">
        <v>3.75</v>
      </c>
    </row>
    <row r="1009" spans="1:11" x14ac:dyDescent="0.25">
      <c r="A1009" t="s">
        <v>249</v>
      </c>
      <c r="B1009" t="str">
        <f>"68251"</f>
        <v>68251</v>
      </c>
      <c r="C1009" t="str">
        <f>"002"</f>
        <v>002</v>
      </c>
      <c r="D1009">
        <v>2016</v>
      </c>
      <c r="E1009">
        <v>4901100</v>
      </c>
      <c r="F1009">
        <v>2508400</v>
      </c>
      <c r="G1009" t="s">
        <v>11</v>
      </c>
      <c r="H1009" t="s">
        <v>38</v>
      </c>
      <c r="I1009" t="s">
        <v>13</v>
      </c>
      <c r="J1009" t="s">
        <v>13</v>
      </c>
    </row>
    <row r="1010" spans="1:11" x14ac:dyDescent="0.25">
      <c r="A1010" t="s">
        <v>5</v>
      </c>
      <c r="B1010" t="str">
        <f>"68251"</f>
        <v>68251</v>
      </c>
      <c r="C1010" t="str">
        <f>"003"</f>
        <v>003</v>
      </c>
      <c r="D1010">
        <v>2018</v>
      </c>
      <c r="E1010">
        <v>2954300</v>
      </c>
      <c r="F1010">
        <v>591700</v>
      </c>
      <c r="G1010" t="s">
        <v>11</v>
      </c>
      <c r="H1010" t="s">
        <v>38</v>
      </c>
      <c r="I1010" t="s">
        <v>13</v>
      </c>
      <c r="J1010" t="s">
        <v>13</v>
      </c>
    </row>
    <row r="1011" spans="1:11" x14ac:dyDescent="0.25">
      <c r="A1011" t="s">
        <v>39</v>
      </c>
      <c r="B1011" t="s">
        <v>13</v>
      </c>
      <c r="C1011" t="s">
        <v>7</v>
      </c>
      <c r="D1011" t="s">
        <v>8</v>
      </c>
      <c r="E1011">
        <v>7855400</v>
      </c>
      <c r="F1011">
        <v>3100100</v>
      </c>
      <c r="G1011" t="s">
        <v>11</v>
      </c>
      <c r="H1011">
        <v>84512200</v>
      </c>
      <c r="I1011" t="s">
        <v>13</v>
      </c>
      <c r="J1011" t="s">
        <v>13</v>
      </c>
      <c r="K1011">
        <v>3.67</v>
      </c>
    </row>
    <row r="1013" spans="1:11" x14ac:dyDescent="0.25">
      <c r="A1013" t="s">
        <v>250</v>
      </c>
      <c r="B1013" t="str">
        <f t="shared" ref="B1013:B1021" si="14">"36251"</f>
        <v>36251</v>
      </c>
      <c r="C1013" t="str">
        <f>"009"</f>
        <v>009</v>
      </c>
      <c r="D1013">
        <v>1995</v>
      </c>
      <c r="E1013">
        <v>16594200</v>
      </c>
      <c r="F1013">
        <v>14618400</v>
      </c>
      <c r="G1013" t="s">
        <v>11</v>
      </c>
      <c r="H1013" t="s">
        <v>38</v>
      </c>
      <c r="I1013" t="s">
        <v>13</v>
      </c>
      <c r="J1013" t="s">
        <v>13</v>
      </c>
    </row>
    <row r="1014" spans="1:11" x14ac:dyDescent="0.25">
      <c r="A1014" t="s">
        <v>5</v>
      </c>
      <c r="B1014" t="str">
        <f t="shared" si="14"/>
        <v>36251</v>
      </c>
      <c r="C1014" t="str">
        <f>"010"</f>
        <v>010</v>
      </c>
      <c r="D1014">
        <v>1997</v>
      </c>
      <c r="E1014">
        <v>8610600</v>
      </c>
      <c r="F1014">
        <v>5916200</v>
      </c>
      <c r="G1014" t="s">
        <v>11</v>
      </c>
      <c r="H1014" t="s">
        <v>38</v>
      </c>
      <c r="I1014" t="s">
        <v>13</v>
      </c>
      <c r="J1014" t="s">
        <v>13</v>
      </c>
    </row>
    <row r="1015" spans="1:11" x14ac:dyDescent="0.25">
      <c r="A1015" t="s">
        <v>5</v>
      </c>
      <c r="B1015" t="str">
        <f t="shared" si="14"/>
        <v>36251</v>
      </c>
      <c r="C1015" t="str">
        <f>"012"</f>
        <v>012</v>
      </c>
      <c r="D1015">
        <v>1999</v>
      </c>
      <c r="E1015">
        <v>7560400</v>
      </c>
      <c r="F1015">
        <v>7498900</v>
      </c>
      <c r="G1015" t="s">
        <v>11</v>
      </c>
      <c r="H1015" t="s">
        <v>38</v>
      </c>
      <c r="I1015" t="s">
        <v>13</v>
      </c>
      <c r="J1015" t="s">
        <v>13</v>
      </c>
    </row>
    <row r="1016" spans="1:11" x14ac:dyDescent="0.25">
      <c r="A1016" t="s">
        <v>5</v>
      </c>
      <c r="B1016" t="str">
        <f t="shared" si="14"/>
        <v>36251</v>
      </c>
      <c r="C1016" t="str">
        <f>"016"</f>
        <v>016</v>
      </c>
      <c r="D1016">
        <v>2003</v>
      </c>
      <c r="E1016">
        <v>38388800</v>
      </c>
      <c r="F1016">
        <v>14858500</v>
      </c>
      <c r="G1016" t="s">
        <v>11</v>
      </c>
      <c r="H1016" t="s">
        <v>38</v>
      </c>
      <c r="I1016" t="s">
        <v>13</v>
      </c>
      <c r="J1016" t="s">
        <v>13</v>
      </c>
    </row>
    <row r="1017" spans="1:11" x14ac:dyDescent="0.25">
      <c r="A1017" t="s">
        <v>5</v>
      </c>
      <c r="B1017" t="str">
        <f t="shared" si="14"/>
        <v>36251</v>
      </c>
      <c r="C1017" t="str">
        <f>"017"</f>
        <v>017</v>
      </c>
      <c r="D1017">
        <v>2007</v>
      </c>
      <c r="E1017">
        <v>10139200</v>
      </c>
      <c r="F1017">
        <v>9947000</v>
      </c>
      <c r="G1017" t="s">
        <v>11</v>
      </c>
      <c r="H1017" t="s">
        <v>38</v>
      </c>
      <c r="I1017" t="s">
        <v>13</v>
      </c>
      <c r="J1017" t="s">
        <v>13</v>
      </c>
    </row>
    <row r="1018" spans="1:11" x14ac:dyDescent="0.25">
      <c r="A1018" t="s">
        <v>5</v>
      </c>
      <c r="B1018" t="str">
        <f t="shared" si="14"/>
        <v>36251</v>
      </c>
      <c r="C1018" t="str">
        <f>"018"</f>
        <v>018</v>
      </c>
      <c r="D1018">
        <v>2015</v>
      </c>
      <c r="E1018">
        <v>12295900</v>
      </c>
      <c r="F1018">
        <v>-1196400</v>
      </c>
      <c r="G1018" t="s">
        <v>49</v>
      </c>
      <c r="H1018" t="s">
        <v>38</v>
      </c>
      <c r="I1018" t="s">
        <v>13</v>
      </c>
      <c r="J1018" t="s">
        <v>13</v>
      </c>
    </row>
    <row r="1019" spans="1:11" x14ac:dyDescent="0.25">
      <c r="A1019" t="s">
        <v>5</v>
      </c>
      <c r="B1019" t="str">
        <f t="shared" si="14"/>
        <v>36251</v>
      </c>
      <c r="C1019" t="str">
        <f>"019"</f>
        <v>019</v>
      </c>
      <c r="D1019">
        <v>2017</v>
      </c>
      <c r="E1019">
        <v>63832700</v>
      </c>
      <c r="F1019">
        <v>5418100</v>
      </c>
      <c r="G1019" t="s">
        <v>11</v>
      </c>
      <c r="H1019" t="s">
        <v>38</v>
      </c>
      <c r="I1019" t="s">
        <v>13</v>
      </c>
      <c r="J1019" t="s">
        <v>13</v>
      </c>
    </row>
    <row r="1020" spans="1:11" x14ac:dyDescent="0.25">
      <c r="A1020" t="s">
        <v>5</v>
      </c>
      <c r="B1020" t="str">
        <f t="shared" si="14"/>
        <v>36251</v>
      </c>
      <c r="C1020" t="str">
        <f>"020"</f>
        <v>020</v>
      </c>
      <c r="D1020">
        <v>2018</v>
      </c>
      <c r="E1020">
        <v>6768200</v>
      </c>
      <c r="F1020">
        <v>132100</v>
      </c>
      <c r="G1020" t="s">
        <v>11</v>
      </c>
      <c r="H1020" t="s">
        <v>38</v>
      </c>
      <c r="I1020" t="s">
        <v>13</v>
      </c>
      <c r="J1020" t="s">
        <v>13</v>
      </c>
    </row>
    <row r="1021" spans="1:11" x14ac:dyDescent="0.25">
      <c r="A1021" t="s">
        <v>5</v>
      </c>
      <c r="B1021" t="str">
        <f t="shared" si="14"/>
        <v>36251</v>
      </c>
      <c r="C1021" t="str">
        <f>"021"</f>
        <v>021</v>
      </c>
      <c r="D1021">
        <v>2018</v>
      </c>
      <c r="E1021">
        <v>23085600</v>
      </c>
      <c r="F1021">
        <v>355200</v>
      </c>
      <c r="G1021" t="s">
        <v>11</v>
      </c>
      <c r="H1021" t="s">
        <v>38</v>
      </c>
      <c r="I1021" t="s">
        <v>13</v>
      </c>
      <c r="J1021" t="s">
        <v>13</v>
      </c>
    </row>
    <row r="1022" spans="1:11" x14ac:dyDescent="0.25">
      <c r="A1022" t="s">
        <v>39</v>
      </c>
      <c r="B1022" t="s">
        <v>13</v>
      </c>
      <c r="C1022" t="s">
        <v>7</v>
      </c>
      <c r="D1022" t="s">
        <v>8</v>
      </c>
      <c r="E1022">
        <v>187275600</v>
      </c>
      <c r="F1022">
        <v>58744400</v>
      </c>
      <c r="G1022" t="s">
        <v>11</v>
      </c>
      <c r="H1022">
        <v>2032365000</v>
      </c>
      <c r="I1022" t="s">
        <v>13</v>
      </c>
      <c r="J1022" t="s">
        <v>13</v>
      </c>
      <c r="K1022">
        <v>2.89</v>
      </c>
    </row>
    <row r="1024" spans="1:11" x14ac:dyDescent="0.25">
      <c r="A1024" t="s">
        <v>251</v>
      </c>
      <c r="B1024" t="str">
        <f>"13151"</f>
        <v>13151</v>
      </c>
      <c r="C1024" t="str">
        <f>"001"</f>
        <v>001</v>
      </c>
      <c r="D1024">
        <v>2014</v>
      </c>
      <c r="E1024">
        <v>8178900</v>
      </c>
      <c r="F1024">
        <v>2489500</v>
      </c>
      <c r="G1024" t="s">
        <v>11</v>
      </c>
      <c r="H1024" t="s">
        <v>38</v>
      </c>
      <c r="I1024" t="s">
        <v>13</v>
      </c>
      <c r="J1024" t="s">
        <v>13</v>
      </c>
    </row>
    <row r="1025" spans="1:11" x14ac:dyDescent="0.25">
      <c r="A1025" t="s">
        <v>39</v>
      </c>
      <c r="B1025" t="s">
        <v>13</v>
      </c>
      <c r="C1025" t="s">
        <v>7</v>
      </c>
      <c r="D1025" t="s">
        <v>8</v>
      </c>
      <c r="E1025">
        <v>8178900</v>
      </c>
      <c r="F1025">
        <v>2489500</v>
      </c>
      <c r="G1025" t="s">
        <v>11</v>
      </c>
      <c r="H1025">
        <v>470074600</v>
      </c>
      <c r="I1025" t="s">
        <v>13</v>
      </c>
      <c r="J1025" t="s">
        <v>13</v>
      </c>
      <c r="K1025">
        <v>0.53</v>
      </c>
    </row>
    <row r="1027" spans="1:11" x14ac:dyDescent="0.25">
      <c r="A1027" t="s">
        <v>252</v>
      </c>
      <c r="B1027" t="str">
        <f>"37151"</f>
        <v>37151</v>
      </c>
      <c r="C1027" t="str">
        <f>"001"</f>
        <v>001</v>
      </c>
      <c r="D1027">
        <v>2002</v>
      </c>
      <c r="E1027">
        <v>33542300</v>
      </c>
      <c r="F1027">
        <v>26180900</v>
      </c>
      <c r="G1027" t="s">
        <v>11</v>
      </c>
      <c r="H1027" t="s">
        <v>38</v>
      </c>
      <c r="I1027" t="s">
        <v>13</v>
      </c>
      <c r="J1027" t="s">
        <v>13</v>
      </c>
    </row>
    <row r="1028" spans="1:11" x14ac:dyDescent="0.25">
      <c r="A1028" t="s">
        <v>5</v>
      </c>
      <c r="B1028" t="str">
        <f>"37151"</f>
        <v>37151</v>
      </c>
      <c r="C1028" t="str">
        <f>"002"</f>
        <v>002</v>
      </c>
      <c r="D1028">
        <v>2016</v>
      </c>
      <c r="E1028">
        <v>8239900</v>
      </c>
      <c r="F1028">
        <v>7093100</v>
      </c>
      <c r="G1028" t="s">
        <v>11</v>
      </c>
      <c r="H1028" t="s">
        <v>38</v>
      </c>
      <c r="I1028" t="s">
        <v>13</v>
      </c>
      <c r="J1028" t="s">
        <v>13</v>
      </c>
    </row>
    <row r="1029" spans="1:11" x14ac:dyDescent="0.25">
      <c r="A1029" t="s">
        <v>39</v>
      </c>
      <c r="B1029" t="s">
        <v>13</v>
      </c>
      <c r="C1029" t="s">
        <v>7</v>
      </c>
      <c r="D1029" t="s">
        <v>8</v>
      </c>
      <c r="E1029">
        <v>41782200</v>
      </c>
      <c r="F1029">
        <v>33274000</v>
      </c>
      <c r="G1029" t="s">
        <v>11</v>
      </c>
      <c r="H1029">
        <v>156845900</v>
      </c>
      <c r="I1029" t="s">
        <v>13</v>
      </c>
      <c r="J1029" t="s">
        <v>13</v>
      </c>
      <c r="K1029">
        <v>21.21</v>
      </c>
    </row>
    <row r="1031" spans="1:11" x14ac:dyDescent="0.25">
      <c r="A1031" t="s">
        <v>253</v>
      </c>
      <c r="B1031" t="str">
        <f>"36147"</f>
        <v>36147</v>
      </c>
      <c r="C1031" t="str">
        <f>"001"</f>
        <v>001</v>
      </c>
      <c r="D1031">
        <v>2017</v>
      </c>
      <c r="E1031">
        <v>3675600</v>
      </c>
      <c r="F1031">
        <v>2428200</v>
      </c>
      <c r="G1031" t="s">
        <v>11</v>
      </c>
      <c r="H1031" t="s">
        <v>38</v>
      </c>
      <c r="I1031" t="s">
        <v>13</v>
      </c>
      <c r="J1031" t="s">
        <v>13</v>
      </c>
    </row>
    <row r="1032" spans="1:11" x14ac:dyDescent="0.25">
      <c r="A1032" t="s">
        <v>39</v>
      </c>
      <c r="B1032" t="s">
        <v>13</v>
      </c>
      <c r="C1032" t="s">
        <v>7</v>
      </c>
      <c r="D1032" t="s">
        <v>8</v>
      </c>
      <c r="E1032">
        <v>3675600</v>
      </c>
      <c r="F1032">
        <v>2428200</v>
      </c>
      <c r="G1032" t="s">
        <v>11</v>
      </c>
      <c r="H1032">
        <v>20204900</v>
      </c>
      <c r="I1032" t="s">
        <v>13</v>
      </c>
      <c r="J1032" t="s">
        <v>13</v>
      </c>
      <c r="K1032">
        <v>12.02</v>
      </c>
    </row>
    <row r="1034" spans="1:11" x14ac:dyDescent="0.25">
      <c r="A1034" t="s">
        <v>254</v>
      </c>
      <c r="B1034" t="str">
        <f t="shared" ref="B1034:B1041" si="15">"38251"</f>
        <v>38251</v>
      </c>
      <c r="C1034" t="str">
        <f>"006"</f>
        <v>006</v>
      </c>
      <c r="D1034">
        <v>2002</v>
      </c>
      <c r="E1034">
        <v>7550500</v>
      </c>
      <c r="F1034">
        <v>7227400</v>
      </c>
      <c r="G1034" t="s">
        <v>11</v>
      </c>
      <c r="H1034" t="s">
        <v>38</v>
      </c>
      <c r="I1034" t="s">
        <v>13</v>
      </c>
      <c r="J1034" t="s">
        <v>13</v>
      </c>
    </row>
    <row r="1035" spans="1:11" x14ac:dyDescent="0.25">
      <c r="A1035" t="s">
        <v>5</v>
      </c>
      <c r="B1035" t="str">
        <f t="shared" si="15"/>
        <v>38251</v>
      </c>
      <c r="C1035" t="str">
        <f>"007"</f>
        <v>007</v>
      </c>
      <c r="D1035">
        <v>2005</v>
      </c>
      <c r="E1035">
        <v>5442400</v>
      </c>
      <c r="F1035">
        <v>2548700</v>
      </c>
      <c r="G1035" t="s">
        <v>11</v>
      </c>
      <c r="H1035" t="s">
        <v>38</v>
      </c>
      <c r="I1035" t="s">
        <v>13</v>
      </c>
      <c r="J1035" t="s">
        <v>13</v>
      </c>
    </row>
    <row r="1036" spans="1:11" x14ac:dyDescent="0.25">
      <c r="A1036" t="s">
        <v>5</v>
      </c>
      <c r="B1036" t="str">
        <f t="shared" si="15"/>
        <v>38251</v>
      </c>
      <c r="C1036" t="str">
        <f>"008"</f>
        <v>008</v>
      </c>
      <c r="D1036">
        <v>2007</v>
      </c>
      <c r="E1036">
        <v>8193700</v>
      </c>
      <c r="F1036">
        <v>6759000</v>
      </c>
      <c r="G1036" t="s">
        <v>11</v>
      </c>
      <c r="H1036" t="s">
        <v>38</v>
      </c>
      <c r="I1036" t="s">
        <v>13</v>
      </c>
      <c r="J1036" t="s">
        <v>13</v>
      </c>
    </row>
    <row r="1037" spans="1:11" x14ac:dyDescent="0.25">
      <c r="A1037" t="s">
        <v>5</v>
      </c>
      <c r="B1037" t="str">
        <f t="shared" si="15"/>
        <v>38251</v>
      </c>
      <c r="C1037" t="str">
        <f>"009"</f>
        <v>009</v>
      </c>
      <c r="D1037">
        <v>2009</v>
      </c>
      <c r="E1037">
        <v>1706200</v>
      </c>
      <c r="F1037">
        <v>1393300</v>
      </c>
      <c r="G1037" t="s">
        <v>11</v>
      </c>
      <c r="H1037" t="s">
        <v>38</v>
      </c>
      <c r="I1037" t="s">
        <v>13</v>
      </c>
      <c r="J1037" t="s">
        <v>13</v>
      </c>
    </row>
    <row r="1038" spans="1:11" x14ac:dyDescent="0.25">
      <c r="A1038" t="s">
        <v>5</v>
      </c>
      <c r="B1038" t="str">
        <f t="shared" si="15"/>
        <v>38251</v>
      </c>
      <c r="C1038" t="str">
        <f>"010"</f>
        <v>010</v>
      </c>
      <c r="D1038">
        <v>2010</v>
      </c>
      <c r="E1038">
        <v>13942800</v>
      </c>
      <c r="F1038">
        <v>10442300</v>
      </c>
      <c r="G1038" t="s">
        <v>11</v>
      </c>
      <c r="H1038" t="s">
        <v>38</v>
      </c>
      <c r="I1038" t="s">
        <v>13</v>
      </c>
      <c r="J1038" t="s">
        <v>13</v>
      </c>
    </row>
    <row r="1039" spans="1:11" x14ac:dyDescent="0.25">
      <c r="A1039" t="s">
        <v>5</v>
      </c>
      <c r="B1039" t="str">
        <f t="shared" si="15"/>
        <v>38251</v>
      </c>
      <c r="C1039" t="str">
        <f>"011"</f>
        <v>011</v>
      </c>
      <c r="D1039">
        <v>2011</v>
      </c>
      <c r="E1039">
        <v>32487800</v>
      </c>
      <c r="F1039">
        <v>17109100</v>
      </c>
      <c r="G1039" t="s">
        <v>11</v>
      </c>
      <c r="H1039" t="s">
        <v>38</v>
      </c>
      <c r="I1039" t="s">
        <v>13</v>
      </c>
      <c r="J1039" t="s">
        <v>13</v>
      </c>
    </row>
    <row r="1040" spans="1:11" x14ac:dyDescent="0.25">
      <c r="A1040" t="s">
        <v>5</v>
      </c>
      <c r="B1040" t="str">
        <f t="shared" si="15"/>
        <v>38251</v>
      </c>
      <c r="C1040" t="str">
        <f>"012"</f>
        <v>012</v>
      </c>
      <c r="D1040">
        <v>2012</v>
      </c>
      <c r="E1040">
        <v>3256200</v>
      </c>
      <c r="F1040">
        <v>1622300</v>
      </c>
      <c r="G1040" t="s">
        <v>11</v>
      </c>
      <c r="H1040" t="s">
        <v>38</v>
      </c>
      <c r="I1040" t="s">
        <v>13</v>
      </c>
      <c r="J1040" t="s">
        <v>13</v>
      </c>
    </row>
    <row r="1041" spans="1:11" x14ac:dyDescent="0.25">
      <c r="A1041" t="s">
        <v>5</v>
      </c>
      <c r="B1041" t="str">
        <f t="shared" si="15"/>
        <v>38251</v>
      </c>
      <c r="C1041" t="str">
        <f>"013"</f>
        <v>013</v>
      </c>
      <c r="D1041">
        <v>2016</v>
      </c>
      <c r="E1041">
        <v>15696400</v>
      </c>
      <c r="F1041">
        <v>11045700</v>
      </c>
      <c r="G1041" t="s">
        <v>11</v>
      </c>
      <c r="H1041" t="s">
        <v>38</v>
      </c>
      <c r="I1041" t="s">
        <v>13</v>
      </c>
      <c r="J1041" t="s">
        <v>13</v>
      </c>
    </row>
    <row r="1042" spans="1:11" x14ac:dyDescent="0.25">
      <c r="A1042" t="s">
        <v>39</v>
      </c>
      <c r="B1042" t="s">
        <v>13</v>
      </c>
      <c r="C1042" t="s">
        <v>7</v>
      </c>
      <c r="D1042" t="s">
        <v>8</v>
      </c>
      <c r="E1042">
        <v>88276000</v>
      </c>
      <c r="F1042">
        <v>58147800</v>
      </c>
      <c r="G1042" t="s">
        <v>11</v>
      </c>
      <c r="H1042">
        <v>756179800</v>
      </c>
      <c r="I1042" t="s">
        <v>13</v>
      </c>
      <c r="J1042" t="s">
        <v>13</v>
      </c>
      <c r="K1042">
        <v>7.69</v>
      </c>
    </row>
    <row r="1044" spans="1:11" x14ac:dyDescent="0.25">
      <c r="A1044" t="s">
        <v>255</v>
      </c>
      <c r="B1044" t="str">
        <f>"68252"</f>
        <v>68252</v>
      </c>
      <c r="C1044" t="str">
        <f>"002"</f>
        <v>002</v>
      </c>
      <c r="D1044">
        <v>1995</v>
      </c>
      <c r="E1044">
        <v>3453300</v>
      </c>
      <c r="F1044">
        <v>2582000</v>
      </c>
      <c r="G1044" t="s">
        <v>11</v>
      </c>
      <c r="H1044" t="s">
        <v>38</v>
      </c>
      <c r="I1044" t="s">
        <v>13</v>
      </c>
      <c r="J1044" t="s">
        <v>13</v>
      </c>
    </row>
    <row r="1045" spans="1:11" x14ac:dyDescent="0.25">
      <c r="A1045" t="s">
        <v>5</v>
      </c>
      <c r="B1045" t="str">
        <f>"58252"</f>
        <v>58252</v>
      </c>
      <c r="C1045" t="str">
        <f>"002"</f>
        <v>002</v>
      </c>
      <c r="D1045">
        <v>1995</v>
      </c>
      <c r="E1045">
        <v>5677100</v>
      </c>
      <c r="F1045">
        <v>4968500</v>
      </c>
      <c r="G1045" t="s">
        <v>11</v>
      </c>
      <c r="H1045" t="s">
        <v>38</v>
      </c>
      <c r="I1045" t="s">
        <v>13</v>
      </c>
      <c r="J1045" t="s">
        <v>13</v>
      </c>
    </row>
    <row r="1046" spans="1:11" x14ac:dyDescent="0.25">
      <c r="A1046" t="s">
        <v>39</v>
      </c>
      <c r="B1046" t="s">
        <v>13</v>
      </c>
      <c r="C1046" t="s">
        <v>7</v>
      </c>
      <c r="D1046" t="s">
        <v>8</v>
      </c>
      <c r="E1046">
        <v>9130400</v>
      </c>
      <c r="F1046">
        <v>7550500</v>
      </c>
      <c r="G1046" t="s">
        <v>11</v>
      </c>
      <c r="H1046">
        <v>64508800</v>
      </c>
      <c r="I1046" t="s">
        <v>13</v>
      </c>
      <c r="J1046" t="s">
        <v>13</v>
      </c>
      <c r="K1046">
        <v>11.7</v>
      </c>
    </row>
    <row r="1048" spans="1:11" x14ac:dyDescent="0.25">
      <c r="A1048" t="s">
        <v>256</v>
      </c>
      <c r="B1048" t="str">
        <f>"24251"</f>
        <v>24251</v>
      </c>
      <c r="C1048" t="str">
        <f>"001"</f>
        <v>001</v>
      </c>
      <c r="D1048">
        <v>1995</v>
      </c>
      <c r="E1048">
        <v>5063900</v>
      </c>
      <c r="F1048">
        <v>3737400</v>
      </c>
      <c r="G1048" t="s">
        <v>11</v>
      </c>
      <c r="H1048" t="s">
        <v>38</v>
      </c>
      <c r="I1048" t="s">
        <v>13</v>
      </c>
      <c r="J1048" t="s">
        <v>13</v>
      </c>
    </row>
    <row r="1049" spans="1:11" x14ac:dyDescent="0.25">
      <c r="A1049" t="s">
        <v>39</v>
      </c>
      <c r="B1049" t="s">
        <v>13</v>
      </c>
      <c r="C1049" t="s">
        <v>7</v>
      </c>
      <c r="D1049" t="s">
        <v>8</v>
      </c>
      <c r="E1049">
        <v>5063900</v>
      </c>
      <c r="F1049">
        <v>3737400</v>
      </c>
      <c r="G1049" t="s">
        <v>11</v>
      </c>
      <c r="H1049">
        <v>71301900</v>
      </c>
      <c r="I1049" t="s">
        <v>13</v>
      </c>
      <c r="J1049" t="s">
        <v>13</v>
      </c>
      <c r="K1049">
        <v>5.24</v>
      </c>
    </row>
    <row r="1051" spans="1:11" x14ac:dyDescent="0.25">
      <c r="A1051" t="s">
        <v>257</v>
      </c>
      <c r="B1051" t="str">
        <f>"13152"</f>
        <v>13152</v>
      </c>
      <c r="C1051" t="str">
        <f>"002"</f>
        <v>002</v>
      </c>
      <c r="D1051">
        <v>2018</v>
      </c>
      <c r="E1051">
        <v>19103700</v>
      </c>
      <c r="F1051">
        <v>4726600</v>
      </c>
      <c r="G1051" t="s">
        <v>11</v>
      </c>
      <c r="H1051" t="s">
        <v>38</v>
      </c>
      <c r="I1051" t="s">
        <v>13</v>
      </c>
      <c r="J1051" t="s">
        <v>13</v>
      </c>
    </row>
    <row r="1052" spans="1:11" x14ac:dyDescent="0.25">
      <c r="A1052" t="s">
        <v>39</v>
      </c>
      <c r="B1052" t="s">
        <v>13</v>
      </c>
      <c r="C1052" t="s">
        <v>7</v>
      </c>
      <c r="D1052" t="s">
        <v>8</v>
      </c>
      <c r="E1052">
        <v>19103700</v>
      </c>
      <c r="F1052">
        <v>4726600</v>
      </c>
      <c r="G1052" t="s">
        <v>11</v>
      </c>
      <c r="H1052">
        <v>234843900</v>
      </c>
      <c r="I1052" t="s">
        <v>13</v>
      </c>
      <c r="J1052" t="s">
        <v>13</v>
      </c>
      <c r="K1052">
        <v>2.0099999999999998</v>
      </c>
    </row>
    <row r="1054" spans="1:11" x14ac:dyDescent="0.25">
      <c r="A1054" t="s">
        <v>258</v>
      </c>
      <c r="B1054" t="str">
        <f t="shared" ref="B1054:B1060" si="16">"71251"</f>
        <v>71251</v>
      </c>
      <c r="C1054" t="str">
        <f>"002"</f>
        <v>002</v>
      </c>
      <c r="D1054">
        <v>1993</v>
      </c>
      <c r="E1054">
        <v>4874000</v>
      </c>
      <c r="F1054">
        <v>4874000</v>
      </c>
      <c r="G1054" t="s">
        <v>11</v>
      </c>
      <c r="H1054" t="s">
        <v>38</v>
      </c>
      <c r="I1054" t="s">
        <v>13</v>
      </c>
      <c r="J1054" t="s">
        <v>13</v>
      </c>
    </row>
    <row r="1055" spans="1:11" x14ac:dyDescent="0.25">
      <c r="A1055" t="s">
        <v>5</v>
      </c>
      <c r="B1055" t="str">
        <f t="shared" si="16"/>
        <v>71251</v>
      </c>
      <c r="C1055" t="str">
        <f>"004"</f>
        <v>004</v>
      </c>
      <c r="D1055">
        <v>1996</v>
      </c>
      <c r="E1055">
        <v>71412400</v>
      </c>
      <c r="F1055">
        <v>33654600</v>
      </c>
      <c r="G1055" t="s">
        <v>11</v>
      </c>
      <c r="H1055" t="s">
        <v>38</v>
      </c>
      <c r="I1055" t="s">
        <v>13</v>
      </c>
      <c r="J1055" t="s">
        <v>13</v>
      </c>
    </row>
    <row r="1056" spans="1:11" x14ac:dyDescent="0.25">
      <c r="A1056" t="s">
        <v>5</v>
      </c>
      <c r="B1056" t="str">
        <f t="shared" si="16"/>
        <v>71251</v>
      </c>
      <c r="C1056" t="str">
        <f>"005"</f>
        <v>005</v>
      </c>
      <c r="D1056">
        <v>1997</v>
      </c>
      <c r="E1056">
        <v>24737200</v>
      </c>
      <c r="F1056">
        <v>24437700</v>
      </c>
      <c r="G1056" t="s">
        <v>11</v>
      </c>
      <c r="H1056" t="s">
        <v>38</v>
      </c>
      <c r="I1056" t="s">
        <v>13</v>
      </c>
      <c r="J1056" t="s">
        <v>13</v>
      </c>
    </row>
    <row r="1057" spans="1:11" x14ac:dyDescent="0.25">
      <c r="A1057" t="s">
        <v>5</v>
      </c>
      <c r="B1057" t="str">
        <f t="shared" si="16"/>
        <v>71251</v>
      </c>
      <c r="C1057" t="str">
        <f>"007"</f>
        <v>007</v>
      </c>
      <c r="D1057">
        <v>2001</v>
      </c>
      <c r="E1057">
        <v>38395200</v>
      </c>
      <c r="F1057">
        <v>35983900</v>
      </c>
      <c r="G1057" t="s">
        <v>11</v>
      </c>
      <c r="H1057" t="s">
        <v>38</v>
      </c>
      <c r="I1057" t="s">
        <v>13</v>
      </c>
      <c r="J1057" t="s">
        <v>13</v>
      </c>
    </row>
    <row r="1058" spans="1:11" x14ac:dyDescent="0.25">
      <c r="A1058" t="s">
        <v>5</v>
      </c>
      <c r="B1058" t="str">
        <f t="shared" si="16"/>
        <v>71251</v>
      </c>
      <c r="C1058" t="str">
        <f>"009"</f>
        <v>009</v>
      </c>
      <c r="D1058">
        <v>2013</v>
      </c>
      <c r="E1058">
        <v>18684600</v>
      </c>
      <c r="F1058">
        <v>17199800</v>
      </c>
      <c r="G1058" t="s">
        <v>11</v>
      </c>
      <c r="H1058" t="s">
        <v>38</v>
      </c>
      <c r="I1058" t="s">
        <v>13</v>
      </c>
      <c r="J1058" t="s">
        <v>13</v>
      </c>
    </row>
    <row r="1059" spans="1:11" x14ac:dyDescent="0.25">
      <c r="A1059" t="s">
        <v>5</v>
      </c>
      <c r="B1059" t="str">
        <f t="shared" si="16"/>
        <v>71251</v>
      </c>
      <c r="C1059" t="str">
        <f>"010"</f>
        <v>010</v>
      </c>
      <c r="D1059">
        <v>2015</v>
      </c>
      <c r="E1059">
        <v>20148700</v>
      </c>
      <c r="F1059">
        <v>3614200</v>
      </c>
      <c r="G1059" t="s">
        <v>11</v>
      </c>
      <c r="H1059" t="s">
        <v>38</v>
      </c>
      <c r="I1059" t="s">
        <v>13</v>
      </c>
      <c r="J1059" t="s">
        <v>13</v>
      </c>
    </row>
    <row r="1060" spans="1:11" x14ac:dyDescent="0.25">
      <c r="A1060" t="s">
        <v>5</v>
      </c>
      <c r="B1060" t="str">
        <f t="shared" si="16"/>
        <v>71251</v>
      </c>
      <c r="C1060" t="str">
        <f>"011"</f>
        <v>011</v>
      </c>
      <c r="D1060">
        <v>2016</v>
      </c>
      <c r="E1060">
        <v>4203100</v>
      </c>
      <c r="F1060">
        <v>3659600</v>
      </c>
      <c r="G1060" t="s">
        <v>11</v>
      </c>
      <c r="H1060" t="s">
        <v>38</v>
      </c>
      <c r="I1060" t="s">
        <v>13</v>
      </c>
      <c r="J1060" t="s">
        <v>13</v>
      </c>
    </row>
    <row r="1061" spans="1:11" x14ac:dyDescent="0.25">
      <c r="A1061" t="s">
        <v>39</v>
      </c>
      <c r="B1061" t="s">
        <v>13</v>
      </c>
      <c r="C1061" t="s">
        <v>7</v>
      </c>
      <c r="D1061" t="s">
        <v>8</v>
      </c>
      <c r="E1061">
        <v>182455200</v>
      </c>
      <c r="F1061">
        <v>123423800</v>
      </c>
      <c r="G1061" t="s">
        <v>11</v>
      </c>
      <c r="H1061">
        <v>1701656000</v>
      </c>
      <c r="I1061" t="s">
        <v>13</v>
      </c>
      <c r="J1061" t="s">
        <v>13</v>
      </c>
      <c r="K1061">
        <v>7.25</v>
      </c>
    </row>
    <row r="1063" spans="1:11" x14ac:dyDescent="0.25">
      <c r="A1063" t="s">
        <v>259</v>
      </c>
      <c r="B1063" t="str">
        <f>"04151"</f>
        <v>04151</v>
      </c>
      <c r="C1063" t="str">
        <f>"001"</f>
        <v>001</v>
      </c>
      <c r="D1063">
        <v>1999</v>
      </c>
      <c r="E1063">
        <v>1046000</v>
      </c>
      <c r="F1063">
        <v>887000</v>
      </c>
      <c r="G1063" t="s">
        <v>11</v>
      </c>
      <c r="H1063" t="s">
        <v>38</v>
      </c>
      <c r="I1063" t="s">
        <v>13</v>
      </c>
      <c r="J1063" t="s">
        <v>13</v>
      </c>
    </row>
    <row r="1064" spans="1:11" x14ac:dyDescent="0.25">
      <c r="A1064" t="s">
        <v>39</v>
      </c>
      <c r="B1064" t="s">
        <v>13</v>
      </c>
      <c r="C1064" t="s">
        <v>7</v>
      </c>
      <c r="D1064" t="s">
        <v>8</v>
      </c>
      <c r="E1064">
        <v>1046000</v>
      </c>
      <c r="F1064">
        <v>887000</v>
      </c>
      <c r="G1064" t="s">
        <v>11</v>
      </c>
      <c r="H1064">
        <v>3650100</v>
      </c>
      <c r="I1064" t="s">
        <v>13</v>
      </c>
      <c r="J1064" t="s">
        <v>13</v>
      </c>
      <c r="K1064">
        <v>24.3</v>
      </c>
    </row>
    <row r="1066" spans="1:11" x14ac:dyDescent="0.25">
      <c r="A1066" t="s">
        <v>260</v>
      </c>
      <c r="B1066" t="str">
        <f>"29251"</f>
        <v>29251</v>
      </c>
      <c r="C1066" t="str">
        <f>"002"</f>
        <v>002</v>
      </c>
      <c r="D1066">
        <v>1995</v>
      </c>
      <c r="E1066">
        <v>20219100</v>
      </c>
      <c r="F1066">
        <v>17534200</v>
      </c>
      <c r="G1066" t="s">
        <v>11</v>
      </c>
      <c r="H1066" t="s">
        <v>38</v>
      </c>
      <c r="I1066" t="s">
        <v>13</v>
      </c>
      <c r="J1066" t="s">
        <v>13</v>
      </c>
    </row>
    <row r="1067" spans="1:11" x14ac:dyDescent="0.25">
      <c r="A1067" t="s">
        <v>5</v>
      </c>
      <c r="B1067" t="str">
        <f>"29251"</f>
        <v>29251</v>
      </c>
      <c r="C1067" t="str">
        <f>"003"</f>
        <v>003</v>
      </c>
      <c r="D1067">
        <v>1995</v>
      </c>
      <c r="E1067">
        <v>37305400</v>
      </c>
      <c r="F1067">
        <v>28120900</v>
      </c>
      <c r="G1067" t="s">
        <v>11</v>
      </c>
      <c r="H1067" t="s">
        <v>38</v>
      </c>
      <c r="I1067" t="s">
        <v>13</v>
      </c>
      <c r="J1067" t="s">
        <v>13</v>
      </c>
    </row>
    <row r="1068" spans="1:11" x14ac:dyDescent="0.25">
      <c r="A1068" t="s">
        <v>39</v>
      </c>
      <c r="B1068" t="s">
        <v>13</v>
      </c>
      <c r="C1068" t="s">
        <v>7</v>
      </c>
      <c r="D1068" t="s">
        <v>8</v>
      </c>
      <c r="E1068">
        <v>57524500</v>
      </c>
      <c r="F1068">
        <v>45655100</v>
      </c>
      <c r="G1068" t="s">
        <v>11</v>
      </c>
      <c r="H1068">
        <v>226013600</v>
      </c>
      <c r="I1068" t="s">
        <v>13</v>
      </c>
      <c r="J1068" t="s">
        <v>13</v>
      </c>
      <c r="K1068">
        <v>20.2</v>
      </c>
    </row>
    <row r="1070" spans="1:11" x14ac:dyDescent="0.25">
      <c r="A1070" t="s">
        <v>261</v>
      </c>
      <c r="B1070" t="str">
        <f>"14251"</f>
        <v>14251</v>
      </c>
      <c r="C1070" t="str">
        <f>"004"</f>
        <v>004</v>
      </c>
      <c r="D1070">
        <v>2009</v>
      </c>
      <c r="E1070">
        <v>2303500</v>
      </c>
      <c r="F1070">
        <v>754900</v>
      </c>
      <c r="G1070" t="s">
        <v>11</v>
      </c>
      <c r="H1070" t="s">
        <v>38</v>
      </c>
      <c r="I1070" t="s">
        <v>13</v>
      </c>
      <c r="J1070" t="s">
        <v>13</v>
      </c>
    </row>
    <row r="1071" spans="1:11" x14ac:dyDescent="0.25">
      <c r="A1071" t="s">
        <v>5</v>
      </c>
      <c r="B1071" t="str">
        <f>"14251"</f>
        <v>14251</v>
      </c>
      <c r="C1071" t="str">
        <f>"005"</f>
        <v>005</v>
      </c>
      <c r="D1071">
        <v>2013</v>
      </c>
      <c r="E1071">
        <v>6086900</v>
      </c>
      <c r="F1071">
        <v>3753700</v>
      </c>
      <c r="G1071" t="s">
        <v>11</v>
      </c>
      <c r="H1071" t="s">
        <v>38</v>
      </c>
      <c r="I1071" t="s">
        <v>13</v>
      </c>
      <c r="J1071" t="s">
        <v>13</v>
      </c>
    </row>
    <row r="1072" spans="1:11" x14ac:dyDescent="0.25">
      <c r="A1072" t="s">
        <v>39</v>
      </c>
      <c r="B1072" t="s">
        <v>13</v>
      </c>
      <c r="C1072" t="s">
        <v>7</v>
      </c>
      <c r="D1072" t="s">
        <v>8</v>
      </c>
      <c r="E1072">
        <v>8390400</v>
      </c>
      <c r="F1072">
        <v>4508600</v>
      </c>
      <c r="G1072" t="s">
        <v>11</v>
      </c>
      <c r="H1072">
        <v>375715200</v>
      </c>
      <c r="I1072" t="s">
        <v>13</v>
      </c>
      <c r="J1072" t="s">
        <v>13</v>
      </c>
      <c r="K1072">
        <v>1.2</v>
      </c>
    </row>
    <row r="1074" spans="1:11" x14ac:dyDescent="0.25">
      <c r="A1074" t="s">
        <v>262</v>
      </c>
      <c r="B1074" t="str">
        <f>"13153"</f>
        <v>13153</v>
      </c>
      <c r="C1074" t="str">
        <f>"004"</f>
        <v>004</v>
      </c>
      <c r="D1074">
        <v>2005</v>
      </c>
      <c r="E1074">
        <v>17604800</v>
      </c>
      <c r="F1074">
        <v>12021300</v>
      </c>
      <c r="G1074" t="s">
        <v>11</v>
      </c>
      <c r="H1074" t="s">
        <v>38</v>
      </c>
      <c r="I1074" t="s">
        <v>13</v>
      </c>
      <c r="J1074" t="s">
        <v>13</v>
      </c>
    </row>
    <row r="1075" spans="1:11" x14ac:dyDescent="0.25">
      <c r="A1075" t="s">
        <v>5</v>
      </c>
      <c r="B1075" t="str">
        <f>"13153"</f>
        <v>13153</v>
      </c>
      <c r="C1075" t="str">
        <f>"005"</f>
        <v>005</v>
      </c>
      <c r="D1075">
        <v>2005</v>
      </c>
      <c r="E1075">
        <v>5394200</v>
      </c>
      <c r="F1075">
        <v>799600</v>
      </c>
      <c r="G1075" t="s">
        <v>11</v>
      </c>
      <c r="H1075" t="s">
        <v>38</v>
      </c>
      <c r="I1075" t="s">
        <v>13</v>
      </c>
      <c r="J1075" t="s">
        <v>13</v>
      </c>
    </row>
    <row r="1076" spans="1:11" x14ac:dyDescent="0.25">
      <c r="A1076" t="s">
        <v>39</v>
      </c>
      <c r="B1076" t="s">
        <v>13</v>
      </c>
      <c r="C1076" t="s">
        <v>7</v>
      </c>
      <c r="D1076" t="s">
        <v>8</v>
      </c>
      <c r="E1076">
        <v>22999000</v>
      </c>
      <c r="F1076">
        <v>12820900</v>
      </c>
      <c r="G1076" t="s">
        <v>11</v>
      </c>
      <c r="H1076">
        <v>173152400</v>
      </c>
      <c r="I1076" t="s">
        <v>13</v>
      </c>
      <c r="J1076" t="s">
        <v>13</v>
      </c>
      <c r="K1076">
        <v>7.4</v>
      </c>
    </row>
    <row r="1078" spans="1:11" x14ac:dyDescent="0.25">
      <c r="A1078" t="s">
        <v>263</v>
      </c>
      <c r="B1078" t="str">
        <f>"13154"</f>
        <v>13154</v>
      </c>
      <c r="C1078" t="str">
        <f>"003"</f>
        <v>003</v>
      </c>
      <c r="D1078">
        <v>2004</v>
      </c>
      <c r="E1078">
        <v>65976300</v>
      </c>
      <c r="F1078">
        <v>38978900</v>
      </c>
      <c r="G1078" t="s">
        <v>11</v>
      </c>
      <c r="H1078" t="s">
        <v>38</v>
      </c>
      <c r="I1078" t="s">
        <v>13</v>
      </c>
      <c r="J1078" t="s">
        <v>13</v>
      </c>
    </row>
    <row r="1079" spans="1:11" x14ac:dyDescent="0.25">
      <c r="A1079" t="s">
        <v>5</v>
      </c>
      <c r="B1079" t="str">
        <f>"13154"</f>
        <v>13154</v>
      </c>
      <c r="C1079" t="str">
        <f>"004"</f>
        <v>004</v>
      </c>
      <c r="D1079">
        <v>2008</v>
      </c>
      <c r="E1079">
        <v>11661500</v>
      </c>
      <c r="F1079">
        <v>4078400</v>
      </c>
      <c r="G1079" t="s">
        <v>11</v>
      </c>
      <c r="H1079" t="s">
        <v>38</v>
      </c>
      <c r="I1079" t="s">
        <v>13</v>
      </c>
      <c r="J1079" t="s">
        <v>13</v>
      </c>
    </row>
    <row r="1080" spans="1:11" x14ac:dyDescent="0.25">
      <c r="A1080" t="s">
        <v>5</v>
      </c>
      <c r="B1080" t="str">
        <f>"13154"</f>
        <v>13154</v>
      </c>
      <c r="C1080" t="str">
        <f>"005"</f>
        <v>005</v>
      </c>
      <c r="D1080">
        <v>2018</v>
      </c>
      <c r="E1080">
        <v>17863700</v>
      </c>
      <c r="F1080">
        <v>833600</v>
      </c>
      <c r="G1080" t="s">
        <v>11</v>
      </c>
      <c r="H1080" t="s">
        <v>38</v>
      </c>
      <c r="I1080" t="s">
        <v>13</v>
      </c>
      <c r="J1080" t="s">
        <v>13</v>
      </c>
    </row>
    <row r="1081" spans="1:11" x14ac:dyDescent="0.25">
      <c r="A1081" t="s">
        <v>39</v>
      </c>
      <c r="B1081" t="s">
        <v>13</v>
      </c>
      <c r="C1081" t="s">
        <v>7</v>
      </c>
      <c r="D1081" t="s">
        <v>8</v>
      </c>
      <c r="E1081">
        <v>95501500</v>
      </c>
      <c r="F1081">
        <v>43890900</v>
      </c>
      <c r="G1081" t="s">
        <v>11</v>
      </c>
      <c r="H1081">
        <v>1056153600</v>
      </c>
      <c r="I1081" t="s">
        <v>13</v>
      </c>
      <c r="J1081" t="s">
        <v>13</v>
      </c>
      <c r="K1081">
        <v>4.16</v>
      </c>
    </row>
    <row r="1083" spans="1:11" x14ac:dyDescent="0.25">
      <c r="A1083" t="s">
        <v>264</v>
      </c>
      <c r="B1083" t="str">
        <f t="shared" ref="B1083:B1090" si="17">"60251"</f>
        <v>60251</v>
      </c>
      <c r="C1083" t="str">
        <f>"005"</f>
        <v>005</v>
      </c>
      <c r="D1083">
        <v>1989</v>
      </c>
      <c r="E1083">
        <v>7213900</v>
      </c>
      <c r="F1083">
        <v>2026000</v>
      </c>
      <c r="G1083" t="s">
        <v>11</v>
      </c>
      <c r="H1083" t="s">
        <v>38</v>
      </c>
      <c r="I1083" t="s">
        <v>13</v>
      </c>
      <c r="J1083" t="s">
        <v>13</v>
      </c>
    </row>
    <row r="1084" spans="1:11" x14ac:dyDescent="0.25">
      <c r="A1084" t="s">
        <v>5</v>
      </c>
      <c r="B1084" t="str">
        <f t="shared" si="17"/>
        <v>60251</v>
      </c>
      <c r="C1084" t="str">
        <f>"006"</f>
        <v>006</v>
      </c>
      <c r="D1084">
        <v>1996</v>
      </c>
      <c r="E1084">
        <v>4176700</v>
      </c>
      <c r="F1084">
        <v>2759100</v>
      </c>
      <c r="G1084" t="s">
        <v>11</v>
      </c>
      <c r="H1084" t="s">
        <v>38</v>
      </c>
      <c r="I1084" t="s">
        <v>13</v>
      </c>
      <c r="J1084" t="s">
        <v>13</v>
      </c>
    </row>
    <row r="1085" spans="1:11" x14ac:dyDescent="0.25">
      <c r="A1085" t="s">
        <v>5</v>
      </c>
      <c r="B1085" t="str">
        <f t="shared" si="17"/>
        <v>60251</v>
      </c>
      <c r="C1085" t="str">
        <f>"007"</f>
        <v>007</v>
      </c>
      <c r="D1085">
        <v>1997</v>
      </c>
      <c r="E1085">
        <v>2672800</v>
      </c>
      <c r="F1085">
        <v>1183900</v>
      </c>
      <c r="G1085" t="s">
        <v>11</v>
      </c>
      <c r="H1085" t="s">
        <v>38</v>
      </c>
      <c r="I1085" t="s">
        <v>13</v>
      </c>
      <c r="J1085" t="s">
        <v>13</v>
      </c>
    </row>
    <row r="1086" spans="1:11" x14ac:dyDescent="0.25">
      <c r="A1086" t="s">
        <v>5</v>
      </c>
      <c r="B1086" t="str">
        <f t="shared" si="17"/>
        <v>60251</v>
      </c>
      <c r="C1086" t="str">
        <f>"008"</f>
        <v>008</v>
      </c>
      <c r="D1086">
        <v>1997</v>
      </c>
      <c r="E1086">
        <v>2164500</v>
      </c>
      <c r="F1086">
        <v>1468600</v>
      </c>
      <c r="G1086" t="s">
        <v>11</v>
      </c>
      <c r="H1086" t="s">
        <v>38</v>
      </c>
      <c r="I1086" t="s">
        <v>13</v>
      </c>
      <c r="J1086" t="s">
        <v>13</v>
      </c>
    </row>
    <row r="1087" spans="1:11" x14ac:dyDescent="0.25">
      <c r="A1087" t="s">
        <v>5</v>
      </c>
      <c r="B1087" t="str">
        <f t="shared" si="17"/>
        <v>60251</v>
      </c>
      <c r="C1087" t="str">
        <f>"010"</f>
        <v>010</v>
      </c>
      <c r="D1087">
        <v>1999</v>
      </c>
      <c r="E1087">
        <v>2596000</v>
      </c>
      <c r="F1087">
        <v>2355800</v>
      </c>
      <c r="G1087" t="s">
        <v>11</v>
      </c>
      <c r="H1087" t="s">
        <v>38</v>
      </c>
      <c r="I1087" t="s">
        <v>13</v>
      </c>
      <c r="J1087" t="s">
        <v>13</v>
      </c>
    </row>
    <row r="1088" spans="1:11" x14ac:dyDescent="0.25">
      <c r="A1088" t="s">
        <v>5</v>
      </c>
      <c r="B1088" t="str">
        <f t="shared" si="17"/>
        <v>60251</v>
      </c>
      <c r="C1088" t="str">
        <f>"011"</f>
        <v>011</v>
      </c>
      <c r="D1088">
        <v>1999</v>
      </c>
      <c r="E1088">
        <v>4347900</v>
      </c>
      <c r="F1088">
        <v>3163900</v>
      </c>
      <c r="G1088" t="s">
        <v>11</v>
      </c>
      <c r="H1088" t="s">
        <v>38</v>
      </c>
      <c r="I1088" t="s">
        <v>13</v>
      </c>
      <c r="J1088" t="s">
        <v>13</v>
      </c>
    </row>
    <row r="1089" spans="1:11" x14ac:dyDescent="0.25">
      <c r="A1089" t="s">
        <v>5</v>
      </c>
      <c r="B1089" t="str">
        <f t="shared" si="17"/>
        <v>60251</v>
      </c>
      <c r="C1089" t="str">
        <f>"012"</f>
        <v>012</v>
      </c>
      <c r="D1089">
        <v>2000</v>
      </c>
      <c r="E1089">
        <v>28593900</v>
      </c>
      <c r="F1089">
        <v>25906200</v>
      </c>
      <c r="G1089" t="s">
        <v>11</v>
      </c>
      <c r="H1089" t="s">
        <v>38</v>
      </c>
      <c r="I1089" t="s">
        <v>13</v>
      </c>
      <c r="J1089" t="s">
        <v>13</v>
      </c>
    </row>
    <row r="1090" spans="1:11" x14ac:dyDescent="0.25">
      <c r="A1090" t="s">
        <v>5</v>
      </c>
      <c r="B1090" t="str">
        <f t="shared" si="17"/>
        <v>60251</v>
      </c>
      <c r="C1090" t="str">
        <f>"013"</f>
        <v>013</v>
      </c>
      <c r="D1090">
        <v>2005</v>
      </c>
      <c r="E1090">
        <v>15523500</v>
      </c>
      <c r="F1090">
        <v>12141500</v>
      </c>
      <c r="G1090" t="s">
        <v>11</v>
      </c>
      <c r="H1090" t="s">
        <v>38</v>
      </c>
      <c r="I1090" t="s">
        <v>13</v>
      </c>
      <c r="J1090" t="s">
        <v>13</v>
      </c>
    </row>
    <row r="1091" spans="1:11" x14ac:dyDescent="0.25">
      <c r="A1091" t="s">
        <v>39</v>
      </c>
      <c r="B1091" t="s">
        <v>13</v>
      </c>
      <c r="C1091" t="s">
        <v>7</v>
      </c>
      <c r="D1091" t="s">
        <v>8</v>
      </c>
      <c r="E1091">
        <v>67289200</v>
      </c>
      <c r="F1091">
        <v>51005000</v>
      </c>
      <c r="G1091" t="s">
        <v>11</v>
      </c>
      <c r="H1091">
        <v>313644200</v>
      </c>
      <c r="I1091" t="s">
        <v>13</v>
      </c>
      <c r="J1091" t="s">
        <v>13</v>
      </c>
      <c r="K1091">
        <v>16.260000000000002</v>
      </c>
    </row>
    <row r="1093" spans="1:11" x14ac:dyDescent="0.25">
      <c r="A1093" t="s">
        <v>265</v>
      </c>
      <c r="B1093" t="str">
        <f>"70251"</f>
        <v>70251</v>
      </c>
      <c r="C1093" t="str">
        <f>"004"</f>
        <v>004</v>
      </c>
      <c r="D1093">
        <v>1997</v>
      </c>
      <c r="E1093">
        <v>7954400</v>
      </c>
      <c r="F1093">
        <v>3758400</v>
      </c>
      <c r="G1093" t="s">
        <v>11</v>
      </c>
      <c r="H1093" t="s">
        <v>38</v>
      </c>
      <c r="I1093" t="s">
        <v>13</v>
      </c>
      <c r="J1093" t="s">
        <v>13</v>
      </c>
    </row>
    <row r="1094" spans="1:11" x14ac:dyDescent="0.25">
      <c r="A1094" t="s">
        <v>5</v>
      </c>
      <c r="B1094" t="str">
        <f>"70251"</f>
        <v>70251</v>
      </c>
      <c r="C1094" t="str">
        <f>"006"</f>
        <v>006</v>
      </c>
      <c r="D1094">
        <v>1998</v>
      </c>
      <c r="E1094">
        <v>24608100</v>
      </c>
      <c r="F1094">
        <v>19039300</v>
      </c>
      <c r="G1094" t="s">
        <v>11</v>
      </c>
      <c r="H1094" t="s">
        <v>38</v>
      </c>
      <c r="I1094" t="s">
        <v>13</v>
      </c>
      <c r="J1094" t="s">
        <v>13</v>
      </c>
    </row>
    <row r="1095" spans="1:11" x14ac:dyDescent="0.25">
      <c r="A1095" t="s">
        <v>5</v>
      </c>
      <c r="B1095" t="str">
        <f>"70251"</f>
        <v>70251</v>
      </c>
      <c r="C1095" t="str">
        <f>"007"</f>
        <v>007</v>
      </c>
      <c r="D1095">
        <v>2003</v>
      </c>
      <c r="E1095">
        <v>5257600</v>
      </c>
      <c r="F1095">
        <v>4570300</v>
      </c>
      <c r="G1095" t="s">
        <v>11</v>
      </c>
      <c r="H1095" t="s">
        <v>38</v>
      </c>
      <c r="I1095" t="s">
        <v>13</v>
      </c>
      <c r="J1095" t="s">
        <v>13</v>
      </c>
    </row>
    <row r="1096" spans="1:11" x14ac:dyDescent="0.25">
      <c r="A1096" t="s">
        <v>5</v>
      </c>
      <c r="B1096" t="str">
        <f>"70251"</f>
        <v>70251</v>
      </c>
      <c r="C1096" t="str">
        <f>"008"</f>
        <v>008</v>
      </c>
      <c r="D1096">
        <v>2005</v>
      </c>
      <c r="E1096">
        <v>4075200</v>
      </c>
      <c r="F1096">
        <v>3590700</v>
      </c>
      <c r="G1096" t="s">
        <v>11</v>
      </c>
      <c r="H1096" t="s">
        <v>38</v>
      </c>
      <c r="I1096" t="s">
        <v>13</v>
      </c>
      <c r="J1096" t="s">
        <v>13</v>
      </c>
    </row>
    <row r="1097" spans="1:11" x14ac:dyDescent="0.25">
      <c r="A1097" t="s">
        <v>5</v>
      </c>
      <c r="B1097" t="str">
        <f>"08251"</f>
        <v>08251</v>
      </c>
      <c r="C1097" t="str">
        <f>"009"</f>
        <v>009</v>
      </c>
      <c r="D1097">
        <v>2005</v>
      </c>
      <c r="E1097">
        <v>39545800</v>
      </c>
      <c r="F1097">
        <v>36087400</v>
      </c>
      <c r="G1097" t="s">
        <v>11</v>
      </c>
      <c r="H1097" t="s">
        <v>38</v>
      </c>
      <c r="I1097" t="s">
        <v>13</v>
      </c>
      <c r="J1097" t="s">
        <v>13</v>
      </c>
    </row>
    <row r="1098" spans="1:11" x14ac:dyDescent="0.25">
      <c r="A1098" t="s">
        <v>5</v>
      </c>
      <c r="B1098" t="str">
        <f>"70251"</f>
        <v>70251</v>
      </c>
      <c r="C1098" t="str">
        <f>"010"</f>
        <v>010</v>
      </c>
      <c r="D1098">
        <v>2006</v>
      </c>
      <c r="E1098">
        <v>12176400</v>
      </c>
      <c r="F1098">
        <v>2474500</v>
      </c>
      <c r="G1098" t="s">
        <v>11</v>
      </c>
      <c r="H1098" t="s">
        <v>38</v>
      </c>
      <c r="I1098" t="s">
        <v>13</v>
      </c>
      <c r="J1098" t="s">
        <v>13</v>
      </c>
    </row>
    <row r="1099" spans="1:11" x14ac:dyDescent="0.25">
      <c r="A1099" t="s">
        <v>5</v>
      </c>
      <c r="B1099" t="str">
        <f>"70251"</f>
        <v>70251</v>
      </c>
      <c r="C1099" t="str">
        <f>"011"</f>
        <v>011</v>
      </c>
      <c r="D1099">
        <v>2007</v>
      </c>
      <c r="E1099">
        <v>3544000</v>
      </c>
      <c r="F1099">
        <v>3259100</v>
      </c>
      <c r="G1099" t="s">
        <v>11</v>
      </c>
      <c r="H1099" t="s">
        <v>38</v>
      </c>
      <c r="I1099" t="s">
        <v>13</v>
      </c>
      <c r="J1099" t="s">
        <v>13</v>
      </c>
    </row>
    <row r="1100" spans="1:11" x14ac:dyDescent="0.25">
      <c r="A1100" t="s">
        <v>5</v>
      </c>
      <c r="B1100" t="str">
        <f>"08251"</f>
        <v>08251</v>
      </c>
      <c r="C1100" t="str">
        <f>"012"</f>
        <v>012</v>
      </c>
      <c r="D1100">
        <v>2011</v>
      </c>
      <c r="E1100">
        <v>62258300</v>
      </c>
      <c r="F1100">
        <v>40542700</v>
      </c>
      <c r="G1100" t="s">
        <v>11</v>
      </c>
      <c r="H1100" t="s">
        <v>38</v>
      </c>
      <c r="I1100" t="s">
        <v>13</v>
      </c>
      <c r="J1100" t="s">
        <v>13</v>
      </c>
    </row>
    <row r="1101" spans="1:11" x14ac:dyDescent="0.25">
      <c r="A1101" t="s">
        <v>5</v>
      </c>
      <c r="B1101" t="str">
        <f>"70251"</f>
        <v>70251</v>
      </c>
      <c r="C1101" t="str">
        <f>"013"</f>
        <v>013</v>
      </c>
      <c r="D1101">
        <v>2015</v>
      </c>
      <c r="E1101">
        <v>17127300</v>
      </c>
      <c r="F1101">
        <v>16879100</v>
      </c>
      <c r="G1101" t="s">
        <v>11</v>
      </c>
      <c r="H1101" t="s">
        <v>38</v>
      </c>
      <c r="I1101" t="s">
        <v>13</v>
      </c>
      <c r="J1101" t="s">
        <v>13</v>
      </c>
    </row>
    <row r="1102" spans="1:11" x14ac:dyDescent="0.25">
      <c r="A1102" t="s">
        <v>39</v>
      </c>
      <c r="B1102" t="s">
        <v>13</v>
      </c>
      <c r="C1102" t="s">
        <v>7</v>
      </c>
      <c r="D1102" t="s">
        <v>8</v>
      </c>
      <c r="E1102">
        <v>176547100</v>
      </c>
      <c r="F1102">
        <v>130201500</v>
      </c>
      <c r="G1102" t="s">
        <v>11</v>
      </c>
      <c r="H1102">
        <v>1196723000</v>
      </c>
      <c r="I1102" t="s">
        <v>13</v>
      </c>
      <c r="J1102" t="s">
        <v>13</v>
      </c>
      <c r="K1102">
        <v>10.88</v>
      </c>
    </row>
    <row r="1104" spans="1:11" x14ac:dyDescent="0.25">
      <c r="A1104" t="s">
        <v>266</v>
      </c>
      <c r="B1104" t="str">
        <f t="shared" ref="B1104:B1110" si="18">"67151"</f>
        <v>67151</v>
      </c>
      <c r="C1104" t="str">
        <f>"006"</f>
        <v>006</v>
      </c>
      <c r="D1104">
        <v>2006</v>
      </c>
      <c r="E1104">
        <v>62597700</v>
      </c>
      <c r="F1104">
        <v>14769700</v>
      </c>
      <c r="G1104" t="s">
        <v>11</v>
      </c>
      <c r="H1104" t="s">
        <v>38</v>
      </c>
      <c r="I1104" t="s">
        <v>13</v>
      </c>
      <c r="J1104" t="s">
        <v>13</v>
      </c>
    </row>
    <row r="1105" spans="1:11" x14ac:dyDescent="0.25">
      <c r="A1105" t="s">
        <v>5</v>
      </c>
      <c r="B1105" t="str">
        <f t="shared" si="18"/>
        <v>67151</v>
      </c>
      <c r="C1105" t="str">
        <f>"007"</f>
        <v>007</v>
      </c>
      <c r="D1105">
        <v>2008</v>
      </c>
      <c r="E1105">
        <v>22109500</v>
      </c>
      <c r="F1105">
        <v>21081400</v>
      </c>
      <c r="G1105" t="s">
        <v>11</v>
      </c>
      <c r="H1105" t="s">
        <v>38</v>
      </c>
      <c r="I1105" t="s">
        <v>13</v>
      </c>
      <c r="J1105" t="s">
        <v>13</v>
      </c>
    </row>
    <row r="1106" spans="1:11" x14ac:dyDescent="0.25">
      <c r="A1106" t="s">
        <v>5</v>
      </c>
      <c r="B1106" t="str">
        <f t="shared" si="18"/>
        <v>67151</v>
      </c>
      <c r="C1106" t="str">
        <f>"008"</f>
        <v>008</v>
      </c>
      <c r="D1106">
        <v>2008</v>
      </c>
      <c r="E1106">
        <v>99252400</v>
      </c>
      <c r="F1106">
        <v>90234800</v>
      </c>
      <c r="G1106" t="s">
        <v>11</v>
      </c>
      <c r="H1106" t="s">
        <v>38</v>
      </c>
      <c r="I1106" t="s">
        <v>13</v>
      </c>
      <c r="J1106" t="s">
        <v>13</v>
      </c>
    </row>
    <row r="1107" spans="1:11" x14ac:dyDescent="0.25">
      <c r="A1107" t="s">
        <v>5</v>
      </c>
      <c r="B1107" t="str">
        <f t="shared" si="18"/>
        <v>67151</v>
      </c>
      <c r="C1107" t="str">
        <f>"009"</f>
        <v>009</v>
      </c>
      <c r="D1107">
        <v>2010</v>
      </c>
      <c r="E1107">
        <v>119050000</v>
      </c>
      <c r="F1107">
        <v>14344600</v>
      </c>
      <c r="G1107" t="s">
        <v>11</v>
      </c>
      <c r="H1107" t="s">
        <v>38</v>
      </c>
      <c r="I1107" t="s">
        <v>13</v>
      </c>
      <c r="J1107" t="s">
        <v>13</v>
      </c>
    </row>
    <row r="1108" spans="1:11" x14ac:dyDescent="0.25">
      <c r="A1108" t="s">
        <v>5</v>
      </c>
      <c r="B1108" t="str">
        <f t="shared" si="18"/>
        <v>67151</v>
      </c>
      <c r="C1108" t="str">
        <f>"010"</f>
        <v>010</v>
      </c>
      <c r="D1108">
        <v>2011</v>
      </c>
      <c r="E1108">
        <v>61558900</v>
      </c>
      <c r="F1108">
        <v>15362800</v>
      </c>
      <c r="G1108" t="s">
        <v>11</v>
      </c>
      <c r="H1108" t="s">
        <v>38</v>
      </c>
      <c r="I1108" t="s">
        <v>13</v>
      </c>
      <c r="J1108" t="s">
        <v>13</v>
      </c>
    </row>
    <row r="1109" spans="1:11" x14ac:dyDescent="0.25">
      <c r="A1109" t="s">
        <v>5</v>
      </c>
      <c r="B1109" t="str">
        <f t="shared" si="18"/>
        <v>67151</v>
      </c>
      <c r="C1109" t="str">
        <f>"011"</f>
        <v>011</v>
      </c>
      <c r="D1109">
        <v>2011</v>
      </c>
      <c r="E1109">
        <v>15068200</v>
      </c>
      <c r="F1109">
        <v>3114600</v>
      </c>
      <c r="G1109" t="s">
        <v>11</v>
      </c>
      <c r="H1109" t="s">
        <v>38</v>
      </c>
      <c r="I1109" t="s">
        <v>13</v>
      </c>
      <c r="J1109" t="s">
        <v>13</v>
      </c>
    </row>
    <row r="1110" spans="1:11" x14ac:dyDescent="0.25">
      <c r="A1110" t="s">
        <v>5</v>
      </c>
      <c r="B1110" t="str">
        <f t="shared" si="18"/>
        <v>67151</v>
      </c>
      <c r="C1110" t="str">
        <f>"012"</f>
        <v>012</v>
      </c>
      <c r="D1110">
        <v>2014</v>
      </c>
      <c r="E1110">
        <v>17493400</v>
      </c>
      <c r="F1110">
        <v>12410000</v>
      </c>
      <c r="G1110" t="s">
        <v>11</v>
      </c>
      <c r="H1110" t="s">
        <v>38</v>
      </c>
      <c r="I1110" t="s">
        <v>13</v>
      </c>
      <c r="J1110" t="s">
        <v>13</v>
      </c>
    </row>
    <row r="1111" spans="1:11" x14ac:dyDescent="0.25">
      <c r="A1111" t="s">
        <v>39</v>
      </c>
      <c r="B1111" t="s">
        <v>13</v>
      </c>
      <c r="C1111" t="s">
        <v>7</v>
      </c>
      <c r="D1111" t="s">
        <v>8</v>
      </c>
      <c r="E1111">
        <v>397130100</v>
      </c>
      <c r="F1111">
        <v>171317900</v>
      </c>
      <c r="G1111" t="s">
        <v>11</v>
      </c>
      <c r="H1111">
        <v>5289929600</v>
      </c>
      <c r="I1111" t="s">
        <v>13</v>
      </c>
      <c r="J1111" t="s">
        <v>13</v>
      </c>
      <c r="K1111">
        <v>3.24</v>
      </c>
    </row>
    <row r="1113" spans="1:11" x14ac:dyDescent="0.25">
      <c r="A1113" t="s">
        <v>267</v>
      </c>
      <c r="B1113" t="str">
        <f>"17251"</f>
        <v>17251</v>
      </c>
      <c r="C1113" t="str">
        <f>"011"</f>
        <v>011</v>
      </c>
      <c r="D1113">
        <v>2001</v>
      </c>
      <c r="E1113">
        <v>56131600</v>
      </c>
      <c r="F1113">
        <v>49133500</v>
      </c>
      <c r="G1113" t="s">
        <v>11</v>
      </c>
      <c r="H1113" t="s">
        <v>38</v>
      </c>
      <c r="I1113" t="s">
        <v>13</v>
      </c>
      <c r="J1113" t="s">
        <v>13</v>
      </c>
    </row>
    <row r="1114" spans="1:11" x14ac:dyDescent="0.25">
      <c r="A1114" t="s">
        <v>5</v>
      </c>
      <c r="B1114" t="str">
        <f>"17251"</f>
        <v>17251</v>
      </c>
      <c r="C1114" t="str">
        <f>"012"</f>
        <v>012</v>
      </c>
      <c r="D1114">
        <v>2003</v>
      </c>
      <c r="E1114">
        <v>21454100</v>
      </c>
      <c r="F1114">
        <v>19782900</v>
      </c>
      <c r="G1114" t="s">
        <v>11</v>
      </c>
      <c r="H1114" t="s">
        <v>38</v>
      </c>
      <c r="I1114" t="s">
        <v>13</v>
      </c>
      <c r="J1114" t="s">
        <v>13</v>
      </c>
    </row>
    <row r="1115" spans="1:11" x14ac:dyDescent="0.25">
      <c r="A1115" t="s">
        <v>5</v>
      </c>
      <c r="B1115" t="str">
        <f>"17251"</f>
        <v>17251</v>
      </c>
      <c r="C1115" t="str">
        <f>"013"</f>
        <v>013</v>
      </c>
      <c r="D1115">
        <v>2004</v>
      </c>
      <c r="E1115">
        <v>5561600</v>
      </c>
      <c r="F1115">
        <v>5399700</v>
      </c>
      <c r="G1115" t="s">
        <v>11</v>
      </c>
      <c r="H1115" t="s">
        <v>38</v>
      </c>
      <c r="I1115" t="s">
        <v>13</v>
      </c>
      <c r="J1115" t="s">
        <v>13</v>
      </c>
    </row>
    <row r="1116" spans="1:11" x14ac:dyDescent="0.25">
      <c r="A1116" t="s">
        <v>5</v>
      </c>
      <c r="B1116" t="str">
        <f>"17251"</f>
        <v>17251</v>
      </c>
      <c r="C1116" t="str">
        <f>"014"</f>
        <v>014</v>
      </c>
      <c r="D1116">
        <v>2004</v>
      </c>
      <c r="E1116">
        <v>8321500</v>
      </c>
      <c r="F1116">
        <v>441900</v>
      </c>
      <c r="G1116" t="s">
        <v>11</v>
      </c>
      <c r="H1116" t="s">
        <v>38</v>
      </c>
      <c r="I1116" t="s">
        <v>13</v>
      </c>
      <c r="J1116" t="s">
        <v>13</v>
      </c>
    </row>
    <row r="1117" spans="1:11" x14ac:dyDescent="0.25">
      <c r="A1117" t="s">
        <v>5</v>
      </c>
      <c r="B1117" t="str">
        <f>"17251"</f>
        <v>17251</v>
      </c>
      <c r="C1117" t="str">
        <f>"015"</f>
        <v>015</v>
      </c>
      <c r="D1117">
        <v>2005</v>
      </c>
      <c r="E1117">
        <v>36699100</v>
      </c>
      <c r="F1117">
        <v>14453000</v>
      </c>
      <c r="G1117" t="s">
        <v>11</v>
      </c>
      <c r="H1117" t="s">
        <v>38</v>
      </c>
      <c r="I1117" t="s">
        <v>13</v>
      </c>
      <c r="J1117" t="s">
        <v>13</v>
      </c>
    </row>
    <row r="1118" spans="1:11" x14ac:dyDescent="0.25">
      <c r="A1118" t="s">
        <v>39</v>
      </c>
      <c r="B1118" t="s">
        <v>13</v>
      </c>
      <c r="C1118" t="s">
        <v>7</v>
      </c>
      <c r="D1118" t="s">
        <v>8</v>
      </c>
      <c r="E1118">
        <v>128167900</v>
      </c>
      <c r="F1118">
        <v>89211000</v>
      </c>
      <c r="G1118" t="s">
        <v>11</v>
      </c>
      <c r="H1118">
        <v>1132393200</v>
      </c>
      <c r="I1118" t="s">
        <v>13</v>
      </c>
      <c r="J1118" t="s">
        <v>13</v>
      </c>
      <c r="K1118">
        <v>7.88</v>
      </c>
    </row>
    <row r="1120" spans="1:11" x14ac:dyDescent="0.25">
      <c r="A1120" t="s">
        <v>268</v>
      </c>
      <c r="B1120" t="str">
        <f>"45255"</f>
        <v>45255</v>
      </c>
      <c r="C1120" t="str">
        <f>"002"</f>
        <v>002</v>
      </c>
      <c r="D1120">
        <v>2002</v>
      </c>
      <c r="E1120">
        <v>22625100</v>
      </c>
      <c r="F1120">
        <v>16713500</v>
      </c>
      <c r="G1120" t="s">
        <v>11</v>
      </c>
      <c r="H1120" t="s">
        <v>38</v>
      </c>
      <c r="I1120" t="s">
        <v>13</v>
      </c>
      <c r="J1120" t="s">
        <v>13</v>
      </c>
    </row>
    <row r="1121" spans="1:11" x14ac:dyDescent="0.25">
      <c r="A1121" t="s">
        <v>5</v>
      </c>
      <c r="B1121" t="str">
        <f>"45255"</f>
        <v>45255</v>
      </c>
      <c r="C1121" t="str">
        <f>"003"</f>
        <v>003</v>
      </c>
      <c r="D1121">
        <v>2008</v>
      </c>
      <c r="E1121">
        <v>140853800</v>
      </c>
      <c r="F1121">
        <v>99523500</v>
      </c>
      <c r="G1121" t="s">
        <v>11</v>
      </c>
      <c r="H1121" t="s">
        <v>38</v>
      </c>
      <c r="I1121" t="s">
        <v>13</v>
      </c>
      <c r="J1121" t="s">
        <v>13</v>
      </c>
    </row>
    <row r="1122" spans="1:11" x14ac:dyDescent="0.25">
      <c r="A1122" t="s">
        <v>5</v>
      </c>
      <c r="B1122" t="str">
        <f>"45255"</f>
        <v>45255</v>
      </c>
      <c r="C1122" t="str">
        <f>"004"</f>
        <v>004</v>
      </c>
      <c r="D1122">
        <v>2012</v>
      </c>
      <c r="E1122">
        <v>49268700</v>
      </c>
      <c r="F1122">
        <v>7396500</v>
      </c>
      <c r="G1122" t="s">
        <v>11</v>
      </c>
      <c r="H1122" t="s">
        <v>38</v>
      </c>
      <c r="I1122" t="s">
        <v>13</v>
      </c>
      <c r="J1122" t="s">
        <v>13</v>
      </c>
    </row>
    <row r="1123" spans="1:11" x14ac:dyDescent="0.25">
      <c r="A1123" t="s">
        <v>5</v>
      </c>
      <c r="B1123" t="str">
        <f>"45255"</f>
        <v>45255</v>
      </c>
      <c r="C1123" t="str">
        <f>"005"</f>
        <v>005</v>
      </c>
      <c r="D1123">
        <v>2012</v>
      </c>
      <c r="E1123">
        <v>61693700</v>
      </c>
      <c r="F1123">
        <v>10506800</v>
      </c>
      <c r="G1123" t="s">
        <v>11</v>
      </c>
      <c r="H1123" t="s">
        <v>38</v>
      </c>
      <c r="I1123" t="s">
        <v>13</v>
      </c>
      <c r="J1123" t="s">
        <v>13</v>
      </c>
    </row>
    <row r="1124" spans="1:11" x14ac:dyDescent="0.25">
      <c r="A1124" t="s">
        <v>39</v>
      </c>
      <c r="B1124" t="s">
        <v>13</v>
      </c>
      <c r="C1124" t="s">
        <v>7</v>
      </c>
      <c r="D1124" t="s">
        <v>8</v>
      </c>
      <c r="E1124">
        <v>274441300</v>
      </c>
      <c r="F1124">
        <v>134140300</v>
      </c>
      <c r="G1124" t="s">
        <v>11</v>
      </c>
      <c r="H1124">
        <v>5048795100</v>
      </c>
      <c r="I1124" t="s">
        <v>13</v>
      </c>
      <c r="J1124" t="s">
        <v>13</v>
      </c>
      <c r="K1124">
        <v>2.66</v>
      </c>
    </row>
    <row r="1126" spans="1:11" x14ac:dyDescent="0.25">
      <c r="A1126" t="s">
        <v>269</v>
      </c>
      <c r="B1126" t="str">
        <f t="shared" ref="B1126:B1135" si="19">"35251"</f>
        <v>35251</v>
      </c>
      <c r="C1126" t="str">
        <f>"003"</f>
        <v>003</v>
      </c>
      <c r="D1126">
        <v>2005</v>
      </c>
      <c r="E1126">
        <v>45022100</v>
      </c>
      <c r="F1126">
        <v>29654200</v>
      </c>
      <c r="G1126" t="s">
        <v>11</v>
      </c>
      <c r="H1126" t="s">
        <v>38</v>
      </c>
      <c r="I1126" t="s">
        <v>13</v>
      </c>
      <c r="J1126" t="s">
        <v>13</v>
      </c>
    </row>
    <row r="1127" spans="1:11" x14ac:dyDescent="0.25">
      <c r="A1127" t="s">
        <v>5</v>
      </c>
      <c r="B1127" t="str">
        <f t="shared" si="19"/>
        <v>35251</v>
      </c>
      <c r="C1127" t="str">
        <f>"004"</f>
        <v>004</v>
      </c>
      <c r="D1127">
        <v>2007</v>
      </c>
      <c r="E1127">
        <v>15826600</v>
      </c>
      <c r="F1127">
        <v>6942100</v>
      </c>
      <c r="G1127" t="s">
        <v>11</v>
      </c>
      <c r="H1127" t="s">
        <v>38</v>
      </c>
      <c r="I1127" t="s">
        <v>13</v>
      </c>
      <c r="J1127" t="s">
        <v>13</v>
      </c>
    </row>
    <row r="1128" spans="1:11" x14ac:dyDescent="0.25">
      <c r="A1128" t="s">
        <v>5</v>
      </c>
      <c r="B1128" t="str">
        <f t="shared" si="19"/>
        <v>35251</v>
      </c>
      <c r="C1128" t="str">
        <f>"005"</f>
        <v>005</v>
      </c>
      <c r="D1128">
        <v>2007</v>
      </c>
      <c r="E1128">
        <v>651400</v>
      </c>
      <c r="F1128">
        <v>577400</v>
      </c>
      <c r="G1128" t="s">
        <v>11</v>
      </c>
      <c r="H1128" t="s">
        <v>38</v>
      </c>
      <c r="I1128" t="s">
        <v>13</v>
      </c>
      <c r="J1128" t="s">
        <v>13</v>
      </c>
    </row>
    <row r="1129" spans="1:11" x14ac:dyDescent="0.25">
      <c r="A1129" t="s">
        <v>5</v>
      </c>
      <c r="B1129" t="str">
        <f t="shared" si="19"/>
        <v>35251</v>
      </c>
      <c r="C1129" t="str">
        <f>"006"</f>
        <v>006</v>
      </c>
      <c r="D1129">
        <v>2009</v>
      </c>
      <c r="E1129">
        <v>13375600</v>
      </c>
      <c r="F1129">
        <v>1393200</v>
      </c>
      <c r="G1129" t="s">
        <v>11</v>
      </c>
      <c r="H1129" t="s">
        <v>38</v>
      </c>
      <c r="I1129" t="s">
        <v>13</v>
      </c>
      <c r="J1129" t="s">
        <v>13</v>
      </c>
    </row>
    <row r="1130" spans="1:11" x14ac:dyDescent="0.25">
      <c r="A1130" t="s">
        <v>5</v>
      </c>
      <c r="B1130" t="str">
        <f t="shared" si="19"/>
        <v>35251</v>
      </c>
      <c r="C1130" t="str">
        <f>"007"</f>
        <v>007</v>
      </c>
      <c r="D1130">
        <v>2009</v>
      </c>
      <c r="E1130">
        <v>8403700</v>
      </c>
      <c r="F1130">
        <v>616700</v>
      </c>
      <c r="G1130" t="s">
        <v>11</v>
      </c>
      <c r="H1130" t="s">
        <v>38</v>
      </c>
      <c r="I1130" t="s">
        <v>13</v>
      </c>
      <c r="J1130" t="s">
        <v>13</v>
      </c>
    </row>
    <row r="1131" spans="1:11" x14ac:dyDescent="0.25">
      <c r="A1131" t="s">
        <v>5</v>
      </c>
      <c r="B1131" t="str">
        <f t="shared" si="19"/>
        <v>35251</v>
      </c>
      <c r="C1131" t="str">
        <f>"008"</f>
        <v>008</v>
      </c>
      <c r="D1131">
        <v>2011</v>
      </c>
      <c r="E1131">
        <v>18661600</v>
      </c>
      <c r="F1131">
        <v>1344900</v>
      </c>
      <c r="G1131" t="s">
        <v>11</v>
      </c>
      <c r="H1131" t="s">
        <v>38</v>
      </c>
      <c r="I1131" t="s">
        <v>13</v>
      </c>
      <c r="J1131" t="s">
        <v>13</v>
      </c>
    </row>
    <row r="1132" spans="1:11" x14ac:dyDescent="0.25">
      <c r="A1132" t="s">
        <v>5</v>
      </c>
      <c r="B1132" t="str">
        <f t="shared" si="19"/>
        <v>35251</v>
      </c>
      <c r="C1132" t="str">
        <f>"009"</f>
        <v>009</v>
      </c>
      <c r="D1132">
        <v>2013</v>
      </c>
      <c r="E1132">
        <v>5593600</v>
      </c>
      <c r="F1132">
        <v>-342400</v>
      </c>
      <c r="G1132" t="s">
        <v>49</v>
      </c>
      <c r="H1132" t="s">
        <v>38</v>
      </c>
      <c r="I1132" t="s">
        <v>13</v>
      </c>
      <c r="J1132" t="s">
        <v>13</v>
      </c>
    </row>
    <row r="1133" spans="1:11" x14ac:dyDescent="0.25">
      <c r="A1133" t="s">
        <v>5</v>
      </c>
      <c r="B1133" t="str">
        <f t="shared" si="19"/>
        <v>35251</v>
      </c>
      <c r="C1133" t="str">
        <f>"010"</f>
        <v>010</v>
      </c>
      <c r="D1133">
        <v>2015</v>
      </c>
      <c r="E1133">
        <v>0</v>
      </c>
      <c r="F1133">
        <v>-296800</v>
      </c>
      <c r="G1133" t="s">
        <v>49</v>
      </c>
      <c r="H1133" t="s">
        <v>38</v>
      </c>
      <c r="I1133" t="s">
        <v>13</v>
      </c>
      <c r="J1133" t="s">
        <v>13</v>
      </c>
    </row>
    <row r="1134" spans="1:11" x14ac:dyDescent="0.25">
      <c r="A1134" t="s">
        <v>5</v>
      </c>
      <c r="B1134" t="str">
        <f t="shared" si="19"/>
        <v>35251</v>
      </c>
      <c r="C1134" t="str">
        <f>"011"</f>
        <v>011</v>
      </c>
      <c r="D1134">
        <v>2016</v>
      </c>
      <c r="E1134">
        <v>18749200</v>
      </c>
      <c r="F1134">
        <v>3768600</v>
      </c>
      <c r="G1134" t="s">
        <v>11</v>
      </c>
      <c r="H1134" t="s">
        <v>38</v>
      </c>
      <c r="I1134" t="s">
        <v>13</v>
      </c>
      <c r="J1134" t="s">
        <v>13</v>
      </c>
    </row>
    <row r="1135" spans="1:11" x14ac:dyDescent="0.25">
      <c r="A1135" t="s">
        <v>5</v>
      </c>
      <c r="B1135" t="str">
        <f t="shared" si="19"/>
        <v>35251</v>
      </c>
      <c r="C1135" t="str">
        <f>"012"</f>
        <v>012</v>
      </c>
      <c r="D1135">
        <v>2017</v>
      </c>
      <c r="E1135">
        <v>2293700</v>
      </c>
      <c r="F1135">
        <v>699000</v>
      </c>
      <c r="G1135" t="s">
        <v>11</v>
      </c>
      <c r="H1135" t="s">
        <v>38</v>
      </c>
      <c r="I1135" t="s">
        <v>13</v>
      </c>
      <c r="J1135" t="s">
        <v>13</v>
      </c>
    </row>
    <row r="1136" spans="1:11" x14ac:dyDescent="0.25">
      <c r="A1136" t="s">
        <v>39</v>
      </c>
      <c r="B1136" t="s">
        <v>13</v>
      </c>
      <c r="C1136" t="s">
        <v>7</v>
      </c>
      <c r="D1136" t="s">
        <v>8</v>
      </c>
      <c r="E1136">
        <v>128577500</v>
      </c>
      <c r="F1136">
        <v>44996100</v>
      </c>
      <c r="G1136" t="s">
        <v>11</v>
      </c>
      <c r="H1136">
        <v>445884400</v>
      </c>
      <c r="I1136" t="s">
        <v>13</v>
      </c>
      <c r="J1136" t="s">
        <v>13</v>
      </c>
      <c r="K1136">
        <v>10.09</v>
      </c>
    </row>
    <row r="1138" spans="1:11" x14ac:dyDescent="0.25">
      <c r="A1138" t="s">
        <v>270</v>
      </c>
      <c r="B1138" t="str">
        <f>"27152"</f>
        <v>27152</v>
      </c>
      <c r="C1138" t="str">
        <f>"001"</f>
        <v>001</v>
      </c>
      <c r="D1138">
        <v>2018</v>
      </c>
      <c r="E1138">
        <v>3702700</v>
      </c>
      <c r="F1138">
        <v>1182100</v>
      </c>
      <c r="G1138" t="s">
        <v>11</v>
      </c>
      <c r="H1138" t="s">
        <v>38</v>
      </c>
      <c r="I1138" t="s">
        <v>13</v>
      </c>
      <c r="J1138" t="s">
        <v>13</v>
      </c>
    </row>
    <row r="1139" spans="1:11" x14ac:dyDescent="0.25">
      <c r="A1139" t="s">
        <v>39</v>
      </c>
      <c r="B1139" t="s">
        <v>13</v>
      </c>
      <c r="C1139" t="s">
        <v>7</v>
      </c>
      <c r="D1139" t="s">
        <v>8</v>
      </c>
      <c r="E1139">
        <v>3702700</v>
      </c>
      <c r="F1139">
        <v>1182100</v>
      </c>
      <c r="G1139" t="s">
        <v>11</v>
      </c>
      <c r="H1139">
        <v>23257800</v>
      </c>
      <c r="I1139" t="s">
        <v>13</v>
      </c>
      <c r="J1139" t="s">
        <v>13</v>
      </c>
      <c r="K1139">
        <v>5.08</v>
      </c>
    </row>
    <row r="1141" spans="1:11" x14ac:dyDescent="0.25">
      <c r="A1141" t="s">
        <v>271</v>
      </c>
      <c r="B1141" t="str">
        <f>"13255"</f>
        <v>13255</v>
      </c>
      <c r="C1141" t="str">
        <f>"003"</f>
        <v>003</v>
      </c>
      <c r="D1141">
        <v>1993</v>
      </c>
      <c r="E1141">
        <v>638136000</v>
      </c>
      <c r="F1141">
        <v>578466800</v>
      </c>
      <c r="G1141" t="s">
        <v>11</v>
      </c>
      <c r="H1141" t="s">
        <v>38</v>
      </c>
      <c r="I1141" t="s">
        <v>13</v>
      </c>
      <c r="J1141" t="s">
        <v>13</v>
      </c>
    </row>
    <row r="1142" spans="1:11" x14ac:dyDescent="0.25">
      <c r="A1142" t="s">
        <v>5</v>
      </c>
      <c r="B1142" t="str">
        <f>"13255"</f>
        <v>13255</v>
      </c>
      <c r="C1142" t="str">
        <f>"005"</f>
        <v>005</v>
      </c>
      <c r="D1142">
        <v>2009</v>
      </c>
      <c r="E1142">
        <v>159954500</v>
      </c>
      <c r="F1142">
        <v>70289000</v>
      </c>
      <c r="G1142" t="s">
        <v>11</v>
      </c>
      <c r="H1142" t="s">
        <v>38</v>
      </c>
      <c r="I1142" t="s">
        <v>13</v>
      </c>
      <c r="J1142" t="s">
        <v>13</v>
      </c>
    </row>
    <row r="1143" spans="1:11" x14ac:dyDescent="0.25">
      <c r="A1143" t="s">
        <v>39</v>
      </c>
      <c r="B1143" t="s">
        <v>13</v>
      </c>
      <c r="C1143" t="s">
        <v>7</v>
      </c>
      <c r="D1143" t="s">
        <v>8</v>
      </c>
      <c r="E1143">
        <v>798090500</v>
      </c>
      <c r="F1143">
        <v>648755800</v>
      </c>
      <c r="G1143" t="s">
        <v>11</v>
      </c>
      <c r="H1143">
        <v>3829510100</v>
      </c>
      <c r="I1143" t="s">
        <v>13</v>
      </c>
      <c r="J1143" t="s">
        <v>13</v>
      </c>
      <c r="K1143">
        <v>16.940000000000001</v>
      </c>
    </row>
    <row r="1145" spans="1:11" x14ac:dyDescent="0.25">
      <c r="A1145" t="s">
        <v>272</v>
      </c>
      <c r="B1145" t="str">
        <f>"48151"</f>
        <v>48151</v>
      </c>
      <c r="C1145" t="str">
        <f>"002"</f>
        <v>002</v>
      </c>
      <c r="D1145">
        <v>1994</v>
      </c>
      <c r="E1145">
        <v>4962400</v>
      </c>
      <c r="F1145">
        <v>4939700</v>
      </c>
      <c r="G1145" t="s">
        <v>11</v>
      </c>
      <c r="H1145" t="s">
        <v>38</v>
      </c>
      <c r="I1145" t="s">
        <v>13</v>
      </c>
      <c r="J1145" t="s">
        <v>13</v>
      </c>
    </row>
    <row r="1146" spans="1:11" x14ac:dyDescent="0.25">
      <c r="A1146" t="s">
        <v>5</v>
      </c>
      <c r="B1146" t="str">
        <f>"48151"</f>
        <v>48151</v>
      </c>
      <c r="C1146" t="str">
        <f>"003"</f>
        <v>003</v>
      </c>
      <c r="D1146">
        <v>2004</v>
      </c>
      <c r="E1146">
        <v>807000</v>
      </c>
      <c r="F1146">
        <v>223800</v>
      </c>
      <c r="G1146" t="s">
        <v>11</v>
      </c>
      <c r="H1146" t="s">
        <v>38</v>
      </c>
      <c r="I1146" t="s">
        <v>13</v>
      </c>
      <c r="J1146" t="s">
        <v>13</v>
      </c>
    </row>
    <row r="1147" spans="1:11" x14ac:dyDescent="0.25">
      <c r="A1147" t="s">
        <v>5</v>
      </c>
      <c r="B1147" t="str">
        <f>"48151"</f>
        <v>48151</v>
      </c>
      <c r="C1147" t="str">
        <f>"004"</f>
        <v>004</v>
      </c>
      <c r="D1147">
        <v>2012</v>
      </c>
      <c r="E1147">
        <v>1582400</v>
      </c>
      <c r="F1147">
        <v>554700</v>
      </c>
      <c r="G1147" t="s">
        <v>11</v>
      </c>
      <c r="H1147" t="s">
        <v>38</v>
      </c>
      <c r="I1147" t="s">
        <v>13</v>
      </c>
      <c r="J1147" t="s">
        <v>13</v>
      </c>
    </row>
    <row r="1148" spans="1:11" x14ac:dyDescent="0.25">
      <c r="A1148" t="s">
        <v>39</v>
      </c>
      <c r="B1148" t="s">
        <v>13</v>
      </c>
      <c r="C1148" t="s">
        <v>7</v>
      </c>
      <c r="D1148" t="s">
        <v>8</v>
      </c>
      <c r="E1148">
        <v>7351800</v>
      </c>
      <c r="F1148">
        <v>5718200</v>
      </c>
      <c r="G1148" t="s">
        <v>11</v>
      </c>
      <c r="H1148">
        <v>42525200</v>
      </c>
      <c r="I1148" t="s">
        <v>13</v>
      </c>
      <c r="J1148" t="s">
        <v>13</v>
      </c>
      <c r="K1148">
        <v>13.45</v>
      </c>
    </row>
    <row r="1150" spans="1:11" x14ac:dyDescent="0.25">
      <c r="A1150" t="s">
        <v>273</v>
      </c>
      <c r="B1150" t="str">
        <f>"53257"</f>
        <v>53257</v>
      </c>
      <c r="C1150" t="str">
        <f>"006"</f>
        <v>006</v>
      </c>
      <c r="D1150">
        <v>2003</v>
      </c>
      <c r="E1150">
        <v>41931400</v>
      </c>
      <c r="F1150">
        <v>38601100</v>
      </c>
      <c r="G1150" t="s">
        <v>11</v>
      </c>
      <c r="H1150" t="s">
        <v>38</v>
      </c>
      <c r="I1150" t="s">
        <v>13</v>
      </c>
      <c r="J1150" t="s">
        <v>13</v>
      </c>
    </row>
    <row r="1151" spans="1:11" x14ac:dyDescent="0.25">
      <c r="A1151" t="s">
        <v>5</v>
      </c>
      <c r="B1151" t="str">
        <f>"53257"</f>
        <v>53257</v>
      </c>
      <c r="C1151" t="str">
        <f>"007"</f>
        <v>007</v>
      </c>
      <c r="D1151">
        <v>2004</v>
      </c>
      <c r="E1151">
        <v>14253300</v>
      </c>
      <c r="F1151">
        <v>5685800</v>
      </c>
      <c r="G1151" t="s">
        <v>11</v>
      </c>
      <c r="H1151" t="s">
        <v>38</v>
      </c>
      <c r="I1151" t="s">
        <v>13</v>
      </c>
      <c r="J1151" t="s">
        <v>13</v>
      </c>
    </row>
    <row r="1152" spans="1:11" x14ac:dyDescent="0.25">
      <c r="A1152" t="s">
        <v>5</v>
      </c>
      <c r="B1152" t="str">
        <f>"53257"</f>
        <v>53257</v>
      </c>
      <c r="C1152" t="str">
        <f>"009"</f>
        <v>009</v>
      </c>
      <c r="D1152">
        <v>2016</v>
      </c>
      <c r="E1152">
        <v>8718000</v>
      </c>
      <c r="F1152">
        <v>8543300</v>
      </c>
      <c r="G1152" t="s">
        <v>11</v>
      </c>
      <c r="H1152" t="s">
        <v>38</v>
      </c>
      <c r="I1152" t="s">
        <v>13</v>
      </c>
      <c r="J1152" t="s">
        <v>13</v>
      </c>
    </row>
    <row r="1153" spans="1:11" x14ac:dyDescent="0.25">
      <c r="A1153" t="s">
        <v>5</v>
      </c>
      <c r="B1153" t="str">
        <f>"53257"</f>
        <v>53257</v>
      </c>
      <c r="C1153" t="str">
        <f>"010"</f>
        <v>010</v>
      </c>
      <c r="D1153">
        <v>2018</v>
      </c>
      <c r="E1153">
        <v>22147300</v>
      </c>
      <c r="F1153">
        <v>1393100</v>
      </c>
      <c r="G1153" t="s">
        <v>11</v>
      </c>
      <c r="H1153" t="s">
        <v>38</v>
      </c>
      <c r="I1153" t="s">
        <v>13</v>
      </c>
      <c r="J1153" t="s">
        <v>13</v>
      </c>
    </row>
    <row r="1154" spans="1:11" x14ac:dyDescent="0.25">
      <c r="A1154" t="s">
        <v>39</v>
      </c>
      <c r="B1154" t="s">
        <v>13</v>
      </c>
      <c r="C1154" t="s">
        <v>7</v>
      </c>
      <c r="D1154" t="s">
        <v>8</v>
      </c>
      <c r="E1154">
        <v>87050000</v>
      </c>
      <c r="F1154">
        <v>54223300</v>
      </c>
      <c r="G1154" t="s">
        <v>11</v>
      </c>
      <c r="H1154">
        <v>427445300</v>
      </c>
      <c r="I1154" t="s">
        <v>13</v>
      </c>
      <c r="J1154" t="s">
        <v>13</v>
      </c>
      <c r="K1154">
        <v>12.69</v>
      </c>
    </row>
    <row r="1156" spans="1:11" x14ac:dyDescent="0.25">
      <c r="A1156" t="s">
        <v>274</v>
      </c>
      <c r="B1156" t="str">
        <f t="shared" ref="B1156:B1203" si="20">"40251"</f>
        <v>40251</v>
      </c>
      <c r="C1156" t="str">
        <f>"022"</f>
        <v>022</v>
      </c>
      <c r="D1156">
        <v>1994</v>
      </c>
      <c r="E1156">
        <v>277655500</v>
      </c>
      <c r="F1156">
        <v>236445200</v>
      </c>
      <c r="G1156" t="s">
        <v>11</v>
      </c>
      <c r="H1156" t="s">
        <v>38</v>
      </c>
      <c r="I1156" t="s">
        <v>13</v>
      </c>
      <c r="J1156" t="s">
        <v>13</v>
      </c>
    </row>
    <row r="1157" spans="1:11" x14ac:dyDescent="0.25">
      <c r="A1157" t="s">
        <v>5</v>
      </c>
      <c r="B1157" t="str">
        <f t="shared" si="20"/>
        <v>40251</v>
      </c>
      <c r="C1157" t="str">
        <f>"037"</f>
        <v>037</v>
      </c>
      <c r="D1157">
        <v>1998</v>
      </c>
      <c r="E1157">
        <v>141277700</v>
      </c>
      <c r="F1157">
        <v>80960300</v>
      </c>
      <c r="G1157" t="s">
        <v>11</v>
      </c>
      <c r="H1157" t="s">
        <v>38</v>
      </c>
      <c r="I1157" t="s">
        <v>13</v>
      </c>
      <c r="J1157" t="s">
        <v>13</v>
      </c>
    </row>
    <row r="1158" spans="1:11" x14ac:dyDescent="0.25">
      <c r="A1158" t="s">
        <v>5</v>
      </c>
      <c r="B1158" t="str">
        <f t="shared" si="20"/>
        <v>40251</v>
      </c>
      <c r="C1158" t="str">
        <f>"039"</f>
        <v>039</v>
      </c>
      <c r="D1158">
        <v>2000</v>
      </c>
      <c r="E1158">
        <v>45724500</v>
      </c>
      <c r="F1158">
        <v>21861100</v>
      </c>
      <c r="G1158" t="s">
        <v>11</v>
      </c>
      <c r="H1158" t="s">
        <v>38</v>
      </c>
      <c r="I1158" t="s">
        <v>13</v>
      </c>
      <c r="J1158" t="s">
        <v>13</v>
      </c>
    </row>
    <row r="1159" spans="1:11" x14ac:dyDescent="0.25">
      <c r="A1159" t="s">
        <v>5</v>
      </c>
      <c r="B1159" t="str">
        <f t="shared" si="20"/>
        <v>40251</v>
      </c>
      <c r="C1159" t="str">
        <f>"041"</f>
        <v>041</v>
      </c>
      <c r="D1159">
        <v>2000</v>
      </c>
      <c r="E1159">
        <v>125023600</v>
      </c>
      <c r="F1159">
        <v>115002200</v>
      </c>
      <c r="G1159" t="s">
        <v>11</v>
      </c>
      <c r="H1159" t="s">
        <v>38</v>
      </c>
      <c r="I1159" t="s">
        <v>13</v>
      </c>
      <c r="J1159" t="s">
        <v>13</v>
      </c>
    </row>
    <row r="1160" spans="1:11" x14ac:dyDescent="0.25">
      <c r="A1160" t="s">
        <v>5</v>
      </c>
      <c r="B1160" t="str">
        <f t="shared" si="20"/>
        <v>40251</v>
      </c>
      <c r="C1160" t="str">
        <f>"042"</f>
        <v>042</v>
      </c>
      <c r="D1160">
        <v>2001</v>
      </c>
      <c r="E1160">
        <v>40600800</v>
      </c>
      <c r="F1160">
        <v>33482500</v>
      </c>
      <c r="G1160" t="s">
        <v>11</v>
      </c>
      <c r="H1160" t="s">
        <v>38</v>
      </c>
      <c r="I1160" t="s">
        <v>13</v>
      </c>
      <c r="J1160" t="s">
        <v>13</v>
      </c>
    </row>
    <row r="1161" spans="1:11" x14ac:dyDescent="0.25">
      <c r="A1161" t="s">
        <v>5</v>
      </c>
      <c r="B1161" t="str">
        <f t="shared" si="20"/>
        <v>40251</v>
      </c>
      <c r="C1161" t="str">
        <f>"046"</f>
        <v>046</v>
      </c>
      <c r="D1161">
        <v>2001</v>
      </c>
      <c r="E1161">
        <v>44352300</v>
      </c>
      <c r="F1161">
        <v>29592800</v>
      </c>
      <c r="G1161" t="s">
        <v>11</v>
      </c>
      <c r="H1161" t="s">
        <v>38</v>
      </c>
      <c r="I1161" t="s">
        <v>13</v>
      </c>
      <c r="J1161" t="s">
        <v>13</v>
      </c>
    </row>
    <row r="1162" spans="1:11" x14ac:dyDescent="0.25">
      <c r="A1162" t="s">
        <v>5</v>
      </c>
      <c r="B1162" t="str">
        <f t="shared" si="20"/>
        <v>40251</v>
      </c>
      <c r="C1162" t="str">
        <f>"048"</f>
        <v>048</v>
      </c>
      <c r="D1162">
        <v>2002</v>
      </c>
      <c r="E1162">
        <v>334279000</v>
      </c>
      <c r="F1162">
        <v>288953400</v>
      </c>
      <c r="G1162" t="s">
        <v>11</v>
      </c>
      <c r="H1162" t="s">
        <v>38</v>
      </c>
      <c r="I1162" t="s">
        <v>13</v>
      </c>
      <c r="J1162" t="s">
        <v>13</v>
      </c>
    </row>
    <row r="1163" spans="1:11" x14ac:dyDescent="0.25">
      <c r="A1163" t="s">
        <v>5</v>
      </c>
      <c r="B1163" t="str">
        <f t="shared" si="20"/>
        <v>40251</v>
      </c>
      <c r="C1163" t="str">
        <f>"049"</f>
        <v>049</v>
      </c>
      <c r="D1163">
        <v>2002</v>
      </c>
      <c r="E1163">
        <v>56039600</v>
      </c>
      <c r="F1163">
        <v>53986900</v>
      </c>
      <c r="G1163" t="s">
        <v>11</v>
      </c>
      <c r="H1163" t="s">
        <v>38</v>
      </c>
      <c r="I1163" t="s">
        <v>13</v>
      </c>
      <c r="J1163" t="s">
        <v>13</v>
      </c>
    </row>
    <row r="1164" spans="1:11" x14ac:dyDescent="0.25">
      <c r="A1164" t="s">
        <v>5</v>
      </c>
      <c r="B1164" t="str">
        <f t="shared" si="20"/>
        <v>40251</v>
      </c>
      <c r="C1164" t="str">
        <f>"051"</f>
        <v>051</v>
      </c>
      <c r="D1164">
        <v>2003</v>
      </c>
      <c r="E1164">
        <v>15930200</v>
      </c>
      <c r="F1164">
        <v>5881500</v>
      </c>
      <c r="G1164" t="s">
        <v>11</v>
      </c>
      <c r="H1164" t="s">
        <v>38</v>
      </c>
      <c r="I1164" t="s">
        <v>13</v>
      </c>
      <c r="J1164" t="s">
        <v>13</v>
      </c>
    </row>
    <row r="1165" spans="1:11" x14ac:dyDescent="0.25">
      <c r="A1165" t="s">
        <v>5</v>
      </c>
      <c r="B1165" t="str">
        <f t="shared" si="20"/>
        <v>40251</v>
      </c>
      <c r="C1165" t="str">
        <f>"052"</f>
        <v>052</v>
      </c>
      <c r="D1165">
        <v>2003</v>
      </c>
      <c r="E1165">
        <v>28485700</v>
      </c>
      <c r="F1165">
        <v>18259800</v>
      </c>
      <c r="G1165" t="s">
        <v>11</v>
      </c>
      <c r="H1165" t="s">
        <v>38</v>
      </c>
      <c r="I1165" t="s">
        <v>13</v>
      </c>
      <c r="J1165" t="s">
        <v>13</v>
      </c>
    </row>
    <row r="1166" spans="1:11" x14ac:dyDescent="0.25">
      <c r="A1166" t="s">
        <v>5</v>
      </c>
      <c r="B1166" t="str">
        <f t="shared" si="20"/>
        <v>40251</v>
      </c>
      <c r="C1166" t="str">
        <f>"053"</f>
        <v>053</v>
      </c>
      <c r="D1166">
        <v>2004</v>
      </c>
      <c r="E1166">
        <v>73194200</v>
      </c>
      <c r="F1166">
        <v>68441900</v>
      </c>
      <c r="G1166" t="s">
        <v>11</v>
      </c>
      <c r="H1166" t="s">
        <v>38</v>
      </c>
      <c r="I1166" t="s">
        <v>13</v>
      </c>
      <c r="J1166" t="s">
        <v>13</v>
      </c>
    </row>
    <row r="1167" spans="1:11" x14ac:dyDescent="0.25">
      <c r="A1167" t="s">
        <v>5</v>
      </c>
      <c r="B1167" t="str">
        <f t="shared" si="20"/>
        <v>40251</v>
      </c>
      <c r="C1167" t="str">
        <f>"054"</f>
        <v>054</v>
      </c>
      <c r="D1167">
        <v>2004</v>
      </c>
      <c r="E1167">
        <v>18435500</v>
      </c>
      <c r="F1167">
        <v>17287500</v>
      </c>
      <c r="G1167" t="s">
        <v>11</v>
      </c>
      <c r="H1167" t="s">
        <v>38</v>
      </c>
      <c r="I1167" t="s">
        <v>13</v>
      </c>
      <c r="J1167" t="s">
        <v>13</v>
      </c>
    </row>
    <row r="1168" spans="1:11" x14ac:dyDescent="0.25">
      <c r="A1168" t="s">
        <v>5</v>
      </c>
      <c r="B1168" t="str">
        <f t="shared" si="20"/>
        <v>40251</v>
      </c>
      <c r="C1168" t="str">
        <f>"056"</f>
        <v>056</v>
      </c>
      <c r="D1168">
        <v>2004</v>
      </c>
      <c r="E1168">
        <v>170547400</v>
      </c>
      <c r="F1168">
        <v>161588800</v>
      </c>
      <c r="G1168" t="s">
        <v>11</v>
      </c>
      <c r="H1168" t="s">
        <v>38</v>
      </c>
      <c r="I1168" t="s">
        <v>13</v>
      </c>
      <c r="J1168" t="s">
        <v>13</v>
      </c>
    </row>
    <row r="1169" spans="1:10" x14ac:dyDescent="0.25">
      <c r="A1169" t="s">
        <v>5</v>
      </c>
      <c r="B1169" t="str">
        <f t="shared" si="20"/>
        <v>40251</v>
      </c>
      <c r="C1169" t="str">
        <f>"057"</f>
        <v>057</v>
      </c>
      <c r="D1169">
        <v>2005</v>
      </c>
      <c r="E1169">
        <v>16622500</v>
      </c>
      <c r="F1169">
        <v>16622500</v>
      </c>
      <c r="G1169" t="s">
        <v>11</v>
      </c>
      <c r="H1169" t="s">
        <v>38</v>
      </c>
      <c r="I1169" t="s">
        <v>13</v>
      </c>
      <c r="J1169" t="s">
        <v>13</v>
      </c>
    </row>
    <row r="1170" spans="1:10" x14ac:dyDescent="0.25">
      <c r="A1170" t="s">
        <v>5</v>
      </c>
      <c r="B1170" t="str">
        <f t="shared" si="20"/>
        <v>40251</v>
      </c>
      <c r="C1170" t="str">
        <f>"058"</f>
        <v>058</v>
      </c>
      <c r="D1170">
        <v>2005</v>
      </c>
      <c r="E1170">
        <v>4737100</v>
      </c>
      <c r="F1170">
        <v>-16100</v>
      </c>
      <c r="G1170" t="s">
        <v>49</v>
      </c>
      <c r="H1170" t="s">
        <v>38</v>
      </c>
      <c r="I1170" t="s">
        <v>13</v>
      </c>
      <c r="J1170" t="s">
        <v>13</v>
      </c>
    </row>
    <row r="1171" spans="1:10" x14ac:dyDescent="0.25">
      <c r="A1171" t="s">
        <v>5</v>
      </c>
      <c r="B1171" t="str">
        <f t="shared" si="20"/>
        <v>40251</v>
      </c>
      <c r="C1171" t="str">
        <f>"059"</f>
        <v>059</v>
      </c>
      <c r="D1171">
        <v>2005</v>
      </c>
      <c r="E1171">
        <v>46785500</v>
      </c>
      <c r="F1171">
        <v>764000</v>
      </c>
      <c r="G1171" t="s">
        <v>11</v>
      </c>
      <c r="H1171" t="s">
        <v>38</v>
      </c>
      <c r="I1171" t="s">
        <v>13</v>
      </c>
      <c r="J1171" t="s">
        <v>13</v>
      </c>
    </row>
    <row r="1172" spans="1:10" x14ac:dyDescent="0.25">
      <c r="A1172" t="s">
        <v>5</v>
      </c>
      <c r="B1172" t="str">
        <f t="shared" si="20"/>
        <v>40251</v>
      </c>
      <c r="C1172" t="str">
        <f>"060"</f>
        <v>060</v>
      </c>
      <c r="D1172">
        <v>2005</v>
      </c>
      <c r="E1172">
        <v>11733300</v>
      </c>
      <c r="F1172">
        <v>9520400</v>
      </c>
      <c r="G1172" t="s">
        <v>11</v>
      </c>
      <c r="H1172" t="s">
        <v>38</v>
      </c>
      <c r="I1172" t="s">
        <v>13</v>
      </c>
      <c r="J1172" t="s">
        <v>13</v>
      </c>
    </row>
    <row r="1173" spans="1:10" x14ac:dyDescent="0.25">
      <c r="A1173" t="s">
        <v>5</v>
      </c>
      <c r="B1173" t="str">
        <f t="shared" si="20"/>
        <v>40251</v>
      </c>
      <c r="C1173" t="str">
        <f>"062"</f>
        <v>062</v>
      </c>
      <c r="D1173">
        <v>2006</v>
      </c>
      <c r="E1173">
        <v>8050600</v>
      </c>
      <c r="F1173">
        <v>2720800</v>
      </c>
      <c r="G1173" t="s">
        <v>11</v>
      </c>
      <c r="H1173" t="s">
        <v>38</v>
      </c>
      <c r="I1173" t="s">
        <v>13</v>
      </c>
      <c r="J1173" t="s">
        <v>13</v>
      </c>
    </row>
    <row r="1174" spans="1:10" x14ac:dyDescent="0.25">
      <c r="A1174" t="s">
        <v>5</v>
      </c>
      <c r="B1174" t="str">
        <f t="shared" si="20"/>
        <v>40251</v>
      </c>
      <c r="C1174" t="str">
        <f>"063"</f>
        <v>063</v>
      </c>
      <c r="D1174">
        <v>2006</v>
      </c>
      <c r="E1174">
        <v>11733500</v>
      </c>
      <c r="F1174">
        <v>2862400</v>
      </c>
      <c r="G1174" t="s">
        <v>11</v>
      </c>
      <c r="H1174" t="s">
        <v>38</v>
      </c>
      <c r="I1174" t="s">
        <v>13</v>
      </c>
      <c r="J1174" t="s">
        <v>13</v>
      </c>
    </row>
    <row r="1175" spans="1:10" x14ac:dyDescent="0.25">
      <c r="A1175" t="s">
        <v>5</v>
      </c>
      <c r="B1175" t="str">
        <f t="shared" si="20"/>
        <v>40251</v>
      </c>
      <c r="C1175" t="str">
        <f>"064"</f>
        <v>064</v>
      </c>
      <c r="D1175">
        <v>2006</v>
      </c>
      <c r="E1175">
        <v>24219000</v>
      </c>
      <c r="F1175">
        <v>9861000</v>
      </c>
      <c r="G1175" t="s">
        <v>11</v>
      </c>
      <c r="H1175" t="s">
        <v>38</v>
      </c>
      <c r="I1175" t="s">
        <v>13</v>
      </c>
      <c r="J1175" t="s">
        <v>13</v>
      </c>
    </row>
    <row r="1176" spans="1:10" x14ac:dyDescent="0.25">
      <c r="A1176" t="s">
        <v>5</v>
      </c>
      <c r="B1176" t="str">
        <f t="shared" si="20"/>
        <v>40251</v>
      </c>
      <c r="C1176" t="str">
        <f>"065"</f>
        <v>065</v>
      </c>
      <c r="D1176">
        <v>2006</v>
      </c>
      <c r="E1176">
        <v>3277300</v>
      </c>
      <c r="F1176">
        <v>56600</v>
      </c>
      <c r="G1176" t="s">
        <v>11</v>
      </c>
      <c r="H1176" t="s">
        <v>38</v>
      </c>
      <c r="I1176" t="s">
        <v>13</v>
      </c>
      <c r="J1176" t="s">
        <v>13</v>
      </c>
    </row>
    <row r="1177" spans="1:10" x14ac:dyDescent="0.25">
      <c r="A1177" t="s">
        <v>5</v>
      </c>
      <c r="B1177" t="str">
        <f t="shared" si="20"/>
        <v>40251</v>
      </c>
      <c r="C1177" t="str">
        <f>"066"</f>
        <v>066</v>
      </c>
      <c r="D1177">
        <v>2007</v>
      </c>
      <c r="E1177">
        <v>28505600</v>
      </c>
      <c r="F1177">
        <v>-21937700</v>
      </c>
      <c r="G1177" t="s">
        <v>49</v>
      </c>
      <c r="H1177" t="s">
        <v>38</v>
      </c>
      <c r="I1177" t="s">
        <v>13</v>
      </c>
      <c r="J1177" t="s">
        <v>13</v>
      </c>
    </row>
    <row r="1178" spans="1:10" x14ac:dyDescent="0.25">
      <c r="A1178" t="s">
        <v>5</v>
      </c>
      <c r="B1178" t="str">
        <f t="shared" si="20"/>
        <v>40251</v>
      </c>
      <c r="C1178" t="str">
        <f>"067"</f>
        <v>067</v>
      </c>
      <c r="D1178">
        <v>2007</v>
      </c>
      <c r="E1178">
        <v>141576400</v>
      </c>
      <c r="F1178">
        <v>132309500</v>
      </c>
      <c r="G1178" t="s">
        <v>11</v>
      </c>
      <c r="H1178" t="s">
        <v>38</v>
      </c>
      <c r="I1178" t="s">
        <v>13</v>
      </c>
      <c r="J1178" t="s">
        <v>13</v>
      </c>
    </row>
    <row r="1179" spans="1:10" x14ac:dyDescent="0.25">
      <c r="A1179" t="s">
        <v>5</v>
      </c>
      <c r="B1179" t="str">
        <f t="shared" si="20"/>
        <v>40251</v>
      </c>
      <c r="C1179" t="str">
        <f>"068"</f>
        <v>068</v>
      </c>
      <c r="D1179">
        <v>2007</v>
      </c>
      <c r="E1179">
        <v>81821800</v>
      </c>
      <c r="F1179">
        <v>49015000</v>
      </c>
      <c r="G1179" t="s">
        <v>11</v>
      </c>
      <c r="H1179" t="s">
        <v>38</v>
      </c>
      <c r="I1179" t="s">
        <v>13</v>
      </c>
      <c r="J1179" t="s">
        <v>13</v>
      </c>
    </row>
    <row r="1180" spans="1:10" x14ac:dyDescent="0.25">
      <c r="A1180" t="s">
        <v>5</v>
      </c>
      <c r="B1180" t="str">
        <f t="shared" si="20"/>
        <v>40251</v>
      </c>
      <c r="C1180" t="str">
        <f>"070"</f>
        <v>070</v>
      </c>
      <c r="D1180">
        <v>2007</v>
      </c>
      <c r="E1180">
        <v>41906800</v>
      </c>
      <c r="F1180">
        <v>27002100</v>
      </c>
      <c r="G1180" t="s">
        <v>11</v>
      </c>
      <c r="H1180" t="s">
        <v>38</v>
      </c>
      <c r="I1180" t="s">
        <v>13</v>
      </c>
      <c r="J1180" t="s">
        <v>13</v>
      </c>
    </row>
    <row r="1181" spans="1:10" x14ac:dyDescent="0.25">
      <c r="A1181" t="s">
        <v>5</v>
      </c>
      <c r="B1181" t="str">
        <f t="shared" si="20"/>
        <v>40251</v>
      </c>
      <c r="C1181" t="str">
        <f>"071"</f>
        <v>071</v>
      </c>
      <c r="D1181">
        <v>2008</v>
      </c>
      <c r="E1181">
        <v>69061900</v>
      </c>
      <c r="F1181">
        <v>2310600</v>
      </c>
      <c r="G1181" t="s">
        <v>11</v>
      </c>
      <c r="H1181" t="s">
        <v>38</v>
      </c>
      <c r="I1181" t="s">
        <v>13</v>
      </c>
      <c r="J1181" t="s">
        <v>13</v>
      </c>
    </row>
    <row r="1182" spans="1:10" x14ac:dyDescent="0.25">
      <c r="A1182" t="s">
        <v>5</v>
      </c>
      <c r="B1182" t="str">
        <f t="shared" si="20"/>
        <v>40251</v>
      </c>
      <c r="C1182" t="str">
        <f>"072"</f>
        <v>072</v>
      </c>
      <c r="D1182">
        <v>2009</v>
      </c>
      <c r="E1182">
        <v>22047500</v>
      </c>
      <c r="F1182">
        <v>-2427200</v>
      </c>
      <c r="G1182" t="s">
        <v>49</v>
      </c>
      <c r="H1182" t="s">
        <v>38</v>
      </c>
      <c r="I1182" t="s">
        <v>13</v>
      </c>
      <c r="J1182" t="s">
        <v>13</v>
      </c>
    </row>
    <row r="1183" spans="1:10" x14ac:dyDescent="0.25">
      <c r="A1183" t="s">
        <v>5</v>
      </c>
      <c r="B1183" t="str">
        <f t="shared" si="20"/>
        <v>40251</v>
      </c>
      <c r="C1183" t="str">
        <f>"073"</f>
        <v>073</v>
      </c>
      <c r="D1183">
        <v>2009</v>
      </c>
      <c r="E1183">
        <v>8685300</v>
      </c>
      <c r="F1183">
        <v>4082500</v>
      </c>
      <c r="G1183" t="s">
        <v>11</v>
      </c>
      <c r="H1183" t="s">
        <v>38</v>
      </c>
      <c r="I1183" t="s">
        <v>13</v>
      </c>
      <c r="J1183" t="s">
        <v>13</v>
      </c>
    </row>
    <row r="1184" spans="1:10" x14ac:dyDescent="0.25">
      <c r="A1184" t="s">
        <v>5</v>
      </c>
      <c r="B1184" t="str">
        <f t="shared" si="20"/>
        <v>40251</v>
      </c>
      <c r="C1184" t="str">
        <f>"074"</f>
        <v>074</v>
      </c>
      <c r="D1184">
        <v>2009</v>
      </c>
      <c r="E1184">
        <v>54378700</v>
      </c>
      <c r="F1184">
        <v>-8956000</v>
      </c>
      <c r="G1184" t="s">
        <v>49</v>
      </c>
      <c r="H1184" t="s">
        <v>38</v>
      </c>
      <c r="I1184" t="s">
        <v>13</v>
      </c>
      <c r="J1184" t="s">
        <v>13</v>
      </c>
    </row>
    <row r="1185" spans="1:10" x14ac:dyDescent="0.25">
      <c r="A1185" t="s">
        <v>5</v>
      </c>
      <c r="B1185" t="str">
        <f t="shared" si="20"/>
        <v>40251</v>
      </c>
      <c r="C1185" t="str">
        <f>"075"</f>
        <v>075</v>
      </c>
      <c r="D1185">
        <v>2009</v>
      </c>
      <c r="E1185">
        <v>121333300</v>
      </c>
      <c r="F1185">
        <v>94862800</v>
      </c>
      <c r="G1185" t="s">
        <v>11</v>
      </c>
      <c r="H1185" t="s">
        <v>38</v>
      </c>
      <c r="I1185" t="s">
        <v>13</v>
      </c>
      <c r="J1185" t="s">
        <v>13</v>
      </c>
    </row>
    <row r="1186" spans="1:10" x14ac:dyDescent="0.25">
      <c r="A1186" t="s">
        <v>5</v>
      </c>
      <c r="B1186" t="str">
        <f t="shared" si="20"/>
        <v>40251</v>
      </c>
      <c r="C1186" t="str">
        <f>"076"</f>
        <v>076</v>
      </c>
      <c r="D1186">
        <v>2010</v>
      </c>
      <c r="E1186">
        <v>20587000</v>
      </c>
      <c r="F1186">
        <v>4474000</v>
      </c>
      <c r="G1186" t="s">
        <v>11</v>
      </c>
      <c r="H1186" t="s">
        <v>38</v>
      </c>
      <c r="I1186" t="s">
        <v>13</v>
      </c>
      <c r="J1186" t="s">
        <v>13</v>
      </c>
    </row>
    <row r="1187" spans="1:10" x14ac:dyDescent="0.25">
      <c r="A1187" t="s">
        <v>5</v>
      </c>
      <c r="B1187" t="str">
        <f t="shared" si="20"/>
        <v>40251</v>
      </c>
      <c r="C1187" t="str">
        <f>"077"</f>
        <v>077</v>
      </c>
      <c r="D1187">
        <v>2012</v>
      </c>
      <c r="E1187">
        <v>9226900</v>
      </c>
      <c r="F1187">
        <v>5858800</v>
      </c>
      <c r="G1187" t="s">
        <v>11</v>
      </c>
      <c r="H1187" t="s">
        <v>38</v>
      </c>
      <c r="I1187" t="s">
        <v>13</v>
      </c>
      <c r="J1187" t="s">
        <v>13</v>
      </c>
    </row>
    <row r="1188" spans="1:10" x14ac:dyDescent="0.25">
      <c r="A1188" t="s">
        <v>5</v>
      </c>
      <c r="B1188" t="str">
        <f t="shared" si="20"/>
        <v>40251</v>
      </c>
      <c r="C1188" t="str">
        <f>"078"</f>
        <v>078</v>
      </c>
      <c r="D1188">
        <v>2013</v>
      </c>
      <c r="E1188">
        <v>303935900</v>
      </c>
      <c r="F1188">
        <v>254347400</v>
      </c>
      <c r="G1188" t="s">
        <v>11</v>
      </c>
      <c r="H1188" t="s">
        <v>38</v>
      </c>
      <c r="I1188" t="s">
        <v>13</v>
      </c>
      <c r="J1188" t="s">
        <v>13</v>
      </c>
    </row>
    <row r="1189" spans="1:10" x14ac:dyDescent="0.25">
      <c r="A1189" t="s">
        <v>5</v>
      </c>
      <c r="B1189" t="str">
        <f t="shared" si="20"/>
        <v>40251</v>
      </c>
      <c r="C1189" t="str">
        <f>"079"</f>
        <v>079</v>
      </c>
      <c r="D1189">
        <v>2013</v>
      </c>
      <c r="E1189">
        <v>65195700</v>
      </c>
      <c r="F1189">
        <v>51477000</v>
      </c>
      <c r="G1189" t="s">
        <v>11</v>
      </c>
      <c r="H1189" t="s">
        <v>38</v>
      </c>
      <c r="I1189" t="s">
        <v>13</v>
      </c>
      <c r="J1189" t="s">
        <v>13</v>
      </c>
    </row>
    <row r="1190" spans="1:10" x14ac:dyDescent="0.25">
      <c r="A1190" t="s">
        <v>5</v>
      </c>
      <c r="B1190" t="str">
        <f t="shared" si="20"/>
        <v>40251</v>
      </c>
      <c r="C1190" t="str">
        <f>"080"</f>
        <v>080</v>
      </c>
      <c r="D1190">
        <v>2014</v>
      </c>
      <c r="E1190">
        <v>13584000</v>
      </c>
      <c r="F1190">
        <v>10083700</v>
      </c>
      <c r="G1190" t="s">
        <v>11</v>
      </c>
      <c r="H1190" t="s">
        <v>38</v>
      </c>
      <c r="I1190" t="s">
        <v>13</v>
      </c>
      <c r="J1190" t="s">
        <v>13</v>
      </c>
    </row>
    <row r="1191" spans="1:10" x14ac:dyDescent="0.25">
      <c r="A1191" t="s">
        <v>5</v>
      </c>
      <c r="B1191" t="str">
        <f t="shared" si="20"/>
        <v>40251</v>
      </c>
      <c r="C1191" t="str">
        <f>"081"</f>
        <v>081</v>
      </c>
      <c r="D1191">
        <v>2015</v>
      </c>
      <c r="E1191">
        <v>20451400</v>
      </c>
      <c r="F1191">
        <v>17762200</v>
      </c>
      <c r="G1191" t="s">
        <v>11</v>
      </c>
      <c r="H1191" t="s">
        <v>38</v>
      </c>
      <c r="I1191" t="s">
        <v>13</v>
      </c>
      <c r="J1191" t="s">
        <v>13</v>
      </c>
    </row>
    <row r="1192" spans="1:10" x14ac:dyDescent="0.25">
      <c r="A1192" t="s">
        <v>5</v>
      </c>
      <c r="B1192" t="str">
        <f t="shared" si="20"/>
        <v>40251</v>
      </c>
      <c r="C1192" t="str">
        <f>"082"</f>
        <v>082</v>
      </c>
      <c r="D1192">
        <v>2015</v>
      </c>
      <c r="E1192">
        <v>99245000</v>
      </c>
      <c r="F1192">
        <v>93770900</v>
      </c>
      <c r="G1192" t="s">
        <v>11</v>
      </c>
      <c r="H1192" t="s">
        <v>38</v>
      </c>
      <c r="I1192" t="s">
        <v>13</v>
      </c>
      <c r="J1192" t="s">
        <v>13</v>
      </c>
    </row>
    <row r="1193" spans="1:10" x14ac:dyDescent="0.25">
      <c r="A1193" t="s">
        <v>5</v>
      </c>
      <c r="B1193" t="str">
        <f t="shared" si="20"/>
        <v>40251</v>
      </c>
      <c r="C1193" t="str">
        <f>"083"</f>
        <v>083</v>
      </c>
      <c r="D1193">
        <v>2015</v>
      </c>
      <c r="E1193">
        <v>25472900</v>
      </c>
      <c r="F1193">
        <v>19698700</v>
      </c>
      <c r="G1193" t="s">
        <v>11</v>
      </c>
      <c r="H1193" t="s">
        <v>38</v>
      </c>
      <c r="I1193" t="s">
        <v>13</v>
      </c>
      <c r="J1193" t="s">
        <v>13</v>
      </c>
    </row>
    <row r="1194" spans="1:10" x14ac:dyDescent="0.25">
      <c r="A1194" t="s">
        <v>5</v>
      </c>
      <c r="B1194" t="str">
        <f t="shared" si="20"/>
        <v>40251</v>
      </c>
      <c r="C1194" t="str">
        <f>"084"</f>
        <v>084</v>
      </c>
      <c r="D1194">
        <v>2015</v>
      </c>
      <c r="E1194">
        <v>107799500</v>
      </c>
      <c r="F1194">
        <v>47688400</v>
      </c>
      <c r="G1194" t="s">
        <v>11</v>
      </c>
      <c r="H1194" t="s">
        <v>38</v>
      </c>
      <c r="I1194" t="s">
        <v>13</v>
      </c>
      <c r="J1194" t="s">
        <v>13</v>
      </c>
    </row>
    <row r="1195" spans="1:10" x14ac:dyDescent="0.25">
      <c r="A1195" t="s">
        <v>5</v>
      </c>
      <c r="B1195" t="str">
        <f t="shared" si="20"/>
        <v>40251</v>
      </c>
      <c r="C1195" t="str">
        <f>"085"</f>
        <v>085</v>
      </c>
      <c r="D1195">
        <v>2015</v>
      </c>
      <c r="E1195">
        <v>39621800</v>
      </c>
      <c r="F1195">
        <v>7525200</v>
      </c>
      <c r="G1195" t="s">
        <v>11</v>
      </c>
      <c r="H1195" t="s">
        <v>38</v>
      </c>
      <c r="I1195" t="s">
        <v>13</v>
      </c>
      <c r="J1195" t="s">
        <v>13</v>
      </c>
    </row>
    <row r="1196" spans="1:10" x14ac:dyDescent="0.25">
      <c r="A1196" t="s">
        <v>5</v>
      </c>
      <c r="B1196" t="str">
        <f t="shared" si="20"/>
        <v>40251</v>
      </c>
      <c r="C1196" t="str">
        <f>"086"</f>
        <v>086</v>
      </c>
      <c r="D1196">
        <v>2016</v>
      </c>
      <c r="E1196">
        <v>4520600</v>
      </c>
      <c r="F1196">
        <v>1209300</v>
      </c>
      <c r="G1196" t="s">
        <v>11</v>
      </c>
      <c r="H1196" t="s">
        <v>38</v>
      </c>
      <c r="I1196" t="s">
        <v>13</v>
      </c>
      <c r="J1196" t="s">
        <v>13</v>
      </c>
    </row>
    <row r="1197" spans="1:10" x14ac:dyDescent="0.25">
      <c r="A1197" t="s">
        <v>5</v>
      </c>
      <c r="B1197" t="str">
        <f t="shared" si="20"/>
        <v>40251</v>
      </c>
      <c r="C1197" t="str">
        <f>"087"</f>
        <v>087</v>
      </c>
      <c r="D1197">
        <v>2016</v>
      </c>
      <c r="E1197">
        <v>3409700</v>
      </c>
      <c r="F1197">
        <v>3029100</v>
      </c>
      <c r="G1197" t="s">
        <v>11</v>
      </c>
      <c r="H1197" t="s">
        <v>38</v>
      </c>
      <c r="I1197" t="s">
        <v>13</v>
      </c>
      <c r="J1197" t="s">
        <v>13</v>
      </c>
    </row>
    <row r="1198" spans="1:10" x14ac:dyDescent="0.25">
      <c r="A1198" t="s">
        <v>5</v>
      </c>
      <c r="B1198" t="str">
        <f t="shared" si="20"/>
        <v>40251</v>
      </c>
      <c r="C1198" t="str">
        <f>"088"</f>
        <v>088</v>
      </c>
      <c r="D1198">
        <v>2016</v>
      </c>
      <c r="E1198">
        <v>4318600</v>
      </c>
      <c r="F1198">
        <v>111100</v>
      </c>
      <c r="G1198" t="s">
        <v>11</v>
      </c>
      <c r="H1198" t="s">
        <v>38</v>
      </c>
      <c r="I1198" t="s">
        <v>13</v>
      </c>
      <c r="J1198" t="s">
        <v>13</v>
      </c>
    </row>
    <row r="1199" spans="1:10" x14ac:dyDescent="0.25">
      <c r="A1199" t="s">
        <v>5</v>
      </c>
      <c r="B1199" t="str">
        <f t="shared" si="20"/>
        <v>40251</v>
      </c>
      <c r="C1199" t="str">
        <f>"089"</f>
        <v>089</v>
      </c>
      <c r="D1199">
        <v>2017</v>
      </c>
      <c r="E1199">
        <v>2960600</v>
      </c>
      <c r="F1199">
        <v>2960600</v>
      </c>
      <c r="G1199" t="s">
        <v>11</v>
      </c>
      <c r="H1199" t="s">
        <v>38</v>
      </c>
      <c r="I1199" t="s">
        <v>13</v>
      </c>
      <c r="J1199" t="s">
        <v>13</v>
      </c>
    </row>
    <row r="1200" spans="1:10" x14ac:dyDescent="0.25">
      <c r="A1200" t="s">
        <v>5</v>
      </c>
      <c r="B1200" t="str">
        <f t="shared" si="20"/>
        <v>40251</v>
      </c>
      <c r="C1200" t="str">
        <f>"090"</f>
        <v>090</v>
      </c>
      <c r="D1200">
        <v>2017</v>
      </c>
      <c r="E1200">
        <v>2200300</v>
      </c>
      <c r="F1200">
        <v>1923700</v>
      </c>
      <c r="G1200" t="s">
        <v>11</v>
      </c>
      <c r="H1200" t="s">
        <v>38</v>
      </c>
      <c r="I1200" t="s">
        <v>13</v>
      </c>
      <c r="J1200" t="s">
        <v>13</v>
      </c>
    </row>
    <row r="1201" spans="1:11" x14ac:dyDescent="0.25">
      <c r="A1201" t="s">
        <v>5</v>
      </c>
      <c r="B1201" t="str">
        <f t="shared" si="20"/>
        <v>40251</v>
      </c>
      <c r="C1201" t="str">
        <f>"091"</f>
        <v>091</v>
      </c>
      <c r="D1201">
        <v>2017</v>
      </c>
      <c r="E1201">
        <v>53188600</v>
      </c>
      <c r="F1201">
        <v>-9481800</v>
      </c>
      <c r="G1201" t="s">
        <v>49</v>
      </c>
      <c r="H1201" t="s">
        <v>38</v>
      </c>
      <c r="I1201" t="s">
        <v>13</v>
      </c>
      <c r="J1201" t="s">
        <v>13</v>
      </c>
    </row>
    <row r="1202" spans="1:11" x14ac:dyDescent="0.25">
      <c r="A1202" t="s">
        <v>5</v>
      </c>
      <c r="B1202" t="str">
        <f t="shared" si="20"/>
        <v>40251</v>
      </c>
      <c r="C1202" t="str">
        <f>"092"</f>
        <v>092</v>
      </c>
      <c r="D1202">
        <v>2017</v>
      </c>
      <c r="E1202">
        <v>1376900</v>
      </c>
      <c r="F1202">
        <v>254900</v>
      </c>
      <c r="G1202" t="s">
        <v>11</v>
      </c>
      <c r="H1202" t="s">
        <v>38</v>
      </c>
      <c r="I1202" t="s">
        <v>13</v>
      </c>
      <c r="J1202" t="s">
        <v>13</v>
      </c>
    </row>
    <row r="1203" spans="1:11" x14ac:dyDescent="0.25">
      <c r="A1203" t="s">
        <v>5</v>
      </c>
      <c r="B1203" t="str">
        <f t="shared" si="20"/>
        <v>40251</v>
      </c>
      <c r="C1203" t="str">
        <f>"093"</f>
        <v>093</v>
      </c>
      <c r="D1203">
        <v>2018</v>
      </c>
      <c r="E1203">
        <v>2636500</v>
      </c>
      <c r="F1203">
        <v>1879600</v>
      </c>
      <c r="G1203" t="s">
        <v>11</v>
      </c>
      <c r="H1203" t="s">
        <v>38</v>
      </c>
      <c r="I1203" t="s">
        <v>13</v>
      </c>
      <c r="J1203" t="s">
        <v>13</v>
      </c>
    </row>
    <row r="1204" spans="1:11" x14ac:dyDescent="0.25">
      <c r="A1204" t="s">
        <v>39</v>
      </c>
      <c r="B1204" t="s">
        <v>13</v>
      </c>
      <c r="C1204" t="s">
        <v>7</v>
      </c>
      <c r="D1204" t="s">
        <v>8</v>
      </c>
      <c r="E1204">
        <v>2847754000</v>
      </c>
      <c r="F1204">
        <v>2007788700</v>
      </c>
      <c r="G1204" t="s">
        <v>11</v>
      </c>
      <c r="H1204">
        <v>29746345900</v>
      </c>
      <c r="I1204" t="s">
        <v>13</v>
      </c>
      <c r="J1204" t="s">
        <v>13</v>
      </c>
      <c r="K1204">
        <v>6.75</v>
      </c>
    </row>
    <row r="1206" spans="1:11" x14ac:dyDescent="0.25">
      <c r="A1206" t="s">
        <v>275</v>
      </c>
      <c r="B1206" t="str">
        <f>"65151"</f>
        <v>65151</v>
      </c>
      <c r="C1206" t="str">
        <f>"001"</f>
        <v>001</v>
      </c>
      <c r="D1206">
        <v>1988</v>
      </c>
      <c r="E1206">
        <v>711100</v>
      </c>
      <c r="F1206">
        <v>405100</v>
      </c>
      <c r="G1206" t="s">
        <v>11</v>
      </c>
      <c r="H1206" t="s">
        <v>38</v>
      </c>
      <c r="I1206" t="s">
        <v>13</v>
      </c>
      <c r="J1206" t="s">
        <v>13</v>
      </c>
    </row>
    <row r="1207" spans="1:11" x14ac:dyDescent="0.25">
      <c r="A1207" t="s">
        <v>5</v>
      </c>
      <c r="B1207" t="str">
        <f>"65151"</f>
        <v>65151</v>
      </c>
      <c r="C1207" t="str">
        <f>"002"</f>
        <v>002</v>
      </c>
      <c r="D1207">
        <v>1997</v>
      </c>
      <c r="E1207">
        <v>7553700</v>
      </c>
      <c r="F1207">
        <v>6163500</v>
      </c>
      <c r="G1207" t="s">
        <v>11</v>
      </c>
      <c r="H1207" t="s">
        <v>38</v>
      </c>
      <c r="I1207" t="s">
        <v>13</v>
      </c>
      <c r="J1207" t="s">
        <v>13</v>
      </c>
    </row>
    <row r="1208" spans="1:11" x14ac:dyDescent="0.25">
      <c r="A1208" t="s">
        <v>5</v>
      </c>
      <c r="B1208" t="str">
        <f>"65151"</f>
        <v>65151</v>
      </c>
      <c r="C1208" t="str">
        <f>"003"</f>
        <v>003</v>
      </c>
      <c r="D1208">
        <v>2010</v>
      </c>
      <c r="E1208">
        <v>933100</v>
      </c>
      <c r="F1208">
        <v>848200</v>
      </c>
      <c r="G1208" t="s">
        <v>11</v>
      </c>
      <c r="H1208" t="s">
        <v>38</v>
      </c>
      <c r="I1208" t="s">
        <v>13</v>
      </c>
      <c r="J1208" t="s">
        <v>13</v>
      </c>
    </row>
    <row r="1209" spans="1:11" x14ac:dyDescent="0.25">
      <c r="A1209" t="s">
        <v>39</v>
      </c>
      <c r="B1209" t="s">
        <v>13</v>
      </c>
      <c r="C1209" t="s">
        <v>7</v>
      </c>
      <c r="D1209" t="s">
        <v>8</v>
      </c>
      <c r="E1209">
        <v>9197900</v>
      </c>
      <c r="F1209">
        <v>7416800</v>
      </c>
      <c r="G1209" t="s">
        <v>11</v>
      </c>
      <c r="H1209">
        <v>39988000</v>
      </c>
      <c r="I1209" t="s">
        <v>13</v>
      </c>
      <c r="J1209" t="s">
        <v>13</v>
      </c>
      <c r="K1209">
        <v>18.55</v>
      </c>
    </row>
    <row r="1211" spans="1:11" x14ac:dyDescent="0.25">
      <c r="A1211" t="s">
        <v>276</v>
      </c>
      <c r="B1211" t="str">
        <f>"06251"</f>
        <v>06251</v>
      </c>
      <c r="C1211" t="str">
        <f>"001"</f>
        <v>001</v>
      </c>
      <c r="D1211">
        <v>1989</v>
      </c>
      <c r="E1211">
        <v>13383700</v>
      </c>
      <c r="F1211">
        <v>13267400</v>
      </c>
      <c r="G1211" t="s">
        <v>11</v>
      </c>
      <c r="H1211" t="s">
        <v>38</v>
      </c>
      <c r="I1211" t="s">
        <v>13</v>
      </c>
      <c r="J1211" t="s">
        <v>13</v>
      </c>
    </row>
    <row r="1212" spans="1:11" x14ac:dyDescent="0.25">
      <c r="A1212" t="s">
        <v>5</v>
      </c>
      <c r="B1212" t="str">
        <f>"06251"</f>
        <v>06251</v>
      </c>
      <c r="C1212" t="str">
        <f>"002"</f>
        <v>002</v>
      </c>
      <c r="D1212">
        <v>2005</v>
      </c>
      <c r="E1212">
        <v>10882200</v>
      </c>
      <c r="F1212">
        <v>10862300</v>
      </c>
      <c r="G1212" t="s">
        <v>11</v>
      </c>
      <c r="H1212" t="s">
        <v>38</v>
      </c>
      <c r="I1212" t="s">
        <v>13</v>
      </c>
      <c r="J1212" t="s">
        <v>13</v>
      </c>
    </row>
    <row r="1213" spans="1:11" x14ac:dyDescent="0.25">
      <c r="A1213" t="s">
        <v>39</v>
      </c>
      <c r="B1213" t="s">
        <v>13</v>
      </c>
      <c r="C1213" t="s">
        <v>7</v>
      </c>
      <c r="D1213" t="s">
        <v>8</v>
      </c>
      <c r="E1213">
        <v>24265900</v>
      </c>
      <c r="F1213">
        <v>24129700</v>
      </c>
      <c r="G1213" t="s">
        <v>11</v>
      </c>
      <c r="H1213">
        <v>172663000</v>
      </c>
      <c r="I1213" t="s">
        <v>13</v>
      </c>
      <c r="J1213" t="s">
        <v>13</v>
      </c>
      <c r="K1213">
        <v>13.98</v>
      </c>
    </row>
    <row r="1215" spans="1:11" x14ac:dyDescent="0.25">
      <c r="A1215" t="s">
        <v>277</v>
      </c>
      <c r="B1215" t="str">
        <f t="shared" ref="B1215:B1220" si="21">"13258"</f>
        <v>13258</v>
      </c>
      <c r="C1215" t="str">
        <f>"004"</f>
        <v>004</v>
      </c>
      <c r="D1215">
        <v>2000</v>
      </c>
      <c r="E1215">
        <v>68952900</v>
      </c>
      <c r="F1215">
        <v>39010400</v>
      </c>
      <c r="G1215" t="s">
        <v>11</v>
      </c>
      <c r="H1215" t="s">
        <v>38</v>
      </c>
      <c r="I1215" t="s">
        <v>13</v>
      </c>
      <c r="J1215" t="s">
        <v>13</v>
      </c>
    </row>
    <row r="1216" spans="1:11" x14ac:dyDescent="0.25">
      <c r="A1216" t="s">
        <v>5</v>
      </c>
      <c r="B1216" t="str">
        <f t="shared" si="21"/>
        <v>13258</v>
      </c>
      <c r="C1216" t="str">
        <f>"005"</f>
        <v>005</v>
      </c>
      <c r="D1216">
        <v>2008</v>
      </c>
      <c r="E1216">
        <v>28054500</v>
      </c>
      <c r="F1216">
        <v>19074800</v>
      </c>
      <c r="G1216" t="s">
        <v>11</v>
      </c>
      <c r="H1216" t="s">
        <v>38</v>
      </c>
      <c r="I1216" t="s">
        <v>13</v>
      </c>
      <c r="J1216" t="s">
        <v>13</v>
      </c>
    </row>
    <row r="1217" spans="1:11" x14ac:dyDescent="0.25">
      <c r="A1217" t="s">
        <v>5</v>
      </c>
      <c r="B1217" t="str">
        <f t="shared" si="21"/>
        <v>13258</v>
      </c>
      <c r="C1217" t="str">
        <f>"006"</f>
        <v>006</v>
      </c>
      <c r="D1217">
        <v>2010</v>
      </c>
      <c r="E1217">
        <v>44671200</v>
      </c>
      <c r="F1217">
        <v>26978200</v>
      </c>
      <c r="G1217" t="s">
        <v>11</v>
      </c>
      <c r="H1217" t="s">
        <v>38</v>
      </c>
      <c r="I1217" t="s">
        <v>13</v>
      </c>
      <c r="J1217" t="s">
        <v>13</v>
      </c>
    </row>
    <row r="1218" spans="1:11" x14ac:dyDescent="0.25">
      <c r="A1218" t="s">
        <v>5</v>
      </c>
      <c r="B1218" t="str">
        <f t="shared" si="21"/>
        <v>13258</v>
      </c>
      <c r="C1218" t="str">
        <f>"007"</f>
        <v>007</v>
      </c>
      <c r="D1218">
        <v>2012</v>
      </c>
      <c r="E1218">
        <v>17204800</v>
      </c>
      <c r="F1218">
        <v>8957300</v>
      </c>
      <c r="G1218" t="s">
        <v>11</v>
      </c>
      <c r="H1218" t="s">
        <v>38</v>
      </c>
      <c r="I1218" t="s">
        <v>13</v>
      </c>
      <c r="J1218" t="s">
        <v>13</v>
      </c>
    </row>
    <row r="1219" spans="1:11" x14ac:dyDescent="0.25">
      <c r="A1219" t="s">
        <v>5</v>
      </c>
      <c r="B1219" t="str">
        <f t="shared" si="21"/>
        <v>13258</v>
      </c>
      <c r="C1219" t="str">
        <f>"008"</f>
        <v>008</v>
      </c>
      <c r="D1219">
        <v>2012</v>
      </c>
      <c r="E1219">
        <v>26908000</v>
      </c>
      <c r="F1219">
        <v>26492000</v>
      </c>
      <c r="G1219" t="s">
        <v>11</v>
      </c>
      <c r="H1219" t="s">
        <v>38</v>
      </c>
      <c r="I1219" t="s">
        <v>13</v>
      </c>
      <c r="J1219" t="s">
        <v>13</v>
      </c>
    </row>
    <row r="1220" spans="1:11" x14ac:dyDescent="0.25">
      <c r="A1220" t="s">
        <v>5</v>
      </c>
      <c r="B1220" t="str">
        <f t="shared" si="21"/>
        <v>13258</v>
      </c>
      <c r="C1220" t="str">
        <f>"009"</f>
        <v>009</v>
      </c>
      <c r="D1220">
        <v>2015</v>
      </c>
      <c r="E1220">
        <v>14625000</v>
      </c>
      <c r="F1220">
        <v>7378900</v>
      </c>
      <c r="G1220" t="s">
        <v>11</v>
      </c>
      <c r="H1220" t="s">
        <v>38</v>
      </c>
      <c r="I1220" t="s">
        <v>13</v>
      </c>
      <c r="J1220" t="s">
        <v>13</v>
      </c>
    </row>
    <row r="1221" spans="1:11" x14ac:dyDescent="0.25">
      <c r="A1221" t="s">
        <v>39</v>
      </c>
      <c r="B1221" t="s">
        <v>13</v>
      </c>
      <c r="C1221" t="s">
        <v>7</v>
      </c>
      <c r="D1221" t="s">
        <v>8</v>
      </c>
      <c r="E1221">
        <v>200416400</v>
      </c>
      <c r="F1221">
        <v>127891600</v>
      </c>
      <c r="G1221" t="s">
        <v>11</v>
      </c>
      <c r="H1221">
        <v>1386302300</v>
      </c>
      <c r="I1221" t="s">
        <v>13</v>
      </c>
      <c r="J1221" t="s">
        <v>13</v>
      </c>
      <c r="K1221">
        <v>9.23</v>
      </c>
    </row>
    <row r="1223" spans="1:11" x14ac:dyDescent="0.25">
      <c r="A1223" t="s">
        <v>278</v>
      </c>
      <c r="B1223" t="str">
        <f t="shared" ref="B1223:B1228" si="22">"23251"</f>
        <v>23251</v>
      </c>
      <c r="C1223" t="str">
        <f>"005"</f>
        <v>005</v>
      </c>
      <c r="D1223">
        <v>1996</v>
      </c>
      <c r="E1223">
        <v>20322200</v>
      </c>
      <c r="F1223">
        <v>13918000</v>
      </c>
      <c r="G1223" t="s">
        <v>11</v>
      </c>
      <c r="H1223" t="s">
        <v>38</v>
      </c>
      <c r="I1223" t="s">
        <v>13</v>
      </c>
      <c r="J1223" t="s">
        <v>13</v>
      </c>
    </row>
    <row r="1224" spans="1:11" x14ac:dyDescent="0.25">
      <c r="A1224" t="s">
        <v>5</v>
      </c>
      <c r="B1224" t="str">
        <f t="shared" si="22"/>
        <v>23251</v>
      </c>
      <c r="C1224" t="str">
        <f>"006"</f>
        <v>006</v>
      </c>
      <c r="D1224">
        <v>2003</v>
      </c>
      <c r="E1224">
        <v>20824000</v>
      </c>
      <c r="F1224">
        <v>10680800</v>
      </c>
      <c r="G1224" t="s">
        <v>11</v>
      </c>
      <c r="H1224" t="s">
        <v>38</v>
      </c>
      <c r="I1224" t="s">
        <v>13</v>
      </c>
      <c r="J1224" t="s">
        <v>13</v>
      </c>
    </row>
    <row r="1225" spans="1:11" x14ac:dyDescent="0.25">
      <c r="A1225" t="s">
        <v>5</v>
      </c>
      <c r="B1225" t="str">
        <f t="shared" si="22"/>
        <v>23251</v>
      </c>
      <c r="C1225" t="str">
        <f>"007"</f>
        <v>007</v>
      </c>
      <c r="D1225">
        <v>2005</v>
      </c>
      <c r="E1225">
        <v>43721700</v>
      </c>
      <c r="F1225">
        <v>11371900</v>
      </c>
      <c r="G1225" t="s">
        <v>11</v>
      </c>
      <c r="H1225" t="s">
        <v>38</v>
      </c>
      <c r="I1225" t="s">
        <v>13</v>
      </c>
      <c r="J1225" t="s">
        <v>13</v>
      </c>
    </row>
    <row r="1226" spans="1:11" x14ac:dyDescent="0.25">
      <c r="A1226" t="s">
        <v>5</v>
      </c>
      <c r="B1226" t="str">
        <f t="shared" si="22"/>
        <v>23251</v>
      </c>
      <c r="C1226" t="str">
        <f>"008"</f>
        <v>008</v>
      </c>
      <c r="D1226">
        <v>2007</v>
      </c>
      <c r="E1226">
        <v>4741600</v>
      </c>
      <c r="F1226">
        <v>2408900</v>
      </c>
      <c r="G1226" t="s">
        <v>11</v>
      </c>
      <c r="H1226" t="s">
        <v>38</v>
      </c>
      <c r="I1226" t="s">
        <v>13</v>
      </c>
      <c r="J1226" t="s">
        <v>13</v>
      </c>
    </row>
    <row r="1227" spans="1:11" x14ac:dyDescent="0.25">
      <c r="A1227" t="s">
        <v>5</v>
      </c>
      <c r="B1227" t="str">
        <f t="shared" si="22"/>
        <v>23251</v>
      </c>
      <c r="C1227" t="str">
        <f>"009"</f>
        <v>009</v>
      </c>
      <c r="D1227">
        <v>2018</v>
      </c>
      <c r="E1227">
        <v>21740600</v>
      </c>
      <c r="F1227">
        <v>726100</v>
      </c>
      <c r="G1227" t="s">
        <v>11</v>
      </c>
      <c r="H1227" t="s">
        <v>38</v>
      </c>
      <c r="I1227" t="s">
        <v>13</v>
      </c>
      <c r="J1227" t="s">
        <v>13</v>
      </c>
    </row>
    <row r="1228" spans="1:11" x14ac:dyDescent="0.25">
      <c r="A1228" t="s">
        <v>5</v>
      </c>
      <c r="B1228" t="str">
        <f t="shared" si="22"/>
        <v>23251</v>
      </c>
      <c r="C1228" t="str">
        <f>"010"</f>
        <v>010</v>
      </c>
      <c r="D1228">
        <v>2017</v>
      </c>
      <c r="E1228">
        <v>17573200</v>
      </c>
      <c r="F1228">
        <v>124000</v>
      </c>
      <c r="G1228" t="s">
        <v>11</v>
      </c>
      <c r="H1228" t="s">
        <v>38</v>
      </c>
      <c r="I1228" t="s">
        <v>13</v>
      </c>
      <c r="J1228" t="s">
        <v>13</v>
      </c>
    </row>
    <row r="1229" spans="1:11" x14ac:dyDescent="0.25">
      <c r="A1229" t="s">
        <v>39</v>
      </c>
      <c r="B1229" t="s">
        <v>13</v>
      </c>
      <c r="C1229" t="s">
        <v>7</v>
      </c>
      <c r="D1229" t="s">
        <v>8</v>
      </c>
      <c r="E1229">
        <v>128923300</v>
      </c>
      <c r="F1229">
        <v>39229700</v>
      </c>
      <c r="G1229" t="s">
        <v>11</v>
      </c>
      <c r="H1229">
        <v>793283200</v>
      </c>
      <c r="I1229" t="s">
        <v>13</v>
      </c>
      <c r="J1229" t="s">
        <v>13</v>
      </c>
      <c r="K1229">
        <v>4.95</v>
      </c>
    </row>
    <row r="1231" spans="1:11" x14ac:dyDescent="0.25">
      <c r="A1231" t="s">
        <v>279</v>
      </c>
      <c r="B1231" t="str">
        <f>"22151"</f>
        <v>22151</v>
      </c>
      <c r="C1231" t="str">
        <f>"001"</f>
        <v>001</v>
      </c>
      <c r="D1231">
        <v>2014</v>
      </c>
      <c r="E1231">
        <v>2493900</v>
      </c>
      <c r="F1231">
        <v>525200</v>
      </c>
      <c r="G1231" t="s">
        <v>11</v>
      </c>
      <c r="H1231" t="s">
        <v>38</v>
      </c>
      <c r="I1231" t="s">
        <v>13</v>
      </c>
      <c r="J1231" t="s">
        <v>13</v>
      </c>
    </row>
    <row r="1232" spans="1:11" x14ac:dyDescent="0.25">
      <c r="A1232" t="s">
        <v>39</v>
      </c>
      <c r="B1232" t="s">
        <v>13</v>
      </c>
      <c r="C1232" t="s">
        <v>7</v>
      </c>
      <c r="D1232" t="s">
        <v>8</v>
      </c>
      <c r="E1232">
        <v>2493900</v>
      </c>
      <c r="F1232">
        <v>525200</v>
      </c>
      <c r="G1232" t="s">
        <v>11</v>
      </c>
      <c r="H1232">
        <v>38246300</v>
      </c>
      <c r="I1232" t="s">
        <v>13</v>
      </c>
      <c r="J1232" t="s">
        <v>13</v>
      </c>
      <c r="K1232">
        <v>1.37</v>
      </c>
    </row>
    <row r="1234" spans="1:11" x14ac:dyDescent="0.25">
      <c r="A1234" t="s">
        <v>280</v>
      </c>
      <c r="B1234" t="str">
        <f>"37251"</f>
        <v>37251</v>
      </c>
      <c r="C1234" t="str">
        <f>"002"</f>
        <v>002</v>
      </c>
      <c r="D1234">
        <v>2006</v>
      </c>
      <c r="E1234">
        <v>27689600</v>
      </c>
      <c r="F1234">
        <v>14758900</v>
      </c>
      <c r="G1234" t="s">
        <v>11</v>
      </c>
      <c r="H1234" t="s">
        <v>38</v>
      </c>
      <c r="I1234" t="s">
        <v>13</v>
      </c>
      <c r="J1234" t="s">
        <v>13</v>
      </c>
    </row>
    <row r="1235" spans="1:11" x14ac:dyDescent="0.25">
      <c r="A1235" t="s">
        <v>5</v>
      </c>
      <c r="B1235" t="str">
        <f>"37251"</f>
        <v>37251</v>
      </c>
      <c r="C1235" t="str">
        <f>"003"</f>
        <v>003</v>
      </c>
      <c r="D1235">
        <v>2013</v>
      </c>
      <c r="E1235">
        <v>11974500</v>
      </c>
      <c r="F1235">
        <v>4443400</v>
      </c>
      <c r="G1235" t="s">
        <v>11</v>
      </c>
      <c r="H1235" t="s">
        <v>38</v>
      </c>
      <c r="I1235" t="s">
        <v>13</v>
      </c>
      <c r="J1235" t="s">
        <v>13</v>
      </c>
    </row>
    <row r="1236" spans="1:11" x14ac:dyDescent="0.25">
      <c r="A1236" t="s">
        <v>39</v>
      </c>
      <c r="B1236" t="s">
        <v>13</v>
      </c>
      <c r="C1236" t="s">
        <v>7</v>
      </c>
      <c r="D1236" t="s">
        <v>8</v>
      </c>
      <c r="E1236">
        <v>39664100</v>
      </c>
      <c r="F1236">
        <v>19202300</v>
      </c>
      <c r="G1236" t="s">
        <v>11</v>
      </c>
      <c r="H1236">
        <v>314550000</v>
      </c>
      <c r="I1236" t="s">
        <v>13</v>
      </c>
      <c r="J1236" t="s">
        <v>13</v>
      </c>
      <c r="K1236">
        <v>6.1</v>
      </c>
    </row>
    <row r="1238" spans="1:11" x14ac:dyDescent="0.25">
      <c r="A1238" t="s">
        <v>281</v>
      </c>
      <c r="B1238" t="str">
        <f>"13157"</f>
        <v>13157</v>
      </c>
      <c r="C1238" t="str">
        <f>"003"</f>
        <v>003</v>
      </c>
      <c r="D1238">
        <v>2004</v>
      </c>
      <c r="E1238">
        <v>35510700</v>
      </c>
      <c r="F1238">
        <v>32922400</v>
      </c>
      <c r="G1238" t="s">
        <v>11</v>
      </c>
      <c r="H1238" t="s">
        <v>38</v>
      </c>
      <c r="I1238" t="s">
        <v>13</v>
      </c>
      <c r="J1238" t="s">
        <v>13</v>
      </c>
    </row>
    <row r="1239" spans="1:11" x14ac:dyDescent="0.25">
      <c r="A1239" t="s">
        <v>5</v>
      </c>
      <c r="B1239" t="str">
        <f>"13157"</f>
        <v>13157</v>
      </c>
      <c r="C1239" t="str">
        <f>"004"</f>
        <v>004</v>
      </c>
      <c r="D1239">
        <v>2007</v>
      </c>
      <c r="E1239">
        <v>8699100</v>
      </c>
      <c r="F1239">
        <v>4751000</v>
      </c>
      <c r="G1239" t="s">
        <v>11</v>
      </c>
      <c r="H1239" t="s">
        <v>38</v>
      </c>
      <c r="I1239" t="s">
        <v>13</v>
      </c>
      <c r="J1239" t="s">
        <v>13</v>
      </c>
    </row>
    <row r="1240" spans="1:11" x14ac:dyDescent="0.25">
      <c r="A1240" t="s">
        <v>5</v>
      </c>
      <c r="B1240" t="str">
        <f>"13157"</f>
        <v>13157</v>
      </c>
      <c r="C1240" t="str">
        <f>"005"</f>
        <v>005</v>
      </c>
      <c r="D1240">
        <v>2016</v>
      </c>
      <c r="E1240">
        <v>53132900</v>
      </c>
      <c r="F1240">
        <v>27782900</v>
      </c>
      <c r="G1240" t="s">
        <v>11</v>
      </c>
      <c r="H1240" t="s">
        <v>38</v>
      </c>
      <c r="I1240" t="s">
        <v>13</v>
      </c>
      <c r="J1240" t="s">
        <v>13</v>
      </c>
    </row>
    <row r="1241" spans="1:11" x14ac:dyDescent="0.25">
      <c r="A1241" t="s">
        <v>39</v>
      </c>
      <c r="B1241" t="s">
        <v>13</v>
      </c>
      <c r="C1241" t="s">
        <v>7</v>
      </c>
      <c r="D1241" t="s">
        <v>8</v>
      </c>
      <c r="E1241">
        <v>97342700</v>
      </c>
      <c r="F1241">
        <v>65456300</v>
      </c>
      <c r="G1241" t="s">
        <v>11</v>
      </c>
      <c r="H1241">
        <v>793824100</v>
      </c>
      <c r="I1241" t="s">
        <v>13</v>
      </c>
      <c r="J1241" t="s">
        <v>13</v>
      </c>
      <c r="K1241">
        <v>8.25</v>
      </c>
    </row>
    <row r="1243" spans="1:11" x14ac:dyDescent="0.25">
      <c r="A1243" t="s">
        <v>282</v>
      </c>
      <c r="B1243" t="str">
        <f>"51151"</f>
        <v>51151</v>
      </c>
      <c r="C1243" t="str">
        <f>"001"</f>
        <v>001</v>
      </c>
      <c r="D1243">
        <v>2006</v>
      </c>
      <c r="E1243">
        <v>94046100</v>
      </c>
      <c r="F1243">
        <v>89753400</v>
      </c>
      <c r="G1243" t="s">
        <v>11</v>
      </c>
      <c r="H1243" t="s">
        <v>38</v>
      </c>
      <c r="I1243" t="s">
        <v>13</v>
      </c>
      <c r="J1243" t="s">
        <v>13</v>
      </c>
    </row>
    <row r="1244" spans="1:11" x14ac:dyDescent="0.25">
      <c r="A1244" t="s">
        <v>5</v>
      </c>
      <c r="B1244" t="str">
        <f>"51151"</f>
        <v>51151</v>
      </c>
      <c r="C1244" t="str">
        <f>"002"</f>
        <v>002</v>
      </c>
      <c r="D1244">
        <v>2007</v>
      </c>
      <c r="E1244">
        <v>151871300</v>
      </c>
      <c r="F1244">
        <v>48287100</v>
      </c>
      <c r="G1244" t="s">
        <v>11</v>
      </c>
      <c r="H1244" t="s">
        <v>38</v>
      </c>
      <c r="I1244" t="s">
        <v>13</v>
      </c>
      <c r="J1244" t="s">
        <v>13</v>
      </c>
    </row>
    <row r="1245" spans="1:11" x14ac:dyDescent="0.25">
      <c r="A1245" t="s">
        <v>5</v>
      </c>
      <c r="B1245" t="str">
        <f>"51151"</f>
        <v>51151</v>
      </c>
      <c r="C1245" t="str">
        <f>"003"</f>
        <v>003</v>
      </c>
      <c r="D1245">
        <v>2014</v>
      </c>
      <c r="E1245">
        <v>31372700</v>
      </c>
      <c r="F1245">
        <v>27236500</v>
      </c>
      <c r="G1245" t="s">
        <v>11</v>
      </c>
      <c r="H1245" t="s">
        <v>38</v>
      </c>
      <c r="I1245" t="s">
        <v>13</v>
      </c>
      <c r="J1245" t="s">
        <v>13</v>
      </c>
    </row>
    <row r="1246" spans="1:11" x14ac:dyDescent="0.25">
      <c r="A1246" t="s">
        <v>5</v>
      </c>
      <c r="B1246" t="str">
        <f>"51151"</f>
        <v>51151</v>
      </c>
      <c r="C1246" t="str">
        <f>"004"</f>
        <v>004</v>
      </c>
      <c r="D1246">
        <v>2015</v>
      </c>
      <c r="E1246">
        <v>39394300</v>
      </c>
      <c r="F1246">
        <v>35806600</v>
      </c>
      <c r="G1246" t="s">
        <v>11</v>
      </c>
      <c r="H1246" t="s">
        <v>38</v>
      </c>
      <c r="I1246" t="s">
        <v>13</v>
      </c>
      <c r="J1246" t="s">
        <v>13</v>
      </c>
    </row>
    <row r="1247" spans="1:11" x14ac:dyDescent="0.25">
      <c r="A1247" t="s">
        <v>5</v>
      </c>
      <c r="B1247" t="str">
        <f>"51151"</f>
        <v>51151</v>
      </c>
      <c r="C1247" t="str">
        <f>"005"</f>
        <v>005</v>
      </c>
      <c r="D1247">
        <v>2018</v>
      </c>
      <c r="E1247">
        <v>64754500</v>
      </c>
      <c r="F1247">
        <v>34523000</v>
      </c>
      <c r="G1247" t="s">
        <v>11</v>
      </c>
      <c r="H1247" t="s">
        <v>38</v>
      </c>
      <c r="I1247" t="s">
        <v>13</v>
      </c>
      <c r="J1247" t="s">
        <v>13</v>
      </c>
    </row>
    <row r="1248" spans="1:11" x14ac:dyDescent="0.25">
      <c r="A1248" t="s">
        <v>39</v>
      </c>
      <c r="B1248" t="s">
        <v>13</v>
      </c>
      <c r="C1248" t="s">
        <v>7</v>
      </c>
      <c r="D1248" t="s">
        <v>8</v>
      </c>
      <c r="E1248">
        <v>381438900</v>
      </c>
      <c r="F1248">
        <v>235606600</v>
      </c>
      <c r="G1248" t="s">
        <v>11</v>
      </c>
      <c r="H1248">
        <v>3228261200</v>
      </c>
      <c r="I1248" t="s">
        <v>13</v>
      </c>
      <c r="J1248" t="s">
        <v>13</v>
      </c>
      <c r="K1248">
        <v>7.3</v>
      </c>
    </row>
    <row r="1250" spans="1:11" x14ac:dyDescent="0.25">
      <c r="A1250" t="s">
        <v>283</v>
      </c>
      <c r="B1250" t="str">
        <f>"67153"</f>
        <v>67153</v>
      </c>
      <c r="C1250" t="str">
        <f>"003"</f>
        <v>003</v>
      </c>
      <c r="D1250">
        <v>2003</v>
      </c>
      <c r="E1250">
        <v>55712100</v>
      </c>
      <c r="F1250">
        <v>53322600</v>
      </c>
      <c r="G1250" t="s">
        <v>11</v>
      </c>
      <c r="H1250" t="s">
        <v>38</v>
      </c>
      <c r="I1250" t="s">
        <v>13</v>
      </c>
      <c r="J1250" t="s">
        <v>13</v>
      </c>
    </row>
    <row r="1251" spans="1:11" x14ac:dyDescent="0.25">
      <c r="A1251" t="s">
        <v>5</v>
      </c>
      <c r="B1251" t="str">
        <f>"67153"</f>
        <v>67153</v>
      </c>
      <c r="C1251" t="str">
        <f>"004"</f>
        <v>004</v>
      </c>
      <c r="D1251">
        <v>2017</v>
      </c>
      <c r="E1251">
        <v>8744000</v>
      </c>
      <c r="F1251">
        <v>2376000</v>
      </c>
      <c r="G1251" t="s">
        <v>11</v>
      </c>
      <c r="H1251" t="s">
        <v>38</v>
      </c>
      <c r="I1251" t="s">
        <v>13</v>
      </c>
      <c r="J1251" t="s">
        <v>13</v>
      </c>
    </row>
    <row r="1252" spans="1:11" x14ac:dyDescent="0.25">
      <c r="A1252" t="s">
        <v>5</v>
      </c>
      <c r="B1252" t="str">
        <f>"64153"</f>
        <v>64153</v>
      </c>
      <c r="C1252" t="str">
        <f>"005"</f>
        <v>005</v>
      </c>
      <c r="D1252">
        <v>2018</v>
      </c>
      <c r="E1252">
        <v>12956600</v>
      </c>
      <c r="F1252">
        <v>12641400</v>
      </c>
      <c r="G1252" t="s">
        <v>11</v>
      </c>
      <c r="H1252" t="s">
        <v>38</v>
      </c>
      <c r="I1252" t="s">
        <v>13</v>
      </c>
      <c r="J1252" t="s">
        <v>13</v>
      </c>
    </row>
    <row r="1253" spans="1:11" x14ac:dyDescent="0.25">
      <c r="A1253" t="s">
        <v>39</v>
      </c>
      <c r="B1253" t="s">
        <v>13</v>
      </c>
      <c r="C1253" t="s">
        <v>7</v>
      </c>
      <c r="D1253" t="s">
        <v>8</v>
      </c>
      <c r="E1253">
        <v>77412700</v>
      </c>
      <c r="F1253">
        <v>68340000</v>
      </c>
      <c r="G1253" t="s">
        <v>11</v>
      </c>
      <c r="H1253">
        <v>926137500</v>
      </c>
      <c r="I1253" t="s">
        <v>13</v>
      </c>
      <c r="J1253" t="s">
        <v>13</v>
      </c>
      <c r="K1253">
        <v>7.38</v>
      </c>
    </row>
    <row r="1255" spans="1:11" x14ac:dyDescent="0.25">
      <c r="A1255" t="s">
        <v>284</v>
      </c>
      <c r="B1255" t="str">
        <f>"25153"</f>
        <v>25153</v>
      </c>
      <c r="C1255" t="str">
        <f>"002"</f>
        <v>002</v>
      </c>
      <c r="D1255">
        <v>1997</v>
      </c>
      <c r="E1255">
        <v>6330200</v>
      </c>
      <c r="F1255">
        <v>5660400</v>
      </c>
      <c r="G1255" t="s">
        <v>11</v>
      </c>
      <c r="H1255" t="s">
        <v>38</v>
      </c>
      <c r="I1255" t="s">
        <v>13</v>
      </c>
      <c r="J1255" t="s">
        <v>13</v>
      </c>
    </row>
    <row r="1256" spans="1:11" x14ac:dyDescent="0.25">
      <c r="A1256" t="s">
        <v>5</v>
      </c>
      <c r="B1256" t="str">
        <f>"22153"</f>
        <v>22153</v>
      </c>
      <c r="C1256" t="str">
        <f>"002"</f>
        <v>002</v>
      </c>
      <c r="D1256">
        <v>1997</v>
      </c>
      <c r="E1256">
        <v>9759400</v>
      </c>
      <c r="F1256">
        <v>8621500</v>
      </c>
      <c r="G1256" t="s">
        <v>11</v>
      </c>
      <c r="H1256" t="s">
        <v>38</v>
      </c>
      <c r="I1256" t="s">
        <v>13</v>
      </c>
      <c r="J1256" t="s">
        <v>13</v>
      </c>
    </row>
    <row r="1257" spans="1:11" x14ac:dyDescent="0.25">
      <c r="A1257" t="s">
        <v>5</v>
      </c>
      <c r="B1257" t="str">
        <f>"22153"</f>
        <v>22153</v>
      </c>
      <c r="C1257" t="str">
        <f>"003"</f>
        <v>003</v>
      </c>
      <c r="D1257">
        <v>1997</v>
      </c>
      <c r="E1257">
        <v>3680400</v>
      </c>
      <c r="F1257">
        <v>1641000</v>
      </c>
      <c r="G1257" t="s">
        <v>11</v>
      </c>
      <c r="H1257" t="s">
        <v>38</v>
      </c>
      <c r="I1257" t="s">
        <v>13</v>
      </c>
      <c r="J1257" t="s">
        <v>13</v>
      </c>
    </row>
    <row r="1258" spans="1:11" x14ac:dyDescent="0.25">
      <c r="A1258" t="s">
        <v>39</v>
      </c>
      <c r="B1258" t="s">
        <v>13</v>
      </c>
      <c r="C1258" t="s">
        <v>7</v>
      </c>
      <c r="D1258" t="s">
        <v>8</v>
      </c>
      <c r="E1258">
        <v>19770000</v>
      </c>
      <c r="F1258">
        <v>15922900</v>
      </c>
      <c r="G1258" t="s">
        <v>11</v>
      </c>
      <c r="H1258">
        <v>86285700</v>
      </c>
      <c r="I1258" t="s">
        <v>13</v>
      </c>
      <c r="J1258" t="s">
        <v>13</v>
      </c>
      <c r="K1258">
        <v>18.45</v>
      </c>
    </row>
    <row r="1260" spans="1:11" x14ac:dyDescent="0.25">
      <c r="A1260" t="s">
        <v>285</v>
      </c>
      <c r="B1260" t="str">
        <f>"67251"</f>
        <v>67251</v>
      </c>
      <c r="C1260" t="str">
        <f>"008"</f>
        <v>008</v>
      </c>
      <c r="D1260">
        <v>2000</v>
      </c>
      <c r="E1260">
        <v>26078300</v>
      </c>
      <c r="F1260">
        <v>7665500</v>
      </c>
      <c r="G1260" t="s">
        <v>11</v>
      </c>
      <c r="H1260" t="s">
        <v>38</v>
      </c>
      <c r="I1260" t="s">
        <v>13</v>
      </c>
      <c r="J1260" t="s">
        <v>13</v>
      </c>
    </row>
    <row r="1261" spans="1:11" x14ac:dyDescent="0.25">
      <c r="A1261" t="s">
        <v>5</v>
      </c>
      <c r="B1261" t="str">
        <f>"67251"</f>
        <v>67251</v>
      </c>
      <c r="C1261" t="str">
        <f>"009"</f>
        <v>009</v>
      </c>
      <c r="D1261">
        <v>2003</v>
      </c>
      <c r="E1261">
        <v>51976600</v>
      </c>
      <c r="F1261">
        <v>28255700</v>
      </c>
      <c r="G1261" t="s">
        <v>11</v>
      </c>
      <c r="H1261" t="s">
        <v>38</v>
      </c>
      <c r="I1261" t="s">
        <v>13</v>
      </c>
      <c r="J1261" t="s">
        <v>13</v>
      </c>
    </row>
    <row r="1262" spans="1:11" x14ac:dyDescent="0.25">
      <c r="A1262" t="s">
        <v>5</v>
      </c>
      <c r="B1262" t="str">
        <f>"67251"</f>
        <v>67251</v>
      </c>
      <c r="C1262" t="str">
        <f>"010"</f>
        <v>010</v>
      </c>
      <c r="D1262">
        <v>2008</v>
      </c>
      <c r="E1262">
        <v>65125000</v>
      </c>
      <c r="F1262">
        <v>63974400</v>
      </c>
      <c r="G1262" t="s">
        <v>11</v>
      </c>
      <c r="H1262" t="s">
        <v>38</v>
      </c>
      <c r="I1262" t="s">
        <v>13</v>
      </c>
      <c r="J1262" t="s">
        <v>13</v>
      </c>
    </row>
    <row r="1263" spans="1:11" x14ac:dyDescent="0.25">
      <c r="A1263" t="s">
        <v>5</v>
      </c>
      <c r="B1263" t="str">
        <f>"67251"</f>
        <v>67251</v>
      </c>
      <c r="C1263" t="str">
        <f>"011"</f>
        <v>011</v>
      </c>
      <c r="D1263">
        <v>2016</v>
      </c>
      <c r="E1263">
        <v>18810200</v>
      </c>
      <c r="F1263">
        <v>18807800</v>
      </c>
      <c r="G1263" t="s">
        <v>11</v>
      </c>
      <c r="H1263" t="s">
        <v>38</v>
      </c>
      <c r="I1263" t="s">
        <v>13</v>
      </c>
      <c r="J1263" t="s">
        <v>13</v>
      </c>
    </row>
    <row r="1264" spans="1:11" x14ac:dyDescent="0.25">
      <c r="A1264" t="s">
        <v>39</v>
      </c>
      <c r="B1264" t="s">
        <v>13</v>
      </c>
      <c r="C1264" t="s">
        <v>7</v>
      </c>
      <c r="D1264" t="s">
        <v>8</v>
      </c>
      <c r="E1264">
        <v>161990100</v>
      </c>
      <c r="F1264">
        <v>118703400</v>
      </c>
      <c r="G1264" t="s">
        <v>11</v>
      </c>
      <c r="H1264">
        <v>3301554800</v>
      </c>
      <c r="I1264" t="s">
        <v>13</v>
      </c>
      <c r="J1264" t="s">
        <v>13</v>
      </c>
      <c r="K1264">
        <v>3.6</v>
      </c>
    </row>
    <row r="1266" spans="1:11" x14ac:dyDescent="0.25">
      <c r="A1266" t="s">
        <v>286</v>
      </c>
      <c r="B1266" t="str">
        <f>"29161"</f>
        <v>29161</v>
      </c>
      <c r="C1266" t="str">
        <f>"002"</f>
        <v>002</v>
      </c>
      <c r="D1266">
        <v>1995</v>
      </c>
      <c r="E1266">
        <v>6054900</v>
      </c>
      <c r="F1266">
        <v>4821400</v>
      </c>
      <c r="G1266" t="s">
        <v>11</v>
      </c>
      <c r="H1266" t="s">
        <v>38</v>
      </c>
      <c r="I1266" t="s">
        <v>13</v>
      </c>
      <c r="J1266" t="s">
        <v>13</v>
      </c>
    </row>
    <row r="1267" spans="1:11" x14ac:dyDescent="0.25">
      <c r="A1267" t="s">
        <v>5</v>
      </c>
      <c r="B1267" t="str">
        <f>"29161"</f>
        <v>29161</v>
      </c>
      <c r="C1267" t="str">
        <f>"003"</f>
        <v>003</v>
      </c>
      <c r="D1267">
        <v>1995</v>
      </c>
      <c r="E1267">
        <v>13179300</v>
      </c>
      <c r="F1267">
        <v>5883000</v>
      </c>
      <c r="G1267" t="s">
        <v>11</v>
      </c>
      <c r="H1267" t="s">
        <v>38</v>
      </c>
      <c r="I1267" t="s">
        <v>13</v>
      </c>
      <c r="J1267" t="s">
        <v>13</v>
      </c>
    </row>
    <row r="1268" spans="1:11" x14ac:dyDescent="0.25">
      <c r="A1268" t="s">
        <v>39</v>
      </c>
      <c r="B1268" t="s">
        <v>13</v>
      </c>
      <c r="C1268" t="s">
        <v>7</v>
      </c>
      <c r="D1268" t="s">
        <v>8</v>
      </c>
      <c r="E1268">
        <v>19234200</v>
      </c>
      <c r="F1268">
        <v>10704400</v>
      </c>
      <c r="G1268" t="s">
        <v>11</v>
      </c>
      <c r="H1268">
        <v>44169100</v>
      </c>
      <c r="I1268" t="s">
        <v>13</v>
      </c>
      <c r="J1268" t="s">
        <v>13</v>
      </c>
      <c r="K1268">
        <v>24.24</v>
      </c>
    </row>
    <row r="1270" spans="1:11" x14ac:dyDescent="0.25">
      <c r="A1270" t="s">
        <v>287</v>
      </c>
      <c r="B1270" t="str">
        <f t="shared" ref="B1270:B1276" si="23">"70261"</f>
        <v>70261</v>
      </c>
      <c r="C1270" t="str">
        <f>"005"</f>
        <v>005</v>
      </c>
      <c r="D1270">
        <v>1993</v>
      </c>
      <c r="E1270">
        <v>29636400</v>
      </c>
      <c r="F1270">
        <v>16178200</v>
      </c>
      <c r="G1270" t="s">
        <v>11</v>
      </c>
      <c r="H1270" t="s">
        <v>38</v>
      </c>
      <c r="I1270" t="s">
        <v>13</v>
      </c>
      <c r="J1270" t="s">
        <v>13</v>
      </c>
    </row>
    <row r="1271" spans="1:11" x14ac:dyDescent="0.25">
      <c r="A1271" t="s">
        <v>5</v>
      </c>
      <c r="B1271" t="str">
        <f t="shared" si="23"/>
        <v>70261</v>
      </c>
      <c r="C1271" t="str">
        <f>"006"</f>
        <v>006</v>
      </c>
      <c r="D1271">
        <v>1997</v>
      </c>
      <c r="E1271">
        <v>31040000</v>
      </c>
      <c r="F1271">
        <v>28170400</v>
      </c>
      <c r="G1271" t="s">
        <v>11</v>
      </c>
      <c r="H1271" t="s">
        <v>38</v>
      </c>
      <c r="I1271" t="s">
        <v>13</v>
      </c>
      <c r="J1271" t="s">
        <v>13</v>
      </c>
    </row>
    <row r="1272" spans="1:11" x14ac:dyDescent="0.25">
      <c r="A1272" t="s">
        <v>5</v>
      </c>
      <c r="B1272" t="str">
        <f t="shared" si="23"/>
        <v>70261</v>
      </c>
      <c r="C1272" t="str">
        <f>"007"</f>
        <v>007</v>
      </c>
      <c r="D1272">
        <v>2000</v>
      </c>
      <c r="E1272">
        <v>128868200</v>
      </c>
      <c r="F1272">
        <v>89641200</v>
      </c>
      <c r="G1272" t="s">
        <v>11</v>
      </c>
      <c r="H1272" t="s">
        <v>38</v>
      </c>
      <c r="I1272" t="s">
        <v>13</v>
      </c>
      <c r="J1272" t="s">
        <v>13</v>
      </c>
    </row>
    <row r="1273" spans="1:11" x14ac:dyDescent="0.25">
      <c r="A1273" t="s">
        <v>5</v>
      </c>
      <c r="B1273" t="str">
        <f t="shared" si="23"/>
        <v>70261</v>
      </c>
      <c r="C1273" t="str">
        <f>"008"</f>
        <v>008</v>
      </c>
      <c r="D1273">
        <v>2001</v>
      </c>
      <c r="E1273">
        <v>66375100</v>
      </c>
      <c r="F1273">
        <v>51631500</v>
      </c>
      <c r="G1273" t="s">
        <v>11</v>
      </c>
      <c r="H1273" t="s">
        <v>38</v>
      </c>
      <c r="I1273" t="s">
        <v>13</v>
      </c>
      <c r="J1273" t="s">
        <v>13</v>
      </c>
    </row>
    <row r="1274" spans="1:11" x14ac:dyDescent="0.25">
      <c r="A1274" t="s">
        <v>5</v>
      </c>
      <c r="B1274" t="str">
        <f t="shared" si="23"/>
        <v>70261</v>
      </c>
      <c r="C1274" t="str">
        <f>"009"</f>
        <v>009</v>
      </c>
      <c r="D1274">
        <v>2015</v>
      </c>
      <c r="E1274">
        <v>19911500</v>
      </c>
      <c r="F1274">
        <v>9584100</v>
      </c>
      <c r="G1274" t="s">
        <v>11</v>
      </c>
      <c r="H1274" t="s">
        <v>38</v>
      </c>
      <c r="I1274" t="s">
        <v>13</v>
      </c>
      <c r="J1274" t="s">
        <v>13</v>
      </c>
    </row>
    <row r="1275" spans="1:11" x14ac:dyDescent="0.25">
      <c r="A1275" t="s">
        <v>5</v>
      </c>
      <c r="B1275" t="str">
        <f t="shared" si="23"/>
        <v>70261</v>
      </c>
      <c r="C1275" t="str">
        <f>"010"</f>
        <v>010</v>
      </c>
      <c r="D1275">
        <v>2015</v>
      </c>
      <c r="E1275">
        <v>18390500</v>
      </c>
      <c r="F1275">
        <v>14708900</v>
      </c>
      <c r="G1275" t="s">
        <v>11</v>
      </c>
      <c r="H1275" t="s">
        <v>38</v>
      </c>
      <c r="I1275" t="s">
        <v>13</v>
      </c>
      <c r="J1275" t="s">
        <v>13</v>
      </c>
    </row>
    <row r="1276" spans="1:11" x14ac:dyDescent="0.25">
      <c r="A1276" t="s">
        <v>5</v>
      </c>
      <c r="B1276" t="str">
        <f t="shared" si="23"/>
        <v>70261</v>
      </c>
      <c r="C1276" t="str">
        <f>"011"</f>
        <v>011</v>
      </c>
      <c r="D1276">
        <v>2017</v>
      </c>
      <c r="E1276">
        <v>6894100</v>
      </c>
      <c r="F1276">
        <v>6776400</v>
      </c>
      <c r="G1276" t="s">
        <v>11</v>
      </c>
      <c r="H1276" t="s">
        <v>38</v>
      </c>
      <c r="I1276" t="s">
        <v>13</v>
      </c>
      <c r="J1276" t="s">
        <v>13</v>
      </c>
    </row>
    <row r="1277" spans="1:11" x14ac:dyDescent="0.25">
      <c r="A1277" t="s">
        <v>39</v>
      </c>
      <c r="B1277" t="s">
        <v>13</v>
      </c>
      <c r="C1277" t="s">
        <v>7</v>
      </c>
      <c r="D1277" t="s">
        <v>8</v>
      </c>
      <c r="E1277">
        <v>301115800</v>
      </c>
      <c r="F1277">
        <v>216690700</v>
      </c>
      <c r="G1277" t="s">
        <v>11</v>
      </c>
      <c r="H1277">
        <v>2374159900</v>
      </c>
      <c r="I1277" t="s">
        <v>13</v>
      </c>
      <c r="J1277" t="s">
        <v>13</v>
      </c>
      <c r="K1277">
        <v>9.1300000000000008</v>
      </c>
    </row>
    <row r="1279" spans="1:11" x14ac:dyDescent="0.25">
      <c r="A1279" t="s">
        <v>288</v>
      </c>
      <c r="B1279" t="str">
        <f>"10261"</f>
        <v>10261</v>
      </c>
      <c r="C1279" t="str">
        <f>"002"</f>
        <v>002</v>
      </c>
      <c r="D1279">
        <v>1999</v>
      </c>
      <c r="E1279">
        <v>3481100</v>
      </c>
      <c r="F1279">
        <v>3373900</v>
      </c>
      <c r="G1279" t="s">
        <v>11</v>
      </c>
      <c r="H1279" t="s">
        <v>38</v>
      </c>
      <c r="I1279" t="s">
        <v>13</v>
      </c>
      <c r="J1279" t="s">
        <v>13</v>
      </c>
    </row>
    <row r="1280" spans="1:11" x14ac:dyDescent="0.25">
      <c r="A1280" t="s">
        <v>5</v>
      </c>
      <c r="B1280" t="str">
        <f>"10261"</f>
        <v>10261</v>
      </c>
      <c r="C1280" t="str">
        <f>"003"</f>
        <v>003</v>
      </c>
      <c r="D1280">
        <v>2006</v>
      </c>
      <c r="E1280">
        <v>3318000</v>
      </c>
      <c r="F1280">
        <v>3013200</v>
      </c>
      <c r="G1280" t="s">
        <v>11</v>
      </c>
      <c r="H1280" t="s">
        <v>38</v>
      </c>
      <c r="I1280" t="s">
        <v>13</v>
      </c>
      <c r="J1280" t="s">
        <v>13</v>
      </c>
    </row>
    <row r="1281" spans="1:11" x14ac:dyDescent="0.25">
      <c r="A1281" t="s">
        <v>39</v>
      </c>
      <c r="B1281" t="s">
        <v>13</v>
      </c>
      <c r="C1281" t="s">
        <v>7</v>
      </c>
      <c r="D1281" t="s">
        <v>8</v>
      </c>
      <c r="E1281">
        <v>6799100</v>
      </c>
      <c r="F1281">
        <v>6387100</v>
      </c>
      <c r="G1281" t="s">
        <v>11</v>
      </c>
      <c r="H1281">
        <v>134244700</v>
      </c>
      <c r="I1281" t="s">
        <v>13</v>
      </c>
      <c r="J1281" t="s">
        <v>13</v>
      </c>
      <c r="K1281">
        <v>4.76</v>
      </c>
    </row>
    <row r="1283" spans="1:11" x14ac:dyDescent="0.25">
      <c r="A1283" t="s">
        <v>289</v>
      </c>
      <c r="B1283" t="str">
        <f>"71261"</f>
        <v>71261</v>
      </c>
      <c r="C1283" t="str">
        <f>"001"</f>
        <v>001</v>
      </c>
      <c r="D1283">
        <v>1997</v>
      </c>
      <c r="E1283">
        <v>17431900</v>
      </c>
      <c r="F1283">
        <v>6908300</v>
      </c>
      <c r="G1283" t="s">
        <v>11</v>
      </c>
      <c r="H1283" t="s">
        <v>38</v>
      </c>
      <c r="I1283" t="s">
        <v>13</v>
      </c>
      <c r="J1283" t="s">
        <v>13</v>
      </c>
    </row>
    <row r="1284" spans="1:11" x14ac:dyDescent="0.25">
      <c r="A1284" t="s">
        <v>5</v>
      </c>
      <c r="B1284" t="str">
        <f>"71261"</f>
        <v>71261</v>
      </c>
      <c r="C1284" t="str">
        <f>"002"</f>
        <v>002</v>
      </c>
      <c r="D1284">
        <v>2002</v>
      </c>
      <c r="E1284">
        <v>5607000</v>
      </c>
      <c r="F1284">
        <v>4997700</v>
      </c>
      <c r="G1284" t="s">
        <v>11</v>
      </c>
      <c r="H1284" t="s">
        <v>38</v>
      </c>
      <c r="I1284" t="s">
        <v>13</v>
      </c>
      <c r="J1284" t="s">
        <v>13</v>
      </c>
    </row>
    <row r="1285" spans="1:11" x14ac:dyDescent="0.25">
      <c r="A1285" t="s">
        <v>5</v>
      </c>
      <c r="B1285" t="str">
        <f>"71261"</f>
        <v>71261</v>
      </c>
      <c r="C1285" t="str">
        <f>"003"</f>
        <v>003</v>
      </c>
      <c r="D1285">
        <v>2012</v>
      </c>
      <c r="E1285">
        <v>21553500</v>
      </c>
      <c r="F1285">
        <v>3737200</v>
      </c>
      <c r="G1285" t="s">
        <v>11</v>
      </c>
      <c r="H1285" t="s">
        <v>38</v>
      </c>
      <c r="I1285" t="s">
        <v>13</v>
      </c>
      <c r="J1285" t="s">
        <v>13</v>
      </c>
    </row>
    <row r="1286" spans="1:11" x14ac:dyDescent="0.25">
      <c r="A1286" t="s">
        <v>5</v>
      </c>
      <c r="B1286" t="str">
        <f>"71261"</f>
        <v>71261</v>
      </c>
      <c r="C1286" t="str">
        <f>"004"</f>
        <v>004</v>
      </c>
      <c r="D1286">
        <v>2018</v>
      </c>
      <c r="E1286">
        <v>3496700</v>
      </c>
      <c r="F1286">
        <v>410700</v>
      </c>
      <c r="G1286" t="s">
        <v>11</v>
      </c>
      <c r="H1286" t="s">
        <v>38</v>
      </c>
      <c r="I1286" t="s">
        <v>13</v>
      </c>
      <c r="J1286" t="s">
        <v>13</v>
      </c>
    </row>
    <row r="1287" spans="1:11" x14ac:dyDescent="0.25">
      <c r="A1287" t="s">
        <v>39</v>
      </c>
      <c r="B1287" t="s">
        <v>13</v>
      </c>
      <c r="C1287" t="s">
        <v>7</v>
      </c>
      <c r="D1287" t="s">
        <v>8</v>
      </c>
      <c r="E1287">
        <v>48089100</v>
      </c>
      <c r="F1287">
        <v>16053900</v>
      </c>
      <c r="G1287" t="s">
        <v>11</v>
      </c>
      <c r="H1287">
        <v>118984800</v>
      </c>
      <c r="I1287" t="s">
        <v>13</v>
      </c>
      <c r="J1287" t="s">
        <v>13</v>
      </c>
      <c r="K1287">
        <v>13.49</v>
      </c>
    </row>
    <row r="1289" spans="1:11" x14ac:dyDescent="0.25">
      <c r="A1289" t="s">
        <v>290</v>
      </c>
      <c r="B1289" t="str">
        <f>"09161"</f>
        <v>09161</v>
      </c>
      <c r="C1289" t="str">
        <f>"001"</f>
        <v>001</v>
      </c>
      <c r="D1289">
        <v>2008</v>
      </c>
      <c r="E1289">
        <v>10605500</v>
      </c>
      <c r="F1289">
        <v>10321800</v>
      </c>
      <c r="G1289" t="s">
        <v>11</v>
      </c>
      <c r="H1289" t="s">
        <v>38</v>
      </c>
      <c r="I1289" t="s">
        <v>13</v>
      </c>
      <c r="J1289" t="s">
        <v>13</v>
      </c>
    </row>
    <row r="1290" spans="1:11" x14ac:dyDescent="0.25">
      <c r="A1290" t="s">
        <v>39</v>
      </c>
      <c r="B1290" t="s">
        <v>13</v>
      </c>
      <c r="C1290" t="s">
        <v>7</v>
      </c>
      <c r="D1290" t="s">
        <v>8</v>
      </c>
      <c r="E1290">
        <v>10605500</v>
      </c>
      <c r="F1290">
        <v>10321800</v>
      </c>
      <c r="G1290" t="s">
        <v>11</v>
      </c>
      <c r="H1290">
        <v>49726600</v>
      </c>
      <c r="I1290" t="s">
        <v>13</v>
      </c>
      <c r="J1290" t="s">
        <v>13</v>
      </c>
      <c r="K1290">
        <v>20.76</v>
      </c>
    </row>
    <row r="1292" spans="1:11" x14ac:dyDescent="0.25">
      <c r="A1292" t="s">
        <v>291</v>
      </c>
      <c r="B1292" t="str">
        <f>"67261"</f>
        <v>67261</v>
      </c>
      <c r="C1292" t="str">
        <f>"003"</f>
        <v>003</v>
      </c>
      <c r="D1292">
        <v>2018</v>
      </c>
      <c r="E1292">
        <v>13900800</v>
      </c>
      <c r="F1292">
        <v>13171800</v>
      </c>
      <c r="G1292" t="s">
        <v>11</v>
      </c>
      <c r="H1292" t="s">
        <v>38</v>
      </c>
      <c r="I1292" t="s">
        <v>13</v>
      </c>
      <c r="J1292" t="s">
        <v>13</v>
      </c>
    </row>
    <row r="1293" spans="1:11" x14ac:dyDescent="0.25">
      <c r="A1293" t="s">
        <v>39</v>
      </c>
      <c r="B1293" t="s">
        <v>13</v>
      </c>
      <c r="C1293" t="s">
        <v>7</v>
      </c>
      <c r="D1293" t="s">
        <v>8</v>
      </c>
      <c r="E1293">
        <v>13900800</v>
      </c>
      <c r="F1293">
        <v>13171800</v>
      </c>
      <c r="G1293" t="s">
        <v>11</v>
      </c>
      <c r="H1293">
        <v>5714405700</v>
      </c>
      <c r="I1293" t="s">
        <v>13</v>
      </c>
      <c r="J1293" t="s">
        <v>13</v>
      </c>
      <c r="K1293">
        <v>0.23</v>
      </c>
    </row>
    <row r="1295" spans="1:11" x14ac:dyDescent="0.25">
      <c r="A1295" t="s">
        <v>292</v>
      </c>
      <c r="B1295" t="str">
        <f>"01020"</f>
        <v>01020</v>
      </c>
      <c r="C1295" t="str">
        <f>"001T"</f>
        <v>001T</v>
      </c>
      <c r="D1295">
        <v>2012</v>
      </c>
      <c r="E1295">
        <v>13640800</v>
      </c>
      <c r="F1295">
        <v>8669200</v>
      </c>
      <c r="G1295" t="s">
        <v>11</v>
      </c>
      <c r="H1295" t="s">
        <v>38</v>
      </c>
      <c r="I1295" t="s">
        <v>13</v>
      </c>
      <c r="J1295" t="s">
        <v>13</v>
      </c>
    </row>
    <row r="1296" spans="1:11" x14ac:dyDescent="0.25">
      <c r="A1296" t="s">
        <v>39</v>
      </c>
      <c r="B1296" t="s">
        <v>13</v>
      </c>
      <c r="C1296" t="s">
        <v>7</v>
      </c>
      <c r="D1296" t="s">
        <v>8</v>
      </c>
      <c r="E1296">
        <v>13640800</v>
      </c>
      <c r="F1296">
        <v>8669200</v>
      </c>
      <c r="G1296" t="s">
        <v>11</v>
      </c>
      <c r="H1296">
        <v>95921200</v>
      </c>
      <c r="I1296">
        <v>9.0399999999999991</v>
      </c>
      <c r="J1296">
        <v>14.22</v>
      </c>
    </row>
    <row r="1298" spans="1:11" x14ac:dyDescent="0.25">
      <c r="A1298" t="s">
        <v>293</v>
      </c>
      <c r="B1298" t="str">
        <f>"23161"</f>
        <v>23161</v>
      </c>
      <c r="C1298" t="str">
        <f>"003"</f>
        <v>003</v>
      </c>
      <c r="D1298">
        <v>2006</v>
      </c>
      <c r="E1298">
        <v>13038800</v>
      </c>
      <c r="F1298">
        <v>13019500</v>
      </c>
      <c r="G1298" t="s">
        <v>11</v>
      </c>
      <c r="H1298" t="s">
        <v>38</v>
      </c>
      <c r="I1298" t="s">
        <v>13</v>
      </c>
      <c r="J1298" t="s">
        <v>13</v>
      </c>
    </row>
    <row r="1299" spans="1:11" x14ac:dyDescent="0.25">
      <c r="A1299" t="s">
        <v>5</v>
      </c>
      <c r="B1299" t="str">
        <f>"23161"</f>
        <v>23161</v>
      </c>
      <c r="C1299" t="str">
        <f>"004"</f>
        <v>004</v>
      </c>
      <c r="D1299">
        <v>2015</v>
      </c>
      <c r="E1299">
        <v>18461700</v>
      </c>
      <c r="F1299">
        <v>3819100</v>
      </c>
      <c r="G1299" t="s">
        <v>11</v>
      </c>
      <c r="H1299" t="s">
        <v>38</v>
      </c>
      <c r="I1299" t="s">
        <v>13</v>
      </c>
      <c r="J1299" t="s">
        <v>13</v>
      </c>
    </row>
    <row r="1300" spans="1:11" x14ac:dyDescent="0.25">
      <c r="A1300" t="s">
        <v>39</v>
      </c>
      <c r="B1300" t="s">
        <v>13</v>
      </c>
      <c r="C1300" t="s">
        <v>7</v>
      </c>
      <c r="D1300" t="s">
        <v>8</v>
      </c>
      <c r="E1300">
        <v>31500500</v>
      </c>
      <c r="F1300">
        <v>16838600</v>
      </c>
      <c r="G1300" t="s">
        <v>11</v>
      </c>
      <c r="H1300">
        <v>206538000</v>
      </c>
      <c r="I1300" t="s">
        <v>13</v>
      </c>
      <c r="J1300" t="s">
        <v>13</v>
      </c>
      <c r="K1300">
        <v>8.15</v>
      </c>
    </row>
    <row r="1302" spans="1:11" x14ac:dyDescent="0.25">
      <c r="A1302" t="s">
        <v>294</v>
      </c>
      <c r="B1302" t="str">
        <f>"08261"</f>
        <v>08261</v>
      </c>
      <c r="C1302" t="str">
        <f>"001"</f>
        <v>001</v>
      </c>
      <c r="D1302">
        <v>1994</v>
      </c>
      <c r="E1302">
        <v>14170600</v>
      </c>
      <c r="F1302">
        <v>10839300</v>
      </c>
      <c r="G1302" t="s">
        <v>11</v>
      </c>
      <c r="H1302" t="s">
        <v>38</v>
      </c>
      <c r="I1302" t="s">
        <v>13</v>
      </c>
      <c r="J1302" t="s">
        <v>13</v>
      </c>
    </row>
    <row r="1303" spans="1:11" x14ac:dyDescent="0.25">
      <c r="A1303" t="s">
        <v>5</v>
      </c>
      <c r="B1303" t="str">
        <f>"08261"</f>
        <v>08261</v>
      </c>
      <c r="C1303" t="str">
        <f>"003"</f>
        <v>003</v>
      </c>
      <c r="D1303">
        <v>2007</v>
      </c>
      <c r="E1303">
        <v>275400</v>
      </c>
      <c r="F1303">
        <v>-2682900</v>
      </c>
      <c r="G1303" t="s">
        <v>49</v>
      </c>
      <c r="H1303" t="s">
        <v>38</v>
      </c>
      <c r="I1303" t="s">
        <v>13</v>
      </c>
      <c r="J1303" t="s">
        <v>13</v>
      </c>
    </row>
    <row r="1304" spans="1:11" x14ac:dyDescent="0.25">
      <c r="A1304" t="s">
        <v>5</v>
      </c>
      <c r="B1304" t="str">
        <f>"08261"</f>
        <v>08261</v>
      </c>
      <c r="C1304" t="str">
        <f>"004"</f>
        <v>004</v>
      </c>
      <c r="D1304">
        <v>2018</v>
      </c>
      <c r="E1304">
        <v>12114700</v>
      </c>
      <c r="F1304">
        <v>2549500</v>
      </c>
      <c r="G1304" t="s">
        <v>11</v>
      </c>
      <c r="H1304" t="s">
        <v>38</v>
      </c>
      <c r="I1304" t="s">
        <v>13</v>
      </c>
      <c r="J1304" t="s">
        <v>13</v>
      </c>
    </row>
    <row r="1305" spans="1:11" x14ac:dyDescent="0.25">
      <c r="A1305" t="s">
        <v>5</v>
      </c>
      <c r="B1305" t="str">
        <f>"08261"</f>
        <v>08261</v>
      </c>
      <c r="C1305" t="str">
        <f>"005"</f>
        <v>005</v>
      </c>
      <c r="D1305">
        <v>2018</v>
      </c>
      <c r="E1305">
        <v>1437700</v>
      </c>
      <c r="F1305">
        <v>150800</v>
      </c>
      <c r="G1305" t="s">
        <v>11</v>
      </c>
      <c r="H1305" t="s">
        <v>38</v>
      </c>
      <c r="I1305" t="s">
        <v>13</v>
      </c>
      <c r="J1305" t="s">
        <v>13</v>
      </c>
    </row>
    <row r="1306" spans="1:11" x14ac:dyDescent="0.25">
      <c r="A1306" t="s">
        <v>39</v>
      </c>
      <c r="B1306" t="s">
        <v>13</v>
      </c>
      <c r="C1306" t="s">
        <v>7</v>
      </c>
      <c r="D1306" t="s">
        <v>8</v>
      </c>
      <c r="E1306">
        <v>27998400</v>
      </c>
      <c r="F1306">
        <v>13539600</v>
      </c>
      <c r="G1306" t="s">
        <v>11</v>
      </c>
      <c r="H1306">
        <v>191794000</v>
      </c>
      <c r="I1306" t="s">
        <v>13</v>
      </c>
      <c r="J1306" t="s">
        <v>13</v>
      </c>
      <c r="K1306">
        <v>7.06</v>
      </c>
    </row>
    <row r="1308" spans="1:11" x14ac:dyDescent="0.25">
      <c r="A1308" t="s">
        <v>295</v>
      </c>
      <c r="B1308" t="str">
        <f>"29261"</f>
        <v>29261</v>
      </c>
      <c r="C1308" t="str">
        <f>"009"</f>
        <v>009</v>
      </c>
      <c r="D1308">
        <v>1991</v>
      </c>
      <c r="E1308">
        <v>394600</v>
      </c>
      <c r="F1308">
        <v>386300</v>
      </c>
      <c r="G1308" t="s">
        <v>11</v>
      </c>
      <c r="H1308" t="s">
        <v>38</v>
      </c>
      <c r="I1308" t="s">
        <v>13</v>
      </c>
      <c r="J1308" t="s">
        <v>13</v>
      </c>
    </row>
    <row r="1309" spans="1:11" x14ac:dyDescent="0.25">
      <c r="A1309" t="s">
        <v>5</v>
      </c>
      <c r="B1309" t="str">
        <f>"29261"</f>
        <v>29261</v>
      </c>
      <c r="C1309" t="str">
        <f>"010"</f>
        <v>010</v>
      </c>
      <c r="D1309">
        <v>1991</v>
      </c>
      <c r="E1309">
        <v>291800</v>
      </c>
      <c r="F1309">
        <v>281900</v>
      </c>
      <c r="G1309" t="s">
        <v>11</v>
      </c>
      <c r="H1309" t="s">
        <v>38</v>
      </c>
      <c r="I1309" t="s">
        <v>13</v>
      </c>
      <c r="J1309" t="s">
        <v>13</v>
      </c>
    </row>
    <row r="1310" spans="1:11" x14ac:dyDescent="0.25">
      <c r="A1310" t="s">
        <v>5</v>
      </c>
      <c r="B1310" t="str">
        <f>"29261"</f>
        <v>29261</v>
      </c>
      <c r="C1310" t="str">
        <f>"011"</f>
        <v>011</v>
      </c>
      <c r="D1310">
        <v>1997</v>
      </c>
      <c r="E1310">
        <v>12815700</v>
      </c>
      <c r="F1310">
        <v>12636200</v>
      </c>
      <c r="G1310" t="s">
        <v>11</v>
      </c>
      <c r="H1310" t="s">
        <v>38</v>
      </c>
      <c r="I1310" t="s">
        <v>13</v>
      </c>
      <c r="J1310" t="s">
        <v>13</v>
      </c>
    </row>
    <row r="1311" spans="1:11" x14ac:dyDescent="0.25">
      <c r="A1311" t="s">
        <v>5</v>
      </c>
      <c r="B1311" t="str">
        <f>"29261"</f>
        <v>29261</v>
      </c>
      <c r="C1311" t="str">
        <f>"012"</f>
        <v>012</v>
      </c>
      <c r="D1311">
        <v>2010</v>
      </c>
      <c r="E1311">
        <v>3748000</v>
      </c>
      <c r="F1311">
        <v>2607200</v>
      </c>
      <c r="G1311" t="s">
        <v>11</v>
      </c>
      <c r="H1311" t="s">
        <v>38</v>
      </c>
      <c r="I1311" t="s">
        <v>13</v>
      </c>
      <c r="J1311" t="s">
        <v>13</v>
      </c>
    </row>
    <row r="1312" spans="1:11" x14ac:dyDescent="0.25">
      <c r="A1312" t="s">
        <v>5</v>
      </c>
      <c r="B1312" t="str">
        <f>"29261"</f>
        <v>29261</v>
      </c>
      <c r="C1312" t="str">
        <f>"013"</f>
        <v>013</v>
      </c>
      <c r="D1312">
        <v>2010</v>
      </c>
      <c r="E1312">
        <v>195300</v>
      </c>
      <c r="F1312">
        <v>38100</v>
      </c>
      <c r="G1312" t="s">
        <v>11</v>
      </c>
      <c r="H1312" t="s">
        <v>38</v>
      </c>
      <c r="I1312" t="s">
        <v>13</v>
      </c>
      <c r="J1312" t="s">
        <v>13</v>
      </c>
    </row>
    <row r="1313" spans="1:11" x14ac:dyDescent="0.25">
      <c r="A1313" t="s">
        <v>39</v>
      </c>
      <c r="B1313" t="s">
        <v>13</v>
      </c>
      <c r="C1313" t="s">
        <v>7</v>
      </c>
      <c r="D1313" t="s">
        <v>8</v>
      </c>
      <c r="E1313">
        <v>17445400</v>
      </c>
      <c r="F1313">
        <v>15949700</v>
      </c>
      <c r="G1313" t="s">
        <v>11</v>
      </c>
      <c r="H1313">
        <v>86297400</v>
      </c>
      <c r="I1313" t="s">
        <v>13</v>
      </c>
      <c r="J1313" t="s">
        <v>13</v>
      </c>
      <c r="K1313">
        <v>18.48</v>
      </c>
    </row>
    <row r="1315" spans="1:11" x14ac:dyDescent="0.25">
      <c r="A1315" t="s">
        <v>296</v>
      </c>
      <c r="B1315" t="str">
        <f t="shared" ref="B1315:B1320" si="24">"55261"</f>
        <v>55261</v>
      </c>
      <c r="C1315" t="str">
        <f>"005"</f>
        <v>005</v>
      </c>
      <c r="D1315">
        <v>1987</v>
      </c>
      <c r="E1315">
        <v>21441200</v>
      </c>
      <c r="F1315">
        <v>21363300</v>
      </c>
      <c r="G1315" t="s">
        <v>11</v>
      </c>
      <c r="H1315" t="s">
        <v>38</v>
      </c>
      <c r="I1315" t="s">
        <v>13</v>
      </c>
      <c r="J1315" t="s">
        <v>13</v>
      </c>
    </row>
    <row r="1316" spans="1:11" x14ac:dyDescent="0.25">
      <c r="A1316" t="s">
        <v>5</v>
      </c>
      <c r="B1316" t="str">
        <f t="shared" si="24"/>
        <v>55261</v>
      </c>
      <c r="C1316" t="str">
        <f>"006"</f>
        <v>006</v>
      </c>
      <c r="D1316">
        <v>1995</v>
      </c>
      <c r="E1316">
        <v>27714700</v>
      </c>
      <c r="F1316">
        <v>27486200</v>
      </c>
      <c r="G1316" t="s">
        <v>11</v>
      </c>
      <c r="H1316" t="s">
        <v>38</v>
      </c>
      <c r="I1316" t="s">
        <v>13</v>
      </c>
      <c r="J1316" t="s">
        <v>13</v>
      </c>
    </row>
    <row r="1317" spans="1:11" x14ac:dyDescent="0.25">
      <c r="A1317" t="s">
        <v>5</v>
      </c>
      <c r="B1317" t="str">
        <f t="shared" si="24"/>
        <v>55261</v>
      </c>
      <c r="C1317" t="str">
        <f>"007"</f>
        <v>007</v>
      </c>
      <c r="D1317">
        <v>2003</v>
      </c>
      <c r="E1317">
        <v>6994800</v>
      </c>
      <c r="F1317">
        <v>4437000</v>
      </c>
      <c r="G1317" t="s">
        <v>11</v>
      </c>
      <c r="H1317" t="s">
        <v>38</v>
      </c>
      <c r="I1317" t="s">
        <v>13</v>
      </c>
      <c r="J1317" t="s">
        <v>13</v>
      </c>
    </row>
    <row r="1318" spans="1:11" x14ac:dyDescent="0.25">
      <c r="A1318" t="s">
        <v>5</v>
      </c>
      <c r="B1318" t="str">
        <f t="shared" si="24"/>
        <v>55261</v>
      </c>
      <c r="C1318" t="str">
        <f>"008"</f>
        <v>008</v>
      </c>
      <c r="D1318">
        <v>2005</v>
      </c>
      <c r="E1318">
        <v>28888100</v>
      </c>
      <c r="F1318">
        <v>13156800</v>
      </c>
      <c r="G1318" t="s">
        <v>11</v>
      </c>
      <c r="H1318" t="s">
        <v>38</v>
      </c>
      <c r="I1318" t="s">
        <v>13</v>
      </c>
      <c r="J1318" t="s">
        <v>13</v>
      </c>
    </row>
    <row r="1319" spans="1:11" x14ac:dyDescent="0.25">
      <c r="A1319" t="s">
        <v>5</v>
      </c>
      <c r="B1319" t="str">
        <f t="shared" si="24"/>
        <v>55261</v>
      </c>
      <c r="C1319" t="str">
        <f>"009"</f>
        <v>009</v>
      </c>
      <c r="D1319">
        <v>2008</v>
      </c>
      <c r="E1319">
        <v>9135100</v>
      </c>
      <c r="F1319">
        <v>2659000</v>
      </c>
      <c r="G1319" t="s">
        <v>11</v>
      </c>
      <c r="H1319" t="s">
        <v>38</v>
      </c>
      <c r="I1319" t="s">
        <v>13</v>
      </c>
      <c r="J1319" t="s">
        <v>13</v>
      </c>
    </row>
    <row r="1320" spans="1:11" x14ac:dyDescent="0.25">
      <c r="A1320" t="s">
        <v>5</v>
      </c>
      <c r="B1320" t="str">
        <f t="shared" si="24"/>
        <v>55261</v>
      </c>
      <c r="C1320" t="str">
        <f>"010"</f>
        <v>010</v>
      </c>
      <c r="D1320">
        <v>2014</v>
      </c>
      <c r="E1320">
        <v>10206100</v>
      </c>
      <c r="F1320">
        <v>6352300</v>
      </c>
      <c r="G1320" t="s">
        <v>11</v>
      </c>
      <c r="H1320" t="s">
        <v>38</v>
      </c>
      <c r="I1320" t="s">
        <v>13</v>
      </c>
      <c r="J1320" t="s">
        <v>13</v>
      </c>
    </row>
    <row r="1321" spans="1:11" x14ac:dyDescent="0.25">
      <c r="A1321" t="s">
        <v>39</v>
      </c>
      <c r="B1321" t="s">
        <v>13</v>
      </c>
      <c r="C1321" t="s">
        <v>7</v>
      </c>
      <c r="D1321" t="s">
        <v>8</v>
      </c>
      <c r="E1321">
        <v>104380000</v>
      </c>
      <c r="F1321">
        <v>75454600</v>
      </c>
      <c r="G1321" t="s">
        <v>11</v>
      </c>
      <c r="H1321">
        <v>879399500</v>
      </c>
      <c r="I1321" t="s">
        <v>13</v>
      </c>
      <c r="J1321" t="s">
        <v>13</v>
      </c>
      <c r="K1321">
        <v>8.58</v>
      </c>
    </row>
    <row r="1323" spans="1:11" x14ac:dyDescent="0.25">
      <c r="A1323" t="s">
        <v>297</v>
      </c>
      <c r="B1323" t="str">
        <f>"38261"</f>
        <v>38261</v>
      </c>
      <c r="C1323" t="str">
        <f>"001"</f>
        <v>001</v>
      </c>
      <c r="D1323">
        <v>1995</v>
      </c>
      <c r="E1323">
        <v>791500</v>
      </c>
      <c r="F1323">
        <v>791500</v>
      </c>
      <c r="G1323" t="s">
        <v>11</v>
      </c>
      <c r="H1323" t="s">
        <v>38</v>
      </c>
      <c r="I1323" t="s">
        <v>13</v>
      </c>
      <c r="J1323" t="s">
        <v>13</v>
      </c>
    </row>
    <row r="1324" spans="1:11" x14ac:dyDescent="0.25">
      <c r="A1324" t="s">
        <v>5</v>
      </c>
      <c r="B1324" t="str">
        <f>"38261"</f>
        <v>38261</v>
      </c>
      <c r="C1324" t="str">
        <f>"002"</f>
        <v>002</v>
      </c>
      <c r="D1324">
        <v>1998</v>
      </c>
      <c r="E1324">
        <v>242700</v>
      </c>
      <c r="F1324">
        <v>214200</v>
      </c>
      <c r="G1324" t="s">
        <v>11</v>
      </c>
      <c r="H1324" t="s">
        <v>38</v>
      </c>
      <c r="I1324" t="s">
        <v>13</v>
      </c>
      <c r="J1324" t="s">
        <v>13</v>
      </c>
    </row>
    <row r="1325" spans="1:11" x14ac:dyDescent="0.25">
      <c r="A1325" t="s">
        <v>39</v>
      </c>
      <c r="B1325" t="s">
        <v>13</v>
      </c>
      <c r="C1325" t="s">
        <v>7</v>
      </c>
      <c r="D1325" t="s">
        <v>8</v>
      </c>
      <c r="E1325">
        <v>1034200</v>
      </c>
      <c r="F1325">
        <v>1005700</v>
      </c>
      <c r="G1325" t="s">
        <v>11</v>
      </c>
      <c r="H1325">
        <v>70594000</v>
      </c>
      <c r="I1325" t="s">
        <v>13</v>
      </c>
      <c r="J1325" t="s">
        <v>13</v>
      </c>
      <c r="K1325">
        <v>1.42</v>
      </c>
    </row>
    <row r="1327" spans="1:11" x14ac:dyDescent="0.25">
      <c r="A1327" t="s">
        <v>298</v>
      </c>
      <c r="B1327" t="str">
        <f>"20161"</f>
        <v>20161</v>
      </c>
      <c r="C1327" t="str">
        <f>"001"</f>
        <v>001</v>
      </c>
      <c r="D1327">
        <v>1999</v>
      </c>
      <c r="E1327">
        <v>21820200</v>
      </c>
      <c r="F1327">
        <v>21619700</v>
      </c>
      <c r="G1327" t="s">
        <v>11</v>
      </c>
      <c r="H1327" t="s">
        <v>38</v>
      </c>
      <c r="I1327" t="s">
        <v>13</v>
      </c>
      <c r="J1327" t="s">
        <v>13</v>
      </c>
    </row>
    <row r="1328" spans="1:11" x14ac:dyDescent="0.25">
      <c r="A1328" t="s">
        <v>5</v>
      </c>
      <c r="B1328" t="str">
        <f>"20161"</f>
        <v>20161</v>
      </c>
      <c r="C1328" t="str">
        <f>"002"</f>
        <v>002</v>
      </c>
      <c r="D1328">
        <v>2008</v>
      </c>
      <c r="E1328">
        <v>3945100</v>
      </c>
      <c r="F1328">
        <v>-230000</v>
      </c>
      <c r="G1328" t="s">
        <v>49</v>
      </c>
      <c r="H1328" t="s">
        <v>38</v>
      </c>
      <c r="I1328" t="s">
        <v>13</v>
      </c>
      <c r="J1328" t="s">
        <v>13</v>
      </c>
    </row>
    <row r="1329" spans="1:11" x14ac:dyDescent="0.25">
      <c r="A1329" t="s">
        <v>39</v>
      </c>
      <c r="B1329" t="s">
        <v>13</v>
      </c>
      <c r="C1329" t="s">
        <v>7</v>
      </c>
      <c r="D1329" t="s">
        <v>8</v>
      </c>
      <c r="E1329">
        <v>25765300</v>
      </c>
      <c r="F1329">
        <v>21619700</v>
      </c>
      <c r="G1329" t="s">
        <v>11</v>
      </c>
      <c r="H1329">
        <v>209862000</v>
      </c>
      <c r="I1329" t="s">
        <v>13</v>
      </c>
      <c r="J1329" t="s">
        <v>13</v>
      </c>
      <c r="K1329">
        <v>10.3</v>
      </c>
    </row>
    <row r="1331" spans="1:11" x14ac:dyDescent="0.25">
      <c r="A1331" t="s">
        <v>299</v>
      </c>
      <c r="B1331" t="str">
        <f>"56161"</f>
        <v>56161</v>
      </c>
      <c r="C1331" t="str">
        <f>"001"</f>
        <v>001</v>
      </c>
      <c r="D1331">
        <v>1997</v>
      </c>
      <c r="E1331">
        <v>5366500</v>
      </c>
      <c r="F1331">
        <v>2338700</v>
      </c>
      <c r="G1331" t="s">
        <v>11</v>
      </c>
      <c r="H1331" t="s">
        <v>38</v>
      </c>
      <c r="I1331" t="s">
        <v>13</v>
      </c>
      <c r="J1331" t="s">
        <v>13</v>
      </c>
    </row>
    <row r="1332" spans="1:11" x14ac:dyDescent="0.25">
      <c r="A1332" t="s">
        <v>39</v>
      </c>
      <c r="B1332" t="s">
        <v>13</v>
      </c>
      <c r="C1332" t="s">
        <v>7</v>
      </c>
      <c r="D1332" t="s">
        <v>8</v>
      </c>
      <c r="E1332">
        <v>5366500</v>
      </c>
      <c r="F1332">
        <v>2338700</v>
      </c>
      <c r="G1332" t="s">
        <v>11</v>
      </c>
      <c r="H1332">
        <v>25985300</v>
      </c>
      <c r="I1332" t="s">
        <v>13</v>
      </c>
      <c r="J1332" t="s">
        <v>13</v>
      </c>
      <c r="K1332">
        <v>9</v>
      </c>
    </row>
    <row r="1334" spans="1:11" x14ac:dyDescent="0.25">
      <c r="A1334" t="s">
        <v>300</v>
      </c>
      <c r="B1334" t="str">
        <f t="shared" ref="B1334:B1343" si="25">"40265"</f>
        <v>40265</v>
      </c>
      <c r="C1334" t="str">
        <f>"006"</f>
        <v>006</v>
      </c>
      <c r="D1334">
        <v>2001</v>
      </c>
      <c r="E1334">
        <v>16264200</v>
      </c>
      <c r="F1334">
        <v>14887000</v>
      </c>
      <c r="G1334" t="s">
        <v>11</v>
      </c>
      <c r="H1334" t="s">
        <v>38</v>
      </c>
      <c r="I1334" t="s">
        <v>13</v>
      </c>
      <c r="J1334" t="s">
        <v>13</v>
      </c>
    </row>
    <row r="1335" spans="1:11" x14ac:dyDescent="0.25">
      <c r="A1335" t="s">
        <v>5</v>
      </c>
      <c r="B1335" t="str">
        <f t="shared" si="25"/>
        <v>40265</v>
      </c>
      <c r="C1335" t="str">
        <f>"007"</f>
        <v>007</v>
      </c>
      <c r="D1335">
        <v>2007</v>
      </c>
      <c r="E1335">
        <v>191529400</v>
      </c>
      <c r="F1335">
        <v>26476300</v>
      </c>
      <c r="G1335" t="s">
        <v>11</v>
      </c>
      <c r="H1335" t="s">
        <v>38</v>
      </c>
      <c r="I1335" t="s">
        <v>13</v>
      </c>
      <c r="J1335" t="s">
        <v>13</v>
      </c>
    </row>
    <row r="1336" spans="1:11" x14ac:dyDescent="0.25">
      <c r="A1336" t="s">
        <v>5</v>
      </c>
      <c r="B1336" t="str">
        <f t="shared" si="25"/>
        <v>40265</v>
      </c>
      <c r="C1336" t="str">
        <f>"008"</f>
        <v>008</v>
      </c>
      <c r="D1336">
        <v>2009</v>
      </c>
      <c r="E1336">
        <v>101365600</v>
      </c>
      <c r="F1336">
        <v>78309000</v>
      </c>
      <c r="G1336" t="s">
        <v>11</v>
      </c>
      <c r="H1336" t="s">
        <v>38</v>
      </c>
      <c r="I1336" t="s">
        <v>13</v>
      </c>
      <c r="J1336" t="s">
        <v>13</v>
      </c>
    </row>
    <row r="1337" spans="1:11" x14ac:dyDescent="0.25">
      <c r="A1337" t="s">
        <v>5</v>
      </c>
      <c r="B1337" t="str">
        <f t="shared" si="25"/>
        <v>40265</v>
      </c>
      <c r="C1337" t="str">
        <f>"010"</f>
        <v>010</v>
      </c>
      <c r="D1337">
        <v>2010</v>
      </c>
      <c r="E1337">
        <v>36712500</v>
      </c>
      <c r="F1337">
        <v>17488800</v>
      </c>
      <c r="G1337" t="s">
        <v>11</v>
      </c>
      <c r="H1337" t="s">
        <v>38</v>
      </c>
      <c r="I1337" t="s">
        <v>13</v>
      </c>
      <c r="J1337" t="s">
        <v>13</v>
      </c>
    </row>
    <row r="1338" spans="1:11" x14ac:dyDescent="0.25">
      <c r="A1338" t="s">
        <v>5</v>
      </c>
      <c r="B1338" t="str">
        <f t="shared" si="25"/>
        <v>40265</v>
      </c>
      <c r="C1338" t="str">
        <f>"011"</f>
        <v>011</v>
      </c>
      <c r="D1338">
        <v>2012</v>
      </c>
      <c r="E1338">
        <v>152269900</v>
      </c>
      <c r="F1338">
        <v>139408000</v>
      </c>
      <c r="G1338" t="s">
        <v>11</v>
      </c>
      <c r="H1338" t="s">
        <v>38</v>
      </c>
      <c r="I1338" t="s">
        <v>13</v>
      </c>
      <c r="J1338" t="s">
        <v>13</v>
      </c>
    </row>
    <row r="1339" spans="1:11" x14ac:dyDescent="0.25">
      <c r="A1339" t="s">
        <v>5</v>
      </c>
      <c r="B1339" t="str">
        <f t="shared" si="25"/>
        <v>40265</v>
      </c>
      <c r="C1339" t="str">
        <f>"012"</f>
        <v>012</v>
      </c>
      <c r="D1339">
        <v>2016</v>
      </c>
      <c r="E1339">
        <v>42207000</v>
      </c>
      <c r="F1339">
        <v>42196300</v>
      </c>
      <c r="G1339" t="s">
        <v>11</v>
      </c>
      <c r="H1339" t="s">
        <v>38</v>
      </c>
      <c r="I1339" t="s">
        <v>13</v>
      </c>
      <c r="J1339" t="s">
        <v>13</v>
      </c>
    </row>
    <row r="1340" spans="1:11" x14ac:dyDescent="0.25">
      <c r="A1340" t="s">
        <v>5</v>
      </c>
      <c r="B1340" t="str">
        <f t="shared" si="25"/>
        <v>40265</v>
      </c>
      <c r="C1340" t="str">
        <f>"013"</f>
        <v>013</v>
      </c>
      <c r="D1340">
        <v>2017</v>
      </c>
      <c r="E1340">
        <v>5037700</v>
      </c>
      <c r="F1340">
        <v>334200</v>
      </c>
      <c r="G1340" t="s">
        <v>11</v>
      </c>
      <c r="H1340" t="s">
        <v>38</v>
      </c>
      <c r="I1340" t="s">
        <v>13</v>
      </c>
      <c r="J1340" t="s">
        <v>13</v>
      </c>
    </row>
    <row r="1341" spans="1:11" x14ac:dyDescent="0.25">
      <c r="A1341" t="s">
        <v>5</v>
      </c>
      <c r="B1341" t="str">
        <f t="shared" si="25"/>
        <v>40265</v>
      </c>
      <c r="C1341" t="str">
        <f>"014"</f>
        <v>014</v>
      </c>
      <c r="D1341">
        <v>2018</v>
      </c>
      <c r="E1341">
        <v>457800</v>
      </c>
      <c r="F1341">
        <v>-183500</v>
      </c>
      <c r="G1341" t="s">
        <v>49</v>
      </c>
      <c r="H1341" t="s">
        <v>38</v>
      </c>
      <c r="I1341" t="s">
        <v>13</v>
      </c>
      <c r="J1341" t="s">
        <v>13</v>
      </c>
    </row>
    <row r="1342" spans="1:11" x14ac:dyDescent="0.25">
      <c r="A1342" t="s">
        <v>5</v>
      </c>
      <c r="B1342" t="str">
        <f t="shared" si="25"/>
        <v>40265</v>
      </c>
      <c r="C1342" t="str">
        <f>"015"</f>
        <v>015</v>
      </c>
      <c r="D1342">
        <v>2018</v>
      </c>
      <c r="E1342">
        <v>2924900</v>
      </c>
      <c r="F1342">
        <v>1025000</v>
      </c>
      <c r="G1342" t="s">
        <v>11</v>
      </c>
      <c r="H1342" t="s">
        <v>38</v>
      </c>
      <c r="I1342" t="s">
        <v>13</v>
      </c>
      <c r="J1342" t="s">
        <v>13</v>
      </c>
    </row>
    <row r="1343" spans="1:11" x14ac:dyDescent="0.25">
      <c r="A1343" t="s">
        <v>5</v>
      </c>
      <c r="B1343" t="str">
        <f t="shared" si="25"/>
        <v>40265</v>
      </c>
      <c r="C1343" t="str">
        <f>"016"</f>
        <v>016</v>
      </c>
      <c r="D1343">
        <v>2018</v>
      </c>
      <c r="E1343">
        <v>11422200</v>
      </c>
      <c r="F1343">
        <v>9873000</v>
      </c>
      <c r="G1343" t="s">
        <v>11</v>
      </c>
      <c r="H1343" t="s">
        <v>38</v>
      </c>
      <c r="I1343" t="s">
        <v>13</v>
      </c>
      <c r="J1343" t="s">
        <v>13</v>
      </c>
    </row>
    <row r="1344" spans="1:11" x14ac:dyDescent="0.25">
      <c r="A1344" t="s">
        <v>39</v>
      </c>
      <c r="B1344" t="s">
        <v>13</v>
      </c>
      <c r="C1344" t="s">
        <v>7</v>
      </c>
      <c r="D1344" t="s">
        <v>8</v>
      </c>
      <c r="E1344">
        <v>560191200</v>
      </c>
      <c r="F1344">
        <v>329997600</v>
      </c>
      <c r="G1344" t="s">
        <v>11</v>
      </c>
      <c r="H1344">
        <v>3831003800</v>
      </c>
      <c r="I1344" t="s">
        <v>13</v>
      </c>
      <c r="J1344" t="s">
        <v>13</v>
      </c>
      <c r="K1344">
        <v>8.61</v>
      </c>
    </row>
    <row r="1346" spans="1:11" x14ac:dyDescent="0.25">
      <c r="A1346" t="s">
        <v>301</v>
      </c>
      <c r="B1346" t="str">
        <f>"20165"</f>
        <v>20165</v>
      </c>
      <c r="C1346" t="str">
        <f>"001"</f>
        <v>001</v>
      </c>
      <c r="D1346">
        <v>1995</v>
      </c>
      <c r="E1346">
        <v>10654400</v>
      </c>
      <c r="F1346">
        <v>8946900</v>
      </c>
      <c r="G1346" t="s">
        <v>11</v>
      </c>
      <c r="H1346" t="s">
        <v>38</v>
      </c>
      <c r="I1346" t="s">
        <v>13</v>
      </c>
      <c r="J1346" t="s">
        <v>13</v>
      </c>
    </row>
    <row r="1347" spans="1:11" x14ac:dyDescent="0.25">
      <c r="A1347" t="s">
        <v>5</v>
      </c>
      <c r="B1347" t="str">
        <f>"20165"</f>
        <v>20165</v>
      </c>
      <c r="C1347" t="str">
        <f>"002"</f>
        <v>002</v>
      </c>
      <c r="D1347">
        <v>1997</v>
      </c>
      <c r="E1347">
        <v>3531900</v>
      </c>
      <c r="F1347">
        <v>2643700</v>
      </c>
      <c r="G1347" t="s">
        <v>11</v>
      </c>
      <c r="H1347" t="s">
        <v>38</v>
      </c>
      <c r="I1347" t="s">
        <v>13</v>
      </c>
      <c r="J1347" t="s">
        <v>13</v>
      </c>
    </row>
    <row r="1348" spans="1:11" x14ac:dyDescent="0.25">
      <c r="A1348" t="s">
        <v>39</v>
      </c>
      <c r="B1348" t="s">
        <v>13</v>
      </c>
      <c r="C1348" t="s">
        <v>7</v>
      </c>
      <c r="D1348" t="s">
        <v>8</v>
      </c>
      <c r="E1348">
        <v>14186300</v>
      </c>
      <c r="F1348">
        <v>11590600</v>
      </c>
      <c r="G1348" t="s">
        <v>11</v>
      </c>
      <c r="H1348">
        <v>65258800</v>
      </c>
      <c r="I1348" t="s">
        <v>13</v>
      </c>
      <c r="J1348" t="s">
        <v>13</v>
      </c>
      <c r="K1348">
        <v>17.760000000000002</v>
      </c>
    </row>
    <row r="1350" spans="1:11" x14ac:dyDescent="0.25">
      <c r="A1350" t="s">
        <v>302</v>
      </c>
      <c r="B1350" t="str">
        <f>"67265"</f>
        <v>67265</v>
      </c>
      <c r="C1350" t="str">
        <f>"004"</f>
        <v>004</v>
      </c>
      <c r="D1350">
        <v>2003</v>
      </c>
      <c r="E1350">
        <v>80988300</v>
      </c>
      <c r="F1350">
        <v>30563900</v>
      </c>
      <c r="G1350" t="s">
        <v>11</v>
      </c>
      <c r="H1350" t="s">
        <v>38</v>
      </c>
      <c r="I1350" t="s">
        <v>13</v>
      </c>
      <c r="J1350" t="s">
        <v>13</v>
      </c>
    </row>
    <row r="1351" spans="1:11" x14ac:dyDescent="0.25">
      <c r="A1351" t="s">
        <v>5</v>
      </c>
      <c r="B1351" t="str">
        <f>"67265"</f>
        <v>67265</v>
      </c>
      <c r="C1351" t="str">
        <f>"005"</f>
        <v>005</v>
      </c>
      <c r="D1351">
        <v>2017</v>
      </c>
      <c r="E1351">
        <v>23010400</v>
      </c>
      <c r="F1351">
        <v>16990700</v>
      </c>
      <c r="G1351" t="s">
        <v>11</v>
      </c>
      <c r="H1351" t="s">
        <v>38</v>
      </c>
      <c r="I1351" t="s">
        <v>13</v>
      </c>
      <c r="J1351" t="s">
        <v>13</v>
      </c>
    </row>
    <row r="1352" spans="1:11" x14ac:dyDescent="0.25">
      <c r="A1352" t="s">
        <v>5</v>
      </c>
      <c r="B1352" t="str">
        <f>"67265"</f>
        <v>67265</v>
      </c>
      <c r="C1352" t="str">
        <f>"006"</f>
        <v>006</v>
      </c>
      <c r="D1352">
        <v>2017</v>
      </c>
      <c r="E1352">
        <v>14912800</v>
      </c>
      <c r="F1352">
        <v>13111000</v>
      </c>
      <c r="G1352" t="s">
        <v>11</v>
      </c>
      <c r="H1352" t="s">
        <v>38</v>
      </c>
      <c r="I1352" t="s">
        <v>13</v>
      </c>
      <c r="J1352" t="s">
        <v>13</v>
      </c>
    </row>
    <row r="1353" spans="1:11" x14ac:dyDescent="0.25">
      <c r="A1353" t="s">
        <v>39</v>
      </c>
      <c r="B1353" t="s">
        <v>13</v>
      </c>
      <c r="C1353" t="s">
        <v>7</v>
      </c>
      <c r="D1353" t="s">
        <v>8</v>
      </c>
      <c r="E1353">
        <v>118911500</v>
      </c>
      <c r="F1353">
        <v>60665600</v>
      </c>
      <c r="G1353" t="s">
        <v>11</v>
      </c>
      <c r="H1353">
        <v>2443815900</v>
      </c>
      <c r="I1353" t="s">
        <v>13</v>
      </c>
      <c r="J1353" t="s">
        <v>13</v>
      </c>
      <c r="K1353">
        <v>2.48</v>
      </c>
    </row>
    <row r="1355" spans="1:11" x14ac:dyDescent="0.25">
      <c r="A1355" t="s">
        <v>303</v>
      </c>
      <c r="B1355" t="str">
        <f>"42265"</f>
        <v>42265</v>
      </c>
      <c r="C1355" t="str">
        <f>"003"</f>
        <v>003</v>
      </c>
      <c r="D1355">
        <v>2007</v>
      </c>
      <c r="E1355">
        <v>14412100</v>
      </c>
      <c r="F1355">
        <v>995900</v>
      </c>
      <c r="G1355" t="s">
        <v>11</v>
      </c>
      <c r="H1355" t="s">
        <v>38</v>
      </c>
      <c r="I1355" t="s">
        <v>13</v>
      </c>
      <c r="J1355" t="s">
        <v>13</v>
      </c>
    </row>
    <row r="1356" spans="1:11" x14ac:dyDescent="0.25">
      <c r="A1356" t="s">
        <v>5</v>
      </c>
      <c r="B1356" t="str">
        <f>"42265"</f>
        <v>42265</v>
      </c>
      <c r="C1356" t="str">
        <f>"004"</f>
        <v>004</v>
      </c>
      <c r="D1356">
        <v>2010</v>
      </c>
      <c r="E1356">
        <v>9382800</v>
      </c>
      <c r="F1356">
        <v>7954200</v>
      </c>
      <c r="G1356" t="s">
        <v>11</v>
      </c>
      <c r="H1356" t="s">
        <v>38</v>
      </c>
      <c r="I1356" t="s">
        <v>13</v>
      </c>
      <c r="J1356" t="s">
        <v>13</v>
      </c>
    </row>
    <row r="1357" spans="1:11" x14ac:dyDescent="0.25">
      <c r="A1357" t="s">
        <v>39</v>
      </c>
      <c r="B1357" t="s">
        <v>13</v>
      </c>
      <c r="C1357" t="s">
        <v>7</v>
      </c>
      <c r="D1357" t="s">
        <v>8</v>
      </c>
      <c r="E1357">
        <v>23794900</v>
      </c>
      <c r="F1357">
        <v>8950100</v>
      </c>
      <c r="G1357" t="s">
        <v>11</v>
      </c>
      <c r="H1357">
        <v>227041000</v>
      </c>
      <c r="I1357" t="s">
        <v>13</v>
      </c>
      <c r="J1357" t="s">
        <v>13</v>
      </c>
      <c r="K1357">
        <v>3.94</v>
      </c>
    </row>
    <row r="1359" spans="1:11" x14ac:dyDescent="0.25">
      <c r="A1359" t="s">
        <v>304</v>
      </c>
      <c r="B1359" t="str">
        <f>"70265"</f>
        <v>70265</v>
      </c>
      <c r="C1359" t="str">
        <f>"007"</f>
        <v>007</v>
      </c>
      <c r="D1359">
        <v>2017</v>
      </c>
      <c r="E1359">
        <v>6484700</v>
      </c>
      <c r="F1359">
        <v>2146400</v>
      </c>
      <c r="G1359" t="s">
        <v>11</v>
      </c>
      <c r="H1359" t="s">
        <v>38</v>
      </c>
      <c r="I1359" t="s">
        <v>13</v>
      </c>
      <c r="J1359" t="s">
        <v>13</v>
      </c>
    </row>
    <row r="1360" spans="1:11" x14ac:dyDescent="0.25">
      <c r="A1360" t="s">
        <v>39</v>
      </c>
      <c r="B1360" t="s">
        <v>13</v>
      </c>
      <c r="C1360" t="s">
        <v>7</v>
      </c>
      <c r="D1360" t="s">
        <v>8</v>
      </c>
      <c r="E1360">
        <v>6484700</v>
      </c>
      <c r="F1360">
        <v>2146400</v>
      </c>
      <c r="G1360" t="s">
        <v>11</v>
      </c>
      <c r="H1360">
        <v>199769300</v>
      </c>
      <c r="I1360" t="s">
        <v>13</v>
      </c>
      <c r="J1360" t="s">
        <v>13</v>
      </c>
      <c r="K1360">
        <v>1.07</v>
      </c>
    </row>
    <row r="1362" spans="1:11" x14ac:dyDescent="0.25">
      <c r="A1362" t="s">
        <v>305</v>
      </c>
      <c r="B1362" t="str">
        <f>"62165"</f>
        <v>62165</v>
      </c>
      <c r="C1362" t="str">
        <f>"001"</f>
        <v>001</v>
      </c>
      <c r="D1362">
        <v>1998</v>
      </c>
      <c r="E1362">
        <v>2092900</v>
      </c>
      <c r="F1362">
        <v>1606400</v>
      </c>
      <c r="G1362" t="s">
        <v>11</v>
      </c>
      <c r="H1362" t="s">
        <v>38</v>
      </c>
      <c r="I1362" t="s">
        <v>13</v>
      </c>
      <c r="J1362" t="s">
        <v>13</v>
      </c>
    </row>
    <row r="1363" spans="1:11" x14ac:dyDescent="0.25">
      <c r="A1363" t="s">
        <v>39</v>
      </c>
      <c r="B1363" t="s">
        <v>13</v>
      </c>
      <c r="C1363" t="s">
        <v>7</v>
      </c>
      <c r="D1363" t="s">
        <v>8</v>
      </c>
      <c r="E1363">
        <v>2092900</v>
      </c>
      <c r="F1363">
        <v>1606400</v>
      </c>
      <c r="G1363" t="s">
        <v>11</v>
      </c>
      <c r="H1363">
        <v>16980500</v>
      </c>
      <c r="I1363" t="s">
        <v>13</v>
      </c>
      <c r="J1363" t="s">
        <v>13</v>
      </c>
      <c r="K1363">
        <v>9.4600000000000009</v>
      </c>
    </row>
    <row r="1365" spans="1:11" x14ac:dyDescent="0.25">
      <c r="A1365" t="s">
        <v>306</v>
      </c>
      <c r="B1365" t="str">
        <f>"59165"</f>
        <v>59165</v>
      </c>
      <c r="C1365" t="str">
        <f>"001"</f>
        <v>001</v>
      </c>
      <c r="D1365">
        <v>1999</v>
      </c>
      <c r="E1365">
        <v>21142500</v>
      </c>
      <c r="F1365">
        <v>20738900</v>
      </c>
      <c r="G1365" t="s">
        <v>11</v>
      </c>
      <c r="H1365" t="s">
        <v>38</v>
      </c>
      <c r="I1365" t="s">
        <v>13</v>
      </c>
      <c r="J1365" t="s">
        <v>13</v>
      </c>
    </row>
    <row r="1366" spans="1:11" x14ac:dyDescent="0.25">
      <c r="A1366" t="s">
        <v>5</v>
      </c>
      <c r="B1366" t="str">
        <f>"59165"</f>
        <v>59165</v>
      </c>
      <c r="C1366" t="str">
        <f>"002"</f>
        <v>002</v>
      </c>
      <c r="D1366">
        <v>2001</v>
      </c>
      <c r="E1366">
        <v>15513000</v>
      </c>
      <c r="F1366">
        <v>10035200</v>
      </c>
      <c r="G1366" t="s">
        <v>11</v>
      </c>
      <c r="H1366" t="s">
        <v>38</v>
      </c>
      <c r="I1366" t="s">
        <v>13</v>
      </c>
      <c r="J1366" t="s">
        <v>13</v>
      </c>
    </row>
    <row r="1367" spans="1:11" x14ac:dyDescent="0.25">
      <c r="A1367" t="s">
        <v>5</v>
      </c>
      <c r="B1367" t="str">
        <f>"59165"</f>
        <v>59165</v>
      </c>
      <c r="C1367" t="str">
        <f>"003"</f>
        <v>003</v>
      </c>
      <c r="D1367">
        <v>2017</v>
      </c>
      <c r="E1367">
        <v>17900500</v>
      </c>
      <c r="F1367">
        <v>17192400</v>
      </c>
      <c r="G1367" t="s">
        <v>11</v>
      </c>
      <c r="H1367" t="s">
        <v>38</v>
      </c>
      <c r="I1367" t="s">
        <v>13</v>
      </c>
      <c r="J1367" t="s">
        <v>13</v>
      </c>
    </row>
    <row r="1368" spans="1:11" x14ac:dyDescent="0.25">
      <c r="A1368" t="s">
        <v>39</v>
      </c>
      <c r="B1368" t="s">
        <v>13</v>
      </c>
      <c r="C1368" t="s">
        <v>7</v>
      </c>
      <c r="D1368" t="s">
        <v>8</v>
      </c>
      <c r="E1368">
        <v>54556000</v>
      </c>
      <c r="F1368">
        <v>47966500</v>
      </c>
      <c r="G1368" t="s">
        <v>11</v>
      </c>
      <c r="H1368">
        <v>243068800</v>
      </c>
      <c r="I1368" t="s">
        <v>13</v>
      </c>
      <c r="J1368" t="s">
        <v>13</v>
      </c>
      <c r="K1368">
        <v>19.73</v>
      </c>
    </row>
    <row r="1370" spans="1:11" x14ac:dyDescent="0.25">
      <c r="A1370" t="s">
        <v>307</v>
      </c>
      <c r="B1370" t="str">
        <f>"13165"</f>
        <v>13165</v>
      </c>
      <c r="C1370" t="str">
        <f>"003"</f>
        <v>003</v>
      </c>
      <c r="D1370">
        <v>2005</v>
      </c>
      <c r="E1370">
        <v>25918800</v>
      </c>
      <c r="F1370">
        <v>10038000</v>
      </c>
      <c r="G1370" t="s">
        <v>11</v>
      </c>
      <c r="H1370" t="s">
        <v>38</v>
      </c>
      <c r="I1370" t="s">
        <v>13</v>
      </c>
      <c r="J1370" t="s">
        <v>13</v>
      </c>
    </row>
    <row r="1371" spans="1:11" x14ac:dyDescent="0.25">
      <c r="A1371" t="s">
        <v>5</v>
      </c>
      <c r="B1371" t="str">
        <f>"13165"</f>
        <v>13165</v>
      </c>
      <c r="C1371" t="str">
        <f>"004"</f>
        <v>004</v>
      </c>
      <c r="D1371">
        <v>2008</v>
      </c>
      <c r="E1371">
        <v>15147500</v>
      </c>
      <c r="F1371">
        <v>2329400</v>
      </c>
      <c r="G1371" t="s">
        <v>11</v>
      </c>
      <c r="H1371" t="s">
        <v>38</v>
      </c>
      <c r="I1371" t="s">
        <v>13</v>
      </c>
      <c r="J1371" t="s">
        <v>13</v>
      </c>
    </row>
    <row r="1372" spans="1:11" x14ac:dyDescent="0.25">
      <c r="A1372" t="s">
        <v>5</v>
      </c>
      <c r="B1372" t="str">
        <f>"13165"</f>
        <v>13165</v>
      </c>
      <c r="C1372" t="str">
        <f>"005"</f>
        <v>005</v>
      </c>
      <c r="D1372">
        <v>2017</v>
      </c>
      <c r="E1372">
        <v>60910200</v>
      </c>
      <c r="F1372">
        <v>7213500</v>
      </c>
      <c r="G1372" t="s">
        <v>11</v>
      </c>
      <c r="H1372" t="s">
        <v>38</v>
      </c>
      <c r="I1372" t="s">
        <v>13</v>
      </c>
      <c r="J1372" t="s">
        <v>13</v>
      </c>
    </row>
    <row r="1373" spans="1:11" x14ac:dyDescent="0.25">
      <c r="A1373" t="s">
        <v>39</v>
      </c>
      <c r="B1373" t="s">
        <v>13</v>
      </c>
      <c r="C1373" t="s">
        <v>7</v>
      </c>
      <c r="D1373" t="s">
        <v>8</v>
      </c>
      <c r="E1373">
        <v>101976500</v>
      </c>
      <c r="F1373">
        <v>19580900</v>
      </c>
      <c r="G1373" t="s">
        <v>11</v>
      </c>
      <c r="H1373">
        <v>1232395400</v>
      </c>
      <c r="I1373" t="s">
        <v>13</v>
      </c>
      <c r="J1373" t="s">
        <v>13</v>
      </c>
      <c r="K1373">
        <v>1.59</v>
      </c>
    </row>
    <row r="1375" spans="1:11" x14ac:dyDescent="0.25">
      <c r="A1375" t="s">
        <v>308</v>
      </c>
      <c r="B1375" t="str">
        <f>"53165"</f>
        <v>53165</v>
      </c>
      <c r="C1375" t="str">
        <f>"003"</f>
        <v>003</v>
      </c>
      <c r="D1375">
        <v>2000</v>
      </c>
      <c r="E1375">
        <v>8150500</v>
      </c>
      <c r="F1375">
        <v>7637800</v>
      </c>
      <c r="G1375" t="s">
        <v>11</v>
      </c>
      <c r="H1375" t="s">
        <v>38</v>
      </c>
      <c r="I1375" t="s">
        <v>13</v>
      </c>
      <c r="J1375" t="s">
        <v>13</v>
      </c>
    </row>
    <row r="1376" spans="1:11" x14ac:dyDescent="0.25">
      <c r="A1376" t="s">
        <v>39</v>
      </c>
      <c r="B1376" t="s">
        <v>13</v>
      </c>
      <c r="C1376" t="s">
        <v>7</v>
      </c>
      <c r="D1376" t="s">
        <v>8</v>
      </c>
      <c r="E1376">
        <v>8150500</v>
      </c>
      <c r="F1376">
        <v>7637800</v>
      </c>
      <c r="G1376" t="s">
        <v>11</v>
      </c>
      <c r="H1376">
        <v>79343200</v>
      </c>
      <c r="I1376" t="s">
        <v>13</v>
      </c>
      <c r="J1376" t="s">
        <v>13</v>
      </c>
      <c r="K1376">
        <v>9.6300000000000008</v>
      </c>
    </row>
    <row r="1378" spans="1:11" x14ac:dyDescent="0.25">
      <c r="A1378" t="s">
        <v>309</v>
      </c>
      <c r="B1378" t="str">
        <f>"48165"</f>
        <v>48165</v>
      </c>
      <c r="C1378" t="str">
        <f>"001"</f>
        <v>001</v>
      </c>
      <c r="D1378">
        <v>1987</v>
      </c>
      <c r="E1378">
        <v>16611400</v>
      </c>
      <c r="F1378">
        <v>16266400</v>
      </c>
      <c r="G1378" t="s">
        <v>11</v>
      </c>
      <c r="H1378" t="s">
        <v>38</v>
      </c>
      <c r="I1378" t="s">
        <v>13</v>
      </c>
      <c r="J1378" t="s">
        <v>13</v>
      </c>
    </row>
    <row r="1379" spans="1:11" x14ac:dyDescent="0.25">
      <c r="A1379" t="s">
        <v>5</v>
      </c>
      <c r="B1379" t="str">
        <f>"48165"</f>
        <v>48165</v>
      </c>
      <c r="C1379" t="str">
        <f>"002"</f>
        <v>002</v>
      </c>
      <c r="D1379">
        <v>1992</v>
      </c>
      <c r="E1379">
        <v>27008700</v>
      </c>
      <c r="F1379">
        <v>23256900</v>
      </c>
      <c r="G1379" t="s">
        <v>11</v>
      </c>
      <c r="H1379" t="s">
        <v>38</v>
      </c>
      <c r="I1379" t="s">
        <v>13</v>
      </c>
      <c r="J1379" t="s">
        <v>13</v>
      </c>
    </row>
    <row r="1380" spans="1:11" x14ac:dyDescent="0.25">
      <c r="A1380" t="s">
        <v>39</v>
      </c>
      <c r="B1380" t="s">
        <v>13</v>
      </c>
      <c r="C1380" t="s">
        <v>7</v>
      </c>
      <c r="D1380" t="s">
        <v>8</v>
      </c>
      <c r="E1380">
        <v>43620100</v>
      </c>
      <c r="F1380">
        <v>39523300</v>
      </c>
      <c r="G1380" t="s">
        <v>11</v>
      </c>
      <c r="H1380">
        <v>218082400</v>
      </c>
      <c r="I1380" t="s">
        <v>13</v>
      </c>
      <c r="J1380" t="s">
        <v>13</v>
      </c>
      <c r="K1380">
        <v>18.12</v>
      </c>
    </row>
    <row r="1382" spans="1:11" x14ac:dyDescent="0.25">
      <c r="A1382" t="s">
        <v>310</v>
      </c>
      <c r="B1382" t="str">
        <f t="shared" ref="B1382:B1406" si="26">"70266"</f>
        <v>70266</v>
      </c>
      <c r="C1382" t="str">
        <f>"010"</f>
        <v>010</v>
      </c>
      <c r="D1382">
        <v>1993</v>
      </c>
      <c r="E1382">
        <v>1113700</v>
      </c>
      <c r="F1382">
        <v>513400</v>
      </c>
      <c r="G1382" t="s">
        <v>11</v>
      </c>
      <c r="H1382" t="s">
        <v>38</v>
      </c>
      <c r="I1382" t="s">
        <v>13</v>
      </c>
      <c r="J1382" t="s">
        <v>13</v>
      </c>
    </row>
    <row r="1383" spans="1:11" x14ac:dyDescent="0.25">
      <c r="A1383" t="s">
        <v>5</v>
      </c>
      <c r="B1383" t="str">
        <f t="shared" si="26"/>
        <v>70266</v>
      </c>
      <c r="C1383" t="str">
        <f>"011"</f>
        <v>011</v>
      </c>
      <c r="D1383">
        <v>1995</v>
      </c>
      <c r="E1383">
        <v>890900</v>
      </c>
      <c r="F1383">
        <v>404600</v>
      </c>
      <c r="G1383" t="s">
        <v>11</v>
      </c>
      <c r="H1383" t="s">
        <v>38</v>
      </c>
      <c r="I1383" t="s">
        <v>13</v>
      </c>
      <c r="J1383" t="s">
        <v>13</v>
      </c>
    </row>
    <row r="1384" spans="1:11" x14ac:dyDescent="0.25">
      <c r="A1384" t="s">
        <v>5</v>
      </c>
      <c r="B1384" t="str">
        <f t="shared" si="26"/>
        <v>70266</v>
      </c>
      <c r="C1384" t="str">
        <f>"012"</f>
        <v>012</v>
      </c>
      <c r="D1384">
        <v>1997</v>
      </c>
      <c r="E1384">
        <v>6497400</v>
      </c>
      <c r="F1384">
        <v>4782000</v>
      </c>
      <c r="G1384" t="s">
        <v>11</v>
      </c>
      <c r="H1384" t="s">
        <v>38</v>
      </c>
      <c r="I1384" t="s">
        <v>13</v>
      </c>
      <c r="J1384" t="s">
        <v>13</v>
      </c>
    </row>
    <row r="1385" spans="1:11" x14ac:dyDescent="0.25">
      <c r="A1385" t="s">
        <v>5</v>
      </c>
      <c r="B1385" t="str">
        <f t="shared" si="26"/>
        <v>70266</v>
      </c>
      <c r="C1385" t="str">
        <f>"013"</f>
        <v>013</v>
      </c>
      <c r="D1385">
        <v>1998</v>
      </c>
      <c r="E1385">
        <v>16455300</v>
      </c>
      <c r="F1385">
        <v>10586200</v>
      </c>
      <c r="G1385" t="s">
        <v>11</v>
      </c>
      <c r="H1385" t="s">
        <v>38</v>
      </c>
      <c r="I1385" t="s">
        <v>13</v>
      </c>
      <c r="J1385" t="s">
        <v>13</v>
      </c>
    </row>
    <row r="1386" spans="1:11" x14ac:dyDescent="0.25">
      <c r="A1386" t="s">
        <v>5</v>
      </c>
      <c r="B1386" t="str">
        <f t="shared" si="26"/>
        <v>70266</v>
      </c>
      <c r="C1386" t="str">
        <f>"014"</f>
        <v>014</v>
      </c>
      <c r="D1386">
        <v>2000</v>
      </c>
      <c r="E1386">
        <v>20609500</v>
      </c>
      <c r="F1386">
        <v>20051100</v>
      </c>
      <c r="G1386" t="s">
        <v>11</v>
      </c>
      <c r="H1386" t="s">
        <v>38</v>
      </c>
      <c r="I1386" t="s">
        <v>13</v>
      </c>
      <c r="J1386" t="s">
        <v>13</v>
      </c>
    </row>
    <row r="1387" spans="1:11" x14ac:dyDescent="0.25">
      <c r="A1387" t="s">
        <v>5</v>
      </c>
      <c r="B1387" t="str">
        <f t="shared" si="26"/>
        <v>70266</v>
      </c>
      <c r="C1387" t="str">
        <f>"015"</f>
        <v>015</v>
      </c>
      <c r="D1387">
        <v>2001</v>
      </c>
      <c r="E1387">
        <v>8605800</v>
      </c>
      <c r="F1387">
        <v>8040900</v>
      </c>
      <c r="G1387" t="s">
        <v>11</v>
      </c>
      <c r="H1387" t="s">
        <v>38</v>
      </c>
      <c r="I1387" t="s">
        <v>13</v>
      </c>
      <c r="J1387" t="s">
        <v>13</v>
      </c>
    </row>
    <row r="1388" spans="1:11" x14ac:dyDescent="0.25">
      <c r="A1388" t="s">
        <v>5</v>
      </c>
      <c r="B1388" t="str">
        <f t="shared" si="26"/>
        <v>70266</v>
      </c>
      <c r="C1388" t="str">
        <f>"016"</f>
        <v>016</v>
      </c>
      <c r="D1388">
        <v>2001</v>
      </c>
      <c r="E1388">
        <v>5138300</v>
      </c>
      <c r="F1388">
        <v>5138300</v>
      </c>
      <c r="G1388" t="s">
        <v>11</v>
      </c>
      <c r="H1388" t="s">
        <v>38</v>
      </c>
      <c r="I1388" t="s">
        <v>13</v>
      </c>
      <c r="J1388" t="s">
        <v>13</v>
      </c>
    </row>
    <row r="1389" spans="1:11" x14ac:dyDescent="0.25">
      <c r="A1389" t="s">
        <v>5</v>
      </c>
      <c r="B1389" t="str">
        <f t="shared" si="26"/>
        <v>70266</v>
      </c>
      <c r="C1389" t="str">
        <f>"017"</f>
        <v>017</v>
      </c>
      <c r="D1389">
        <v>2001</v>
      </c>
      <c r="E1389">
        <v>12899100</v>
      </c>
      <c r="F1389">
        <v>10688500</v>
      </c>
      <c r="G1389" t="s">
        <v>11</v>
      </c>
      <c r="H1389" t="s">
        <v>38</v>
      </c>
      <c r="I1389" t="s">
        <v>13</v>
      </c>
      <c r="J1389" t="s">
        <v>13</v>
      </c>
    </row>
    <row r="1390" spans="1:11" x14ac:dyDescent="0.25">
      <c r="A1390" t="s">
        <v>5</v>
      </c>
      <c r="B1390" t="str">
        <f t="shared" si="26"/>
        <v>70266</v>
      </c>
      <c r="C1390" t="str">
        <f>"018"</f>
        <v>018</v>
      </c>
      <c r="D1390">
        <v>2002</v>
      </c>
      <c r="E1390">
        <v>17595500</v>
      </c>
      <c r="F1390">
        <v>17544200</v>
      </c>
      <c r="G1390" t="s">
        <v>11</v>
      </c>
      <c r="H1390" t="s">
        <v>38</v>
      </c>
      <c r="I1390" t="s">
        <v>13</v>
      </c>
      <c r="J1390" t="s">
        <v>13</v>
      </c>
    </row>
    <row r="1391" spans="1:11" x14ac:dyDescent="0.25">
      <c r="A1391" t="s">
        <v>5</v>
      </c>
      <c r="B1391" t="str">
        <f t="shared" si="26"/>
        <v>70266</v>
      </c>
      <c r="C1391" t="str">
        <f>"019"</f>
        <v>019</v>
      </c>
      <c r="D1391">
        <v>2003</v>
      </c>
      <c r="E1391">
        <v>8886700</v>
      </c>
      <c r="F1391">
        <v>8782500</v>
      </c>
      <c r="G1391" t="s">
        <v>11</v>
      </c>
      <c r="H1391" t="s">
        <v>38</v>
      </c>
      <c r="I1391" t="s">
        <v>13</v>
      </c>
      <c r="J1391" t="s">
        <v>13</v>
      </c>
    </row>
    <row r="1392" spans="1:11" x14ac:dyDescent="0.25">
      <c r="A1392" t="s">
        <v>5</v>
      </c>
      <c r="B1392" t="str">
        <f t="shared" si="26"/>
        <v>70266</v>
      </c>
      <c r="C1392" t="str">
        <f>"020"</f>
        <v>020</v>
      </c>
      <c r="D1392">
        <v>2005</v>
      </c>
      <c r="E1392">
        <v>15060800</v>
      </c>
      <c r="F1392">
        <v>-5754700</v>
      </c>
      <c r="G1392" t="s">
        <v>49</v>
      </c>
      <c r="H1392" t="s">
        <v>38</v>
      </c>
      <c r="I1392" t="s">
        <v>13</v>
      </c>
      <c r="J1392" t="s">
        <v>13</v>
      </c>
    </row>
    <row r="1393" spans="1:11" x14ac:dyDescent="0.25">
      <c r="A1393" t="s">
        <v>5</v>
      </c>
      <c r="B1393" t="str">
        <f t="shared" si="26"/>
        <v>70266</v>
      </c>
      <c r="C1393" t="str">
        <f>"021"</f>
        <v>021</v>
      </c>
      <c r="D1393">
        <v>2006</v>
      </c>
      <c r="E1393">
        <v>19196400</v>
      </c>
      <c r="F1393">
        <v>17241500</v>
      </c>
      <c r="G1393" t="s">
        <v>11</v>
      </c>
      <c r="H1393" t="s">
        <v>38</v>
      </c>
      <c r="I1393" t="s">
        <v>13</v>
      </c>
      <c r="J1393" t="s">
        <v>13</v>
      </c>
    </row>
    <row r="1394" spans="1:11" x14ac:dyDescent="0.25">
      <c r="A1394" t="s">
        <v>5</v>
      </c>
      <c r="B1394" t="str">
        <f t="shared" si="26"/>
        <v>70266</v>
      </c>
      <c r="C1394" t="str">
        <f>"023"</f>
        <v>023</v>
      </c>
      <c r="D1394">
        <v>2009</v>
      </c>
      <c r="E1394">
        <v>0</v>
      </c>
      <c r="F1394">
        <v>-233700</v>
      </c>
      <c r="G1394" t="s">
        <v>49</v>
      </c>
      <c r="H1394" t="s">
        <v>38</v>
      </c>
      <c r="I1394" t="s">
        <v>13</v>
      </c>
      <c r="J1394" t="s">
        <v>13</v>
      </c>
    </row>
    <row r="1395" spans="1:11" x14ac:dyDescent="0.25">
      <c r="A1395" t="s">
        <v>5</v>
      </c>
      <c r="B1395" t="str">
        <f t="shared" si="26"/>
        <v>70266</v>
      </c>
      <c r="C1395" t="str">
        <f>"024"</f>
        <v>024</v>
      </c>
      <c r="D1395">
        <v>2010</v>
      </c>
      <c r="E1395">
        <v>19906800</v>
      </c>
      <c r="F1395">
        <v>11441900</v>
      </c>
      <c r="G1395" t="s">
        <v>11</v>
      </c>
      <c r="H1395" t="s">
        <v>38</v>
      </c>
      <c r="I1395" t="s">
        <v>13</v>
      </c>
      <c r="J1395" t="s">
        <v>13</v>
      </c>
    </row>
    <row r="1396" spans="1:11" x14ac:dyDescent="0.25">
      <c r="A1396" t="s">
        <v>5</v>
      </c>
      <c r="B1396" t="str">
        <f t="shared" si="26"/>
        <v>70266</v>
      </c>
      <c r="C1396" t="str">
        <f>"025"</f>
        <v>025</v>
      </c>
      <c r="D1396">
        <v>2012</v>
      </c>
      <c r="E1396">
        <v>11081400</v>
      </c>
      <c r="F1396">
        <v>10030600</v>
      </c>
      <c r="G1396" t="s">
        <v>11</v>
      </c>
      <c r="H1396" t="s">
        <v>38</v>
      </c>
      <c r="I1396" t="s">
        <v>13</v>
      </c>
      <c r="J1396" t="s">
        <v>13</v>
      </c>
    </row>
    <row r="1397" spans="1:11" x14ac:dyDescent="0.25">
      <c r="A1397" t="s">
        <v>5</v>
      </c>
      <c r="B1397" t="str">
        <f t="shared" si="26"/>
        <v>70266</v>
      </c>
      <c r="C1397" t="str">
        <f>"026"</f>
        <v>026</v>
      </c>
      <c r="D1397">
        <v>2013</v>
      </c>
      <c r="E1397">
        <v>0</v>
      </c>
      <c r="F1397">
        <v>-29400</v>
      </c>
      <c r="G1397" t="s">
        <v>49</v>
      </c>
      <c r="H1397" t="s">
        <v>38</v>
      </c>
      <c r="I1397" t="s">
        <v>13</v>
      </c>
      <c r="J1397" t="s">
        <v>13</v>
      </c>
    </row>
    <row r="1398" spans="1:11" x14ac:dyDescent="0.25">
      <c r="A1398" t="s">
        <v>5</v>
      </c>
      <c r="B1398" t="str">
        <f t="shared" si="26"/>
        <v>70266</v>
      </c>
      <c r="C1398" t="str">
        <f>"027"</f>
        <v>027</v>
      </c>
      <c r="D1398">
        <v>2014</v>
      </c>
      <c r="E1398">
        <v>65242000</v>
      </c>
      <c r="F1398">
        <v>7011700</v>
      </c>
      <c r="G1398" t="s">
        <v>11</v>
      </c>
      <c r="H1398" t="s">
        <v>38</v>
      </c>
      <c r="I1398" t="s">
        <v>13</v>
      </c>
      <c r="J1398" t="s">
        <v>13</v>
      </c>
    </row>
    <row r="1399" spans="1:11" x14ac:dyDescent="0.25">
      <c r="A1399" t="s">
        <v>5</v>
      </c>
      <c r="B1399" t="str">
        <f t="shared" si="26"/>
        <v>70266</v>
      </c>
      <c r="C1399" t="str">
        <f>"028"</f>
        <v>028</v>
      </c>
      <c r="D1399">
        <v>2016</v>
      </c>
      <c r="E1399">
        <v>2391900</v>
      </c>
      <c r="F1399">
        <v>1816200</v>
      </c>
      <c r="G1399" t="s">
        <v>11</v>
      </c>
      <c r="H1399" t="s">
        <v>38</v>
      </c>
      <c r="I1399" t="s">
        <v>13</v>
      </c>
      <c r="J1399" t="s">
        <v>13</v>
      </c>
    </row>
    <row r="1400" spans="1:11" x14ac:dyDescent="0.25">
      <c r="A1400" t="s">
        <v>5</v>
      </c>
      <c r="B1400" t="str">
        <f t="shared" si="26"/>
        <v>70266</v>
      </c>
      <c r="C1400" t="str">
        <f>"029"</f>
        <v>029</v>
      </c>
      <c r="D1400">
        <v>2016</v>
      </c>
      <c r="E1400">
        <v>1486500</v>
      </c>
      <c r="F1400">
        <v>218400</v>
      </c>
      <c r="G1400" t="s">
        <v>11</v>
      </c>
      <c r="H1400" t="s">
        <v>38</v>
      </c>
      <c r="I1400" t="s">
        <v>13</v>
      </c>
      <c r="J1400" t="s">
        <v>13</v>
      </c>
    </row>
    <row r="1401" spans="1:11" x14ac:dyDescent="0.25">
      <c r="A1401" t="s">
        <v>5</v>
      </c>
      <c r="B1401" t="str">
        <f t="shared" si="26"/>
        <v>70266</v>
      </c>
      <c r="C1401" t="str">
        <f>"030"</f>
        <v>030</v>
      </c>
      <c r="D1401">
        <v>2016</v>
      </c>
      <c r="E1401">
        <v>2258300</v>
      </c>
      <c r="F1401">
        <v>1687800</v>
      </c>
      <c r="G1401" t="s">
        <v>11</v>
      </c>
      <c r="H1401" t="s">
        <v>38</v>
      </c>
      <c r="I1401" t="s">
        <v>13</v>
      </c>
      <c r="J1401" t="s">
        <v>13</v>
      </c>
    </row>
    <row r="1402" spans="1:11" x14ac:dyDescent="0.25">
      <c r="A1402" t="s">
        <v>5</v>
      </c>
      <c r="B1402" t="str">
        <f t="shared" si="26"/>
        <v>70266</v>
      </c>
      <c r="C1402" t="str">
        <f>"031"</f>
        <v>031</v>
      </c>
      <c r="D1402">
        <v>2017</v>
      </c>
      <c r="E1402">
        <v>19384900</v>
      </c>
      <c r="F1402">
        <v>19241300</v>
      </c>
      <c r="G1402" t="s">
        <v>11</v>
      </c>
      <c r="H1402" t="s">
        <v>38</v>
      </c>
      <c r="I1402" t="s">
        <v>13</v>
      </c>
      <c r="J1402" t="s">
        <v>13</v>
      </c>
    </row>
    <row r="1403" spans="1:11" x14ac:dyDescent="0.25">
      <c r="A1403" t="s">
        <v>5</v>
      </c>
      <c r="B1403" t="str">
        <f t="shared" si="26"/>
        <v>70266</v>
      </c>
      <c r="C1403" t="str">
        <f>"032"</f>
        <v>032</v>
      </c>
      <c r="D1403">
        <v>2017</v>
      </c>
      <c r="E1403">
        <v>591900</v>
      </c>
      <c r="F1403">
        <v>476000</v>
      </c>
      <c r="G1403" t="s">
        <v>11</v>
      </c>
      <c r="H1403" t="s">
        <v>38</v>
      </c>
      <c r="I1403" t="s">
        <v>13</v>
      </c>
      <c r="J1403" t="s">
        <v>13</v>
      </c>
    </row>
    <row r="1404" spans="1:11" x14ac:dyDescent="0.25">
      <c r="A1404" t="s">
        <v>5</v>
      </c>
      <c r="B1404" t="str">
        <f t="shared" si="26"/>
        <v>70266</v>
      </c>
      <c r="C1404" t="str">
        <f>"033"</f>
        <v>033</v>
      </c>
      <c r="D1404">
        <v>2017</v>
      </c>
      <c r="E1404">
        <v>11409600</v>
      </c>
      <c r="F1404">
        <v>10663500</v>
      </c>
      <c r="G1404" t="s">
        <v>11</v>
      </c>
      <c r="H1404" t="s">
        <v>38</v>
      </c>
      <c r="I1404" t="s">
        <v>13</v>
      </c>
      <c r="J1404" t="s">
        <v>13</v>
      </c>
    </row>
    <row r="1405" spans="1:11" x14ac:dyDescent="0.25">
      <c r="A1405" t="s">
        <v>5</v>
      </c>
      <c r="B1405" t="str">
        <f t="shared" si="26"/>
        <v>70266</v>
      </c>
      <c r="C1405" t="str">
        <f>"034"</f>
        <v>034</v>
      </c>
      <c r="D1405">
        <v>2018</v>
      </c>
      <c r="E1405">
        <v>10001900</v>
      </c>
      <c r="F1405">
        <v>10001900</v>
      </c>
      <c r="G1405" t="s">
        <v>11</v>
      </c>
      <c r="H1405" t="s">
        <v>38</v>
      </c>
      <c r="I1405" t="s">
        <v>13</v>
      </c>
      <c r="J1405" t="s">
        <v>13</v>
      </c>
    </row>
    <row r="1406" spans="1:11" x14ac:dyDescent="0.25">
      <c r="A1406" t="s">
        <v>5</v>
      </c>
      <c r="B1406" t="str">
        <f t="shared" si="26"/>
        <v>70266</v>
      </c>
      <c r="C1406" t="str">
        <f>"035"</f>
        <v>035</v>
      </c>
      <c r="D1406">
        <v>2018</v>
      </c>
      <c r="E1406">
        <v>16014600</v>
      </c>
      <c r="F1406">
        <v>369600</v>
      </c>
      <c r="G1406" t="s">
        <v>11</v>
      </c>
      <c r="H1406" t="s">
        <v>38</v>
      </c>
      <c r="I1406" t="s">
        <v>13</v>
      </c>
      <c r="J1406" t="s">
        <v>13</v>
      </c>
    </row>
    <row r="1407" spans="1:11" x14ac:dyDescent="0.25">
      <c r="A1407" t="s">
        <v>39</v>
      </c>
      <c r="B1407" t="s">
        <v>13</v>
      </c>
      <c r="C1407" t="s">
        <v>7</v>
      </c>
      <c r="D1407" t="s">
        <v>8</v>
      </c>
      <c r="E1407">
        <v>292719200</v>
      </c>
      <c r="F1407">
        <v>176732100</v>
      </c>
      <c r="G1407" t="s">
        <v>11</v>
      </c>
      <c r="H1407">
        <v>4211595500</v>
      </c>
      <c r="I1407" t="s">
        <v>13</v>
      </c>
      <c r="J1407" t="s">
        <v>13</v>
      </c>
      <c r="K1407">
        <v>4.2</v>
      </c>
    </row>
    <row r="1409" spans="1:11" x14ac:dyDescent="0.25">
      <c r="A1409" t="s">
        <v>311</v>
      </c>
      <c r="B1409" t="str">
        <f>"61265"</f>
        <v>61265</v>
      </c>
      <c r="C1409" t="str">
        <f>"002"</f>
        <v>002</v>
      </c>
      <c r="D1409">
        <v>1994</v>
      </c>
      <c r="E1409">
        <v>27625700</v>
      </c>
      <c r="F1409">
        <v>27267700</v>
      </c>
      <c r="G1409" t="s">
        <v>11</v>
      </c>
      <c r="H1409" t="s">
        <v>38</v>
      </c>
      <c r="I1409" t="s">
        <v>13</v>
      </c>
      <c r="J1409" t="s">
        <v>13</v>
      </c>
    </row>
    <row r="1410" spans="1:11" x14ac:dyDescent="0.25">
      <c r="A1410" t="s">
        <v>5</v>
      </c>
      <c r="B1410" t="str">
        <f>"61265"</f>
        <v>61265</v>
      </c>
      <c r="C1410" t="str">
        <f>"003"</f>
        <v>003</v>
      </c>
      <c r="D1410">
        <v>2009</v>
      </c>
      <c r="E1410">
        <v>2547400</v>
      </c>
      <c r="F1410">
        <v>76900</v>
      </c>
      <c r="G1410" t="s">
        <v>11</v>
      </c>
      <c r="H1410" t="s">
        <v>38</v>
      </c>
      <c r="I1410" t="s">
        <v>13</v>
      </c>
      <c r="J1410" t="s">
        <v>13</v>
      </c>
    </row>
    <row r="1411" spans="1:11" x14ac:dyDescent="0.25">
      <c r="A1411" t="s">
        <v>39</v>
      </c>
      <c r="B1411" t="s">
        <v>13</v>
      </c>
      <c r="C1411" t="s">
        <v>7</v>
      </c>
      <c r="D1411" t="s">
        <v>8</v>
      </c>
      <c r="E1411">
        <v>30173100</v>
      </c>
      <c r="F1411">
        <v>27344600</v>
      </c>
      <c r="G1411" t="s">
        <v>11</v>
      </c>
      <c r="H1411">
        <v>144964500</v>
      </c>
      <c r="I1411" t="s">
        <v>13</v>
      </c>
      <c r="J1411" t="s">
        <v>13</v>
      </c>
      <c r="K1411">
        <v>18.86</v>
      </c>
    </row>
    <row r="1413" spans="1:11" x14ac:dyDescent="0.25">
      <c r="A1413" t="s">
        <v>312</v>
      </c>
      <c r="B1413" t="str">
        <f>"10265"</f>
        <v>10265</v>
      </c>
      <c r="C1413" t="str">
        <f>"003"</f>
        <v>003</v>
      </c>
      <c r="D1413">
        <v>1996</v>
      </c>
      <c r="E1413">
        <v>900300</v>
      </c>
      <c r="F1413">
        <v>894200</v>
      </c>
      <c r="G1413" t="s">
        <v>11</v>
      </c>
      <c r="H1413" t="s">
        <v>38</v>
      </c>
      <c r="I1413" t="s">
        <v>13</v>
      </c>
      <c r="J1413" t="s">
        <v>13</v>
      </c>
    </row>
    <row r="1414" spans="1:11" x14ac:dyDescent="0.25">
      <c r="A1414" t="s">
        <v>5</v>
      </c>
      <c r="B1414" t="str">
        <f>"10265"</f>
        <v>10265</v>
      </c>
      <c r="C1414" t="str">
        <f>"004"</f>
        <v>004</v>
      </c>
      <c r="D1414">
        <v>2004</v>
      </c>
      <c r="E1414">
        <v>16827300</v>
      </c>
      <c r="F1414">
        <v>14558900</v>
      </c>
      <c r="G1414" t="s">
        <v>11</v>
      </c>
      <c r="H1414" t="s">
        <v>38</v>
      </c>
      <c r="I1414" t="s">
        <v>13</v>
      </c>
      <c r="J1414" t="s">
        <v>13</v>
      </c>
    </row>
    <row r="1415" spans="1:11" x14ac:dyDescent="0.25">
      <c r="A1415" t="s">
        <v>39</v>
      </c>
      <c r="B1415" t="s">
        <v>13</v>
      </c>
      <c r="C1415" t="s">
        <v>7</v>
      </c>
      <c r="D1415" t="s">
        <v>8</v>
      </c>
      <c r="E1415">
        <v>17727600</v>
      </c>
      <c r="F1415">
        <v>15453100</v>
      </c>
      <c r="G1415" t="s">
        <v>11</v>
      </c>
      <c r="H1415">
        <v>54290300</v>
      </c>
      <c r="I1415" t="s">
        <v>13</v>
      </c>
      <c r="J1415" t="s">
        <v>13</v>
      </c>
      <c r="K1415">
        <v>28.46</v>
      </c>
    </row>
    <row r="1417" spans="1:11" x14ac:dyDescent="0.25">
      <c r="A1417" t="s">
        <v>313</v>
      </c>
      <c r="B1417" t="str">
        <f>"30171"</f>
        <v>30171</v>
      </c>
      <c r="C1417" t="str">
        <f>"001"</f>
        <v>001</v>
      </c>
      <c r="D1417">
        <v>2012</v>
      </c>
      <c r="E1417">
        <v>16566300</v>
      </c>
      <c r="F1417">
        <v>2432600</v>
      </c>
      <c r="G1417" t="s">
        <v>11</v>
      </c>
      <c r="H1417" t="s">
        <v>38</v>
      </c>
      <c r="I1417" t="s">
        <v>13</v>
      </c>
      <c r="J1417" t="s">
        <v>13</v>
      </c>
    </row>
    <row r="1418" spans="1:11" x14ac:dyDescent="0.25">
      <c r="A1418" t="s">
        <v>5</v>
      </c>
      <c r="B1418" t="str">
        <f>"30171"</f>
        <v>30171</v>
      </c>
      <c r="C1418" t="str">
        <f>"002"</f>
        <v>002</v>
      </c>
      <c r="D1418">
        <v>2017</v>
      </c>
      <c r="E1418">
        <v>15091100</v>
      </c>
      <c r="F1418">
        <v>165800</v>
      </c>
      <c r="G1418" t="s">
        <v>11</v>
      </c>
      <c r="H1418" t="s">
        <v>38</v>
      </c>
      <c r="I1418" t="s">
        <v>13</v>
      </c>
      <c r="J1418" t="s">
        <v>13</v>
      </c>
    </row>
    <row r="1419" spans="1:11" x14ac:dyDescent="0.25">
      <c r="A1419" t="s">
        <v>39</v>
      </c>
      <c r="B1419" t="s">
        <v>13</v>
      </c>
      <c r="C1419" t="s">
        <v>7</v>
      </c>
      <c r="D1419" t="s">
        <v>8</v>
      </c>
      <c r="E1419">
        <v>31657400</v>
      </c>
      <c r="F1419">
        <v>2598400</v>
      </c>
      <c r="G1419" t="s">
        <v>11</v>
      </c>
      <c r="H1419">
        <v>258737500</v>
      </c>
      <c r="I1419" t="s">
        <v>13</v>
      </c>
      <c r="J1419" t="s">
        <v>13</v>
      </c>
      <c r="K1419">
        <v>1</v>
      </c>
    </row>
    <row r="1421" spans="1:11" x14ac:dyDescent="0.25">
      <c r="A1421" t="s">
        <v>314</v>
      </c>
      <c r="B1421" t="str">
        <f>"28171"</f>
        <v>28171</v>
      </c>
      <c r="C1421" t="str">
        <f>"003"</f>
        <v>003</v>
      </c>
      <c r="D1421">
        <v>2006</v>
      </c>
      <c r="E1421">
        <v>9976000</v>
      </c>
      <c r="F1421">
        <v>9533800</v>
      </c>
      <c r="G1421" t="s">
        <v>11</v>
      </c>
      <c r="H1421" t="s">
        <v>38</v>
      </c>
      <c r="I1421" t="s">
        <v>13</v>
      </c>
      <c r="J1421" t="s">
        <v>13</v>
      </c>
    </row>
    <row r="1422" spans="1:11" x14ac:dyDescent="0.25">
      <c r="A1422" t="s">
        <v>39</v>
      </c>
      <c r="B1422" t="s">
        <v>13</v>
      </c>
      <c r="C1422" t="s">
        <v>7</v>
      </c>
      <c r="D1422" t="s">
        <v>8</v>
      </c>
      <c r="E1422">
        <v>9976000</v>
      </c>
      <c r="F1422">
        <v>9533800</v>
      </c>
      <c r="G1422" t="s">
        <v>11</v>
      </c>
      <c r="H1422">
        <v>129830800</v>
      </c>
      <c r="I1422" t="s">
        <v>13</v>
      </c>
      <c r="J1422" t="s">
        <v>13</v>
      </c>
      <c r="K1422">
        <v>7.34</v>
      </c>
    </row>
    <row r="1424" spans="1:11" x14ac:dyDescent="0.25">
      <c r="A1424" t="s">
        <v>315</v>
      </c>
      <c r="B1424" t="str">
        <f>"50271"</f>
        <v>50271</v>
      </c>
      <c r="C1424" t="str">
        <f>"003"</f>
        <v>003</v>
      </c>
      <c r="D1424">
        <v>1994</v>
      </c>
      <c r="E1424">
        <v>7292500</v>
      </c>
      <c r="F1424">
        <v>5940700</v>
      </c>
      <c r="G1424" t="s">
        <v>11</v>
      </c>
      <c r="H1424" t="s">
        <v>38</v>
      </c>
      <c r="I1424" t="s">
        <v>13</v>
      </c>
      <c r="J1424" t="s">
        <v>13</v>
      </c>
    </row>
    <row r="1425" spans="1:11" x14ac:dyDescent="0.25">
      <c r="A1425" t="s">
        <v>39</v>
      </c>
      <c r="B1425" t="s">
        <v>13</v>
      </c>
      <c r="C1425" t="s">
        <v>7</v>
      </c>
      <c r="D1425" t="s">
        <v>8</v>
      </c>
      <c r="E1425">
        <v>7292500</v>
      </c>
      <c r="F1425">
        <v>5940700</v>
      </c>
      <c r="G1425" t="s">
        <v>11</v>
      </c>
      <c r="H1425">
        <v>124389600</v>
      </c>
      <c r="I1425" t="s">
        <v>13</v>
      </c>
      <c r="J1425" t="s">
        <v>13</v>
      </c>
      <c r="K1425">
        <v>4.78</v>
      </c>
    </row>
    <row r="1427" spans="1:11" x14ac:dyDescent="0.25">
      <c r="A1427" t="s">
        <v>316</v>
      </c>
      <c r="B1427" t="str">
        <f>"46171"</f>
        <v>46171</v>
      </c>
      <c r="C1427" t="str">
        <f>"003"</f>
        <v>003</v>
      </c>
      <c r="D1427">
        <v>2011</v>
      </c>
      <c r="E1427">
        <v>10640600</v>
      </c>
      <c r="F1427">
        <v>5819900</v>
      </c>
      <c r="G1427" t="s">
        <v>11</v>
      </c>
      <c r="H1427" t="s">
        <v>38</v>
      </c>
      <c r="I1427" t="s">
        <v>13</v>
      </c>
      <c r="J1427" t="s">
        <v>13</v>
      </c>
    </row>
    <row r="1428" spans="1:11" x14ac:dyDescent="0.25">
      <c r="A1428" t="s">
        <v>39</v>
      </c>
      <c r="B1428" t="s">
        <v>13</v>
      </c>
      <c r="C1428" t="s">
        <v>7</v>
      </c>
      <c r="D1428" t="s">
        <v>8</v>
      </c>
      <c r="E1428">
        <v>10640600</v>
      </c>
      <c r="F1428">
        <v>5819900</v>
      </c>
      <c r="G1428" t="s">
        <v>11</v>
      </c>
      <c r="H1428">
        <v>70241700</v>
      </c>
      <c r="I1428" t="s">
        <v>13</v>
      </c>
      <c r="J1428" t="s">
        <v>13</v>
      </c>
      <c r="K1428">
        <v>8.2899999999999991</v>
      </c>
    </row>
    <row r="1430" spans="1:11" x14ac:dyDescent="0.25">
      <c r="A1430" t="s">
        <v>317</v>
      </c>
      <c r="B1430" t="str">
        <f>"67171"</f>
        <v>67171</v>
      </c>
      <c r="C1430" t="str">
        <f>"002"</f>
        <v>002</v>
      </c>
      <c r="D1430">
        <v>2014</v>
      </c>
      <c r="E1430">
        <v>11947400</v>
      </c>
      <c r="F1430">
        <v>3288100</v>
      </c>
      <c r="G1430" t="s">
        <v>11</v>
      </c>
      <c r="H1430" t="s">
        <v>38</v>
      </c>
      <c r="I1430" t="s">
        <v>13</v>
      </c>
      <c r="J1430" t="s">
        <v>13</v>
      </c>
    </row>
    <row r="1431" spans="1:11" x14ac:dyDescent="0.25">
      <c r="A1431" t="s">
        <v>39</v>
      </c>
      <c r="B1431" t="s">
        <v>13</v>
      </c>
      <c r="C1431" t="s">
        <v>7</v>
      </c>
      <c r="D1431" t="s">
        <v>8</v>
      </c>
      <c r="E1431">
        <v>11947400</v>
      </c>
      <c r="F1431">
        <v>3288100</v>
      </c>
      <c r="G1431" t="s">
        <v>11</v>
      </c>
      <c r="H1431">
        <v>1060241200</v>
      </c>
      <c r="I1431" t="s">
        <v>13</v>
      </c>
      <c r="J1431" t="s">
        <v>13</v>
      </c>
      <c r="K1431">
        <v>0.31</v>
      </c>
    </row>
    <row r="1433" spans="1:11" x14ac:dyDescent="0.25">
      <c r="A1433" t="s">
        <v>318</v>
      </c>
      <c r="B1433" t="str">
        <f>"50272"</f>
        <v>50272</v>
      </c>
      <c r="C1433" t="str">
        <f>"002"</f>
        <v>002</v>
      </c>
      <c r="D1433">
        <v>1995</v>
      </c>
      <c r="E1433">
        <v>144700</v>
      </c>
      <c r="F1433">
        <v>44700</v>
      </c>
      <c r="G1433" t="s">
        <v>11</v>
      </c>
      <c r="H1433" t="s">
        <v>38</v>
      </c>
      <c r="I1433" t="s">
        <v>13</v>
      </c>
      <c r="J1433" t="s">
        <v>13</v>
      </c>
    </row>
    <row r="1434" spans="1:11" x14ac:dyDescent="0.25">
      <c r="A1434" t="s">
        <v>5</v>
      </c>
      <c r="B1434" t="str">
        <f>"50272"</f>
        <v>50272</v>
      </c>
      <c r="C1434" t="str">
        <f>"003"</f>
        <v>003</v>
      </c>
      <c r="D1434">
        <v>1995</v>
      </c>
      <c r="E1434">
        <v>3765900</v>
      </c>
      <c r="F1434">
        <v>1588800</v>
      </c>
      <c r="G1434" t="s">
        <v>11</v>
      </c>
      <c r="H1434" t="s">
        <v>38</v>
      </c>
      <c r="I1434" t="s">
        <v>13</v>
      </c>
      <c r="J1434" t="s">
        <v>13</v>
      </c>
    </row>
    <row r="1435" spans="1:11" x14ac:dyDescent="0.25">
      <c r="A1435" t="s">
        <v>5</v>
      </c>
      <c r="B1435" t="str">
        <f>"50272"</f>
        <v>50272</v>
      </c>
      <c r="C1435" t="str">
        <f>"004"</f>
        <v>004</v>
      </c>
      <c r="D1435">
        <v>1995</v>
      </c>
      <c r="E1435">
        <v>15032500</v>
      </c>
      <c r="F1435">
        <v>14279000</v>
      </c>
      <c r="G1435" t="s">
        <v>11</v>
      </c>
      <c r="H1435" t="s">
        <v>38</v>
      </c>
      <c r="I1435" t="s">
        <v>13</v>
      </c>
      <c r="J1435" t="s">
        <v>13</v>
      </c>
    </row>
    <row r="1436" spans="1:11" x14ac:dyDescent="0.25">
      <c r="A1436" t="s">
        <v>39</v>
      </c>
      <c r="B1436" t="s">
        <v>13</v>
      </c>
      <c r="C1436" t="s">
        <v>7</v>
      </c>
      <c r="D1436" t="s">
        <v>8</v>
      </c>
      <c r="E1436">
        <v>18943100</v>
      </c>
      <c r="F1436">
        <v>15912500</v>
      </c>
      <c r="G1436" t="s">
        <v>11</v>
      </c>
      <c r="H1436">
        <v>91557000</v>
      </c>
      <c r="I1436" t="s">
        <v>13</v>
      </c>
      <c r="J1436" t="s">
        <v>13</v>
      </c>
      <c r="K1436">
        <v>17.38</v>
      </c>
    </row>
    <row r="1438" spans="1:11" x14ac:dyDescent="0.25">
      <c r="A1438" t="s">
        <v>319</v>
      </c>
      <c r="B1438" t="str">
        <f>"71271"</f>
        <v>71271</v>
      </c>
      <c r="C1438" t="str">
        <f>"003"</f>
        <v>003</v>
      </c>
      <c r="D1438">
        <v>1995</v>
      </c>
      <c r="E1438">
        <v>38679700</v>
      </c>
      <c r="F1438">
        <v>36137700</v>
      </c>
      <c r="G1438" t="s">
        <v>11</v>
      </c>
      <c r="H1438" t="s">
        <v>38</v>
      </c>
      <c r="I1438" t="s">
        <v>13</v>
      </c>
      <c r="J1438" t="s">
        <v>13</v>
      </c>
    </row>
    <row r="1439" spans="1:11" x14ac:dyDescent="0.25">
      <c r="A1439" t="s">
        <v>39</v>
      </c>
      <c r="B1439" t="s">
        <v>13</v>
      </c>
      <c r="C1439" t="s">
        <v>7</v>
      </c>
      <c r="D1439" t="s">
        <v>8</v>
      </c>
      <c r="E1439">
        <v>38679700</v>
      </c>
      <c r="F1439">
        <v>36137700</v>
      </c>
      <c r="G1439" t="s">
        <v>11</v>
      </c>
      <c r="H1439">
        <v>65181700</v>
      </c>
      <c r="I1439" t="s">
        <v>13</v>
      </c>
      <c r="J1439" t="s">
        <v>13</v>
      </c>
      <c r="K1439">
        <v>55.44</v>
      </c>
    </row>
    <row r="1441" spans="1:11" x14ac:dyDescent="0.25">
      <c r="A1441" t="s">
        <v>320</v>
      </c>
      <c r="B1441" t="str">
        <f>"56171"</f>
        <v>56171</v>
      </c>
      <c r="C1441" t="str">
        <f>"002"</f>
        <v>002</v>
      </c>
      <c r="D1441">
        <v>2006</v>
      </c>
      <c r="E1441">
        <v>3628500</v>
      </c>
      <c r="F1441">
        <v>3459000</v>
      </c>
      <c r="G1441" t="s">
        <v>11</v>
      </c>
      <c r="H1441" t="s">
        <v>38</v>
      </c>
      <c r="I1441" t="s">
        <v>13</v>
      </c>
      <c r="J1441" t="s">
        <v>13</v>
      </c>
    </row>
    <row r="1442" spans="1:11" x14ac:dyDescent="0.25">
      <c r="A1442" t="s">
        <v>39</v>
      </c>
      <c r="B1442" t="s">
        <v>13</v>
      </c>
      <c r="C1442" t="s">
        <v>7</v>
      </c>
      <c r="D1442" t="s">
        <v>8</v>
      </c>
      <c r="E1442">
        <v>3628500</v>
      </c>
      <c r="F1442">
        <v>3459000</v>
      </c>
      <c r="G1442" t="s">
        <v>11</v>
      </c>
      <c r="H1442">
        <v>71289700</v>
      </c>
      <c r="I1442" t="s">
        <v>13</v>
      </c>
      <c r="J1442" t="s">
        <v>13</v>
      </c>
      <c r="K1442">
        <v>4.8499999999999996</v>
      </c>
    </row>
    <row r="1444" spans="1:11" x14ac:dyDescent="0.25">
      <c r="A1444" t="s">
        <v>321</v>
      </c>
      <c r="B1444" t="str">
        <f>"69171"</f>
        <v>69171</v>
      </c>
      <c r="C1444" t="str">
        <f>"001"</f>
        <v>001</v>
      </c>
      <c r="D1444">
        <v>2015</v>
      </c>
      <c r="E1444">
        <v>3976300</v>
      </c>
      <c r="F1444">
        <v>2023400</v>
      </c>
      <c r="G1444" t="s">
        <v>11</v>
      </c>
      <c r="H1444" t="s">
        <v>38</v>
      </c>
      <c r="I1444" t="s">
        <v>13</v>
      </c>
      <c r="J1444" t="s">
        <v>13</v>
      </c>
    </row>
    <row r="1445" spans="1:11" x14ac:dyDescent="0.25">
      <c r="A1445" t="s">
        <v>39</v>
      </c>
      <c r="B1445" t="s">
        <v>13</v>
      </c>
      <c r="C1445" t="s">
        <v>7</v>
      </c>
      <c r="D1445" t="s">
        <v>8</v>
      </c>
      <c r="E1445">
        <v>3976300</v>
      </c>
      <c r="F1445">
        <v>2023400</v>
      </c>
      <c r="G1445" t="s">
        <v>11</v>
      </c>
      <c r="H1445">
        <v>36941300</v>
      </c>
      <c r="I1445" t="s">
        <v>13</v>
      </c>
      <c r="J1445" t="s">
        <v>13</v>
      </c>
      <c r="K1445">
        <v>5.48</v>
      </c>
    </row>
    <row r="1447" spans="1:11" x14ac:dyDescent="0.25">
      <c r="A1447" t="s">
        <v>322</v>
      </c>
      <c r="B1447" t="str">
        <f>"22271"</f>
        <v>22271</v>
      </c>
      <c r="C1447" t="str">
        <f>"004"</f>
        <v>004</v>
      </c>
      <c r="D1447">
        <v>1997</v>
      </c>
      <c r="E1447">
        <v>13717800</v>
      </c>
      <c r="F1447">
        <v>10513200</v>
      </c>
      <c r="G1447" t="s">
        <v>11</v>
      </c>
      <c r="H1447" t="s">
        <v>38</v>
      </c>
      <c r="I1447" t="s">
        <v>13</v>
      </c>
      <c r="J1447" t="s">
        <v>13</v>
      </c>
    </row>
    <row r="1448" spans="1:11" x14ac:dyDescent="0.25">
      <c r="A1448" t="s">
        <v>5</v>
      </c>
      <c r="B1448" t="str">
        <f>"22271"</f>
        <v>22271</v>
      </c>
      <c r="C1448" t="str">
        <f>"005"</f>
        <v>005</v>
      </c>
      <c r="D1448">
        <v>2005</v>
      </c>
      <c r="E1448">
        <v>40436600</v>
      </c>
      <c r="F1448">
        <v>40407100</v>
      </c>
      <c r="G1448" t="s">
        <v>11</v>
      </c>
      <c r="H1448" t="s">
        <v>38</v>
      </c>
      <c r="I1448" t="s">
        <v>13</v>
      </c>
      <c r="J1448" t="s">
        <v>13</v>
      </c>
    </row>
    <row r="1449" spans="1:11" x14ac:dyDescent="0.25">
      <c r="A1449" t="s">
        <v>5</v>
      </c>
      <c r="B1449" t="str">
        <f>"22271"</f>
        <v>22271</v>
      </c>
      <c r="C1449" t="str">
        <f>"006"</f>
        <v>006</v>
      </c>
      <c r="D1449">
        <v>2006</v>
      </c>
      <c r="E1449">
        <v>33345200</v>
      </c>
      <c r="F1449">
        <v>25604800</v>
      </c>
      <c r="G1449" t="s">
        <v>11</v>
      </c>
      <c r="H1449" t="s">
        <v>38</v>
      </c>
      <c r="I1449" t="s">
        <v>13</v>
      </c>
      <c r="J1449" t="s">
        <v>13</v>
      </c>
    </row>
    <row r="1450" spans="1:11" x14ac:dyDescent="0.25">
      <c r="A1450" t="s">
        <v>5</v>
      </c>
      <c r="B1450" t="str">
        <f>"22271"</f>
        <v>22271</v>
      </c>
      <c r="C1450" t="str">
        <f>"007"</f>
        <v>007</v>
      </c>
      <c r="D1450">
        <v>2006</v>
      </c>
      <c r="E1450">
        <v>45903900</v>
      </c>
      <c r="F1450">
        <v>16388900</v>
      </c>
      <c r="G1450" t="s">
        <v>11</v>
      </c>
      <c r="H1450" t="s">
        <v>38</v>
      </c>
      <c r="I1450" t="s">
        <v>13</v>
      </c>
      <c r="J1450" t="s">
        <v>13</v>
      </c>
    </row>
    <row r="1451" spans="1:11" x14ac:dyDescent="0.25">
      <c r="A1451" t="s">
        <v>39</v>
      </c>
      <c r="B1451" t="s">
        <v>13</v>
      </c>
      <c r="C1451" t="s">
        <v>7</v>
      </c>
      <c r="D1451" t="s">
        <v>8</v>
      </c>
      <c r="E1451">
        <v>133403500</v>
      </c>
      <c r="F1451">
        <v>92914000</v>
      </c>
      <c r="G1451" t="s">
        <v>11</v>
      </c>
      <c r="H1451">
        <v>707891400</v>
      </c>
      <c r="I1451" t="s">
        <v>13</v>
      </c>
      <c r="J1451" t="s">
        <v>13</v>
      </c>
      <c r="K1451">
        <v>13.13</v>
      </c>
    </row>
    <row r="1453" spans="1:11" x14ac:dyDescent="0.25">
      <c r="A1453" t="s">
        <v>323</v>
      </c>
      <c r="B1453" t="str">
        <f>"30174"</f>
        <v>30174</v>
      </c>
      <c r="C1453" t="str">
        <f>"002"</f>
        <v>002</v>
      </c>
      <c r="D1453">
        <v>1999</v>
      </c>
      <c r="E1453">
        <v>796224200</v>
      </c>
      <c r="F1453">
        <v>712094100</v>
      </c>
      <c r="G1453" t="s">
        <v>11</v>
      </c>
      <c r="H1453" t="s">
        <v>38</v>
      </c>
      <c r="I1453" t="s">
        <v>13</v>
      </c>
      <c r="J1453" t="s">
        <v>13</v>
      </c>
    </row>
    <row r="1454" spans="1:11" x14ac:dyDescent="0.25">
      <c r="A1454" t="s">
        <v>5</v>
      </c>
      <c r="B1454" t="str">
        <f>"30174"</f>
        <v>30174</v>
      </c>
      <c r="C1454" t="str">
        <f>"004"</f>
        <v>004</v>
      </c>
      <c r="D1454">
        <v>2007</v>
      </c>
      <c r="E1454">
        <v>1452900</v>
      </c>
      <c r="F1454">
        <v>1286800</v>
      </c>
      <c r="G1454" t="s">
        <v>11</v>
      </c>
      <c r="H1454" t="s">
        <v>38</v>
      </c>
      <c r="I1454" t="s">
        <v>13</v>
      </c>
      <c r="J1454" t="s">
        <v>13</v>
      </c>
    </row>
    <row r="1455" spans="1:11" x14ac:dyDescent="0.25">
      <c r="A1455" t="s">
        <v>5</v>
      </c>
      <c r="B1455" t="str">
        <f>"30174"</f>
        <v>30174</v>
      </c>
      <c r="C1455" t="str">
        <f>"005"</f>
        <v>005</v>
      </c>
      <c r="D1455">
        <v>2017</v>
      </c>
      <c r="E1455">
        <v>81624500</v>
      </c>
      <c r="F1455">
        <v>56554600</v>
      </c>
      <c r="G1455" t="s">
        <v>11</v>
      </c>
      <c r="H1455" t="s">
        <v>38</v>
      </c>
      <c r="I1455" t="s">
        <v>13</v>
      </c>
      <c r="J1455" t="s">
        <v>13</v>
      </c>
    </row>
    <row r="1456" spans="1:11" x14ac:dyDescent="0.25">
      <c r="A1456" t="s">
        <v>5</v>
      </c>
      <c r="B1456" t="str">
        <f>"30174"</f>
        <v>30174</v>
      </c>
      <c r="C1456" t="str">
        <f>"006"</f>
        <v>006</v>
      </c>
      <c r="D1456">
        <v>2018</v>
      </c>
      <c r="E1456">
        <v>8429100</v>
      </c>
      <c r="F1456">
        <v>8340200</v>
      </c>
      <c r="G1456" t="s">
        <v>11</v>
      </c>
      <c r="H1456" t="s">
        <v>38</v>
      </c>
      <c r="I1456" t="s">
        <v>13</v>
      </c>
      <c r="J1456" t="s">
        <v>13</v>
      </c>
    </row>
    <row r="1457" spans="1:11" x14ac:dyDescent="0.25">
      <c r="A1457" t="s">
        <v>5</v>
      </c>
      <c r="B1457" t="str">
        <f>"30174"</f>
        <v>30174</v>
      </c>
      <c r="C1457" t="str">
        <f>"007"</f>
        <v>007</v>
      </c>
      <c r="D1457">
        <v>2018</v>
      </c>
      <c r="E1457">
        <v>872300</v>
      </c>
      <c r="F1457">
        <v>39800</v>
      </c>
      <c r="G1457" t="s">
        <v>11</v>
      </c>
      <c r="H1457" t="s">
        <v>38</v>
      </c>
      <c r="I1457" t="s">
        <v>13</v>
      </c>
      <c r="J1457" t="s">
        <v>13</v>
      </c>
    </row>
    <row r="1458" spans="1:11" x14ac:dyDescent="0.25">
      <c r="A1458" t="s">
        <v>39</v>
      </c>
      <c r="B1458" t="s">
        <v>13</v>
      </c>
      <c r="C1458" t="s">
        <v>7</v>
      </c>
      <c r="D1458" t="s">
        <v>8</v>
      </c>
      <c r="E1458">
        <v>888603000</v>
      </c>
      <c r="F1458">
        <v>778315500</v>
      </c>
      <c r="G1458" t="s">
        <v>11</v>
      </c>
      <c r="H1458">
        <v>3900339500</v>
      </c>
      <c r="I1458" t="s">
        <v>13</v>
      </c>
      <c r="J1458" t="s">
        <v>13</v>
      </c>
      <c r="K1458">
        <v>19.96</v>
      </c>
    </row>
    <row r="1460" spans="1:11" x14ac:dyDescent="0.25">
      <c r="A1460" t="s">
        <v>324</v>
      </c>
      <c r="B1460" t="str">
        <f>"49173"</f>
        <v>49173</v>
      </c>
      <c r="C1460" t="str">
        <f>"003"</f>
        <v>003</v>
      </c>
      <c r="D1460">
        <v>2003</v>
      </c>
      <c r="E1460">
        <v>22851600</v>
      </c>
      <c r="F1460">
        <v>22319500</v>
      </c>
      <c r="G1460" t="s">
        <v>11</v>
      </c>
      <c r="H1460" t="s">
        <v>38</v>
      </c>
      <c r="I1460" t="s">
        <v>13</v>
      </c>
      <c r="J1460" t="s">
        <v>13</v>
      </c>
    </row>
    <row r="1461" spans="1:11" x14ac:dyDescent="0.25">
      <c r="A1461" t="s">
        <v>5</v>
      </c>
      <c r="B1461" t="str">
        <f>"49173"</f>
        <v>49173</v>
      </c>
      <c r="C1461" t="str">
        <f>"004"</f>
        <v>004</v>
      </c>
      <c r="D1461">
        <v>2004</v>
      </c>
      <c r="E1461">
        <v>55926400</v>
      </c>
      <c r="F1461">
        <v>39146400</v>
      </c>
      <c r="G1461" t="s">
        <v>11</v>
      </c>
      <c r="H1461" t="s">
        <v>38</v>
      </c>
      <c r="I1461" t="s">
        <v>13</v>
      </c>
      <c r="J1461" t="s">
        <v>13</v>
      </c>
    </row>
    <row r="1462" spans="1:11" x14ac:dyDescent="0.25">
      <c r="A1462" t="s">
        <v>5</v>
      </c>
      <c r="B1462" t="str">
        <f>"49173"</f>
        <v>49173</v>
      </c>
      <c r="C1462" t="str">
        <f>"005"</f>
        <v>005</v>
      </c>
      <c r="D1462">
        <v>2005</v>
      </c>
      <c r="E1462">
        <v>19825800</v>
      </c>
      <c r="F1462">
        <v>16874300</v>
      </c>
      <c r="G1462" t="s">
        <v>11</v>
      </c>
      <c r="H1462" t="s">
        <v>38</v>
      </c>
      <c r="I1462" t="s">
        <v>13</v>
      </c>
      <c r="J1462" t="s">
        <v>13</v>
      </c>
    </row>
    <row r="1463" spans="1:11" x14ac:dyDescent="0.25">
      <c r="A1463" t="s">
        <v>5</v>
      </c>
      <c r="B1463" t="str">
        <f>"49173"</f>
        <v>49173</v>
      </c>
      <c r="C1463" t="str">
        <f>"006"</f>
        <v>006</v>
      </c>
      <c r="D1463">
        <v>2010</v>
      </c>
      <c r="E1463">
        <v>11304800</v>
      </c>
      <c r="F1463">
        <v>11301500</v>
      </c>
      <c r="G1463" t="s">
        <v>11</v>
      </c>
      <c r="H1463" t="s">
        <v>38</v>
      </c>
      <c r="I1463" t="s">
        <v>13</v>
      </c>
      <c r="J1463" t="s">
        <v>13</v>
      </c>
    </row>
    <row r="1464" spans="1:11" x14ac:dyDescent="0.25">
      <c r="A1464" t="s">
        <v>5</v>
      </c>
      <c r="B1464" t="str">
        <f>"49173"</f>
        <v>49173</v>
      </c>
      <c r="C1464" t="str">
        <f>"007"</f>
        <v>007</v>
      </c>
      <c r="D1464">
        <v>2013</v>
      </c>
      <c r="E1464">
        <v>4952900</v>
      </c>
      <c r="F1464">
        <v>2315600</v>
      </c>
      <c r="G1464" t="s">
        <v>11</v>
      </c>
      <c r="H1464" t="s">
        <v>38</v>
      </c>
      <c r="I1464" t="s">
        <v>13</v>
      </c>
      <c r="J1464" t="s">
        <v>13</v>
      </c>
    </row>
    <row r="1465" spans="1:11" x14ac:dyDescent="0.25">
      <c r="A1465" t="s">
        <v>39</v>
      </c>
      <c r="B1465" t="s">
        <v>13</v>
      </c>
      <c r="C1465" t="s">
        <v>7</v>
      </c>
      <c r="D1465" t="s">
        <v>8</v>
      </c>
      <c r="E1465">
        <v>114861500</v>
      </c>
      <c r="F1465">
        <v>91957300</v>
      </c>
      <c r="G1465" t="s">
        <v>11</v>
      </c>
      <c r="H1465">
        <v>1222834600</v>
      </c>
      <c r="I1465" t="s">
        <v>13</v>
      </c>
      <c r="J1465" t="s">
        <v>13</v>
      </c>
      <c r="K1465">
        <v>7.52</v>
      </c>
    </row>
    <row r="1467" spans="1:11" x14ac:dyDescent="0.25">
      <c r="A1467" t="s">
        <v>325</v>
      </c>
      <c r="B1467" t="str">
        <f>"59271"</f>
        <v>59271</v>
      </c>
      <c r="C1467" t="str">
        <f>"004"</f>
        <v>004</v>
      </c>
      <c r="D1467">
        <v>2001</v>
      </c>
      <c r="E1467">
        <v>138319400</v>
      </c>
      <c r="F1467">
        <v>120816100</v>
      </c>
      <c r="G1467" t="s">
        <v>11</v>
      </c>
      <c r="H1467" t="s">
        <v>38</v>
      </c>
      <c r="I1467" t="s">
        <v>13</v>
      </c>
      <c r="J1467" t="s">
        <v>13</v>
      </c>
    </row>
    <row r="1468" spans="1:11" x14ac:dyDescent="0.25">
      <c r="A1468" t="s">
        <v>5</v>
      </c>
      <c r="B1468" t="str">
        <f>"59271"</f>
        <v>59271</v>
      </c>
      <c r="C1468" t="str">
        <f>"005"</f>
        <v>005</v>
      </c>
      <c r="D1468">
        <v>2008</v>
      </c>
      <c r="E1468">
        <v>31370700</v>
      </c>
      <c r="F1468">
        <v>14770200</v>
      </c>
      <c r="G1468" t="s">
        <v>11</v>
      </c>
      <c r="H1468" t="s">
        <v>38</v>
      </c>
      <c r="I1468" t="s">
        <v>13</v>
      </c>
      <c r="J1468" t="s">
        <v>13</v>
      </c>
    </row>
    <row r="1469" spans="1:11" x14ac:dyDescent="0.25">
      <c r="A1469" t="s">
        <v>5</v>
      </c>
      <c r="B1469" t="str">
        <f>"59271"</f>
        <v>59271</v>
      </c>
      <c r="C1469" t="str">
        <f>"006"</f>
        <v>006</v>
      </c>
      <c r="D1469">
        <v>2011</v>
      </c>
      <c r="E1469">
        <v>7772500</v>
      </c>
      <c r="F1469">
        <v>7729900</v>
      </c>
      <c r="G1469" t="s">
        <v>11</v>
      </c>
      <c r="H1469" t="s">
        <v>38</v>
      </c>
      <c r="I1469" t="s">
        <v>13</v>
      </c>
      <c r="J1469" t="s">
        <v>13</v>
      </c>
    </row>
    <row r="1470" spans="1:11" x14ac:dyDescent="0.25">
      <c r="A1470" t="s">
        <v>39</v>
      </c>
      <c r="B1470" t="s">
        <v>13</v>
      </c>
      <c r="C1470" t="s">
        <v>7</v>
      </c>
      <c r="D1470" t="s">
        <v>8</v>
      </c>
      <c r="E1470">
        <v>177462600</v>
      </c>
      <c r="F1470">
        <v>143316200</v>
      </c>
      <c r="G1470" t="s">
        <v>11</v>
      </c>
      <c r="H1470">
        <v>810909500</v>
      </c>
      <c r="I1470" t="s">
        <v>13</v>
      </c>
      <c r="J1470" t="s">
        <v>13</v>
      </c>
      <c r="K1470">
        <v>17.670000000000002</v>
      </c>
    </row>
    <row r="1472" spans="1:11" x14ac:dyDescent="0.25">
      <c r="A1472" t="s">
        <v>326</v>
      </c>
      <c r="B1472" t="str">
        <f>"71171"</f>
        <v>71171</v>
      </c>
      <c r="C1472" t="str">
        <f>"002"</f>
        <v>002</v>
      </c>
      <c r="D1472">
        <v>2009</v>
      </c>
      <c r="E1472">
        <v>18225900</v>
      </c>
      <c r="F1472">
        <v>8841700</v>
      </c>
      <c r="G1472" t="s">
        <v>11</v>
      </c>
      <c r="H1472" t="s">
        <v>38</v>
      </c>
      <c r="I1472" t="s">
        <v>13</v>
      </c>
      <c r="J1472" t="s">
        <v>13</v>
      </c>
    </row>
    <row r="1473" spans="1:11" x14ac:dyDescent="0.25">
      <c r="A1473" t="s">
        <v>39</v>
      </c>
      <c r="B1473" t="s">
        <v>13</v>
      </c>
      <c r="C1473" t="s">
        <v>7</v>
      </c>
      <c r="D1473" t="s">
        <v>8</v>
      </c>
      <c r="E1473">
        <v>18225900</v>
      </c>
      <c r="F1473">
        <v>8841700</v>
      </c>
      <c r="G1473" t="s">
        <v>11</v>
      </c>
      <c r="H1473">
        <v>105024800</v>
      </c>
      <c r="I1473" t="s">
        <v>13</v>
      </c>
      <c r="J1473" t="s">
        <v>13</v>
      </c>
      <c r="K1473">
        <v>8.42</v>
      </c>
    </row>
    <row r="1475" spans="1:11" x14ac:dyDescent="0.25">
      <c r="A1475" t="s">
        <v>327</v>
      </c>
      <c r="B1475" t="str">
        <f>"45271"</f>
        <v>45271</v>
      </c>
      <c r="C1475" t="str">
        <f>"002"</f>
        <v>002</v>
      </c>
      <c r="D1475">
        <v>2010</v>
      </c>
      <c r="E1475">
        <v>29965200</v>
      </c>
      <c r="F1475">
        <v>15177400</v>
      </c>
      <c r="G1475" t="s">
        <v>11</v>
      </c>
      <c r="H1475" t="s">
        <v>38</v>
      </c>
      <c r="I1475" t="s">
        <v>13</v>
      </c>
      <c r="J1475" t="s">
        <v>13</v>
      </c>
    </row>
    <row r="1476" spans="1:11" x14ac:dyDescent="0.25">
      <c r="A1476" t="s">
        <v>5</v>
      </c>
      <c r="B1476" t="str">
        <f>"45271"</f>
        <v>45271</v>
      </c>
      <c r="C1476" t="str">
        <f>"003"</f>
        <v>003</v>
      </c>
      <c r="D1476">
        <v>2015</v>
      </c>
      <c r="E1476">
        <v>10699000</v>
      </c>
      <c r="F1476">
        <v>1826300</v>
      </c>
      <c r="G1476" t="s">
        <v>11</v>
      </c>
      <c r="H1476" t="s">
        <v>38</v>
      </c>
      <c r="I1476" t="s">
        <v>13</v>
      </c>
      <c r="J1476" t="s">
        <v>13</v>
      </c>
    </row>
    <row r="1477" spans="1:11" x14ac:dyDescent="0.25">
      <c r="A1477" t="s">
        <v>39</v>
      </c>
      <c r="B1477" t="s">
        <v>13</v>
      </c>
      <c r="C1477" t="s">
        <v>7</v>
      </c>
      <c r="D1477" t="s">
        <v>8</v>
      </c>
      <c r="E1477">
        <v>40664200</v>
      </c>
      <c r="F1477">
        <v>17003700</v>
      </c>
      <c r="G1477" t="s">
        <v>11</v>
      </c>
      <c r="H1477">
        <v>1112699800</v>
      </c>
      <c r="I1477" t="s">
        <v>13</v>
      </c>
      <c r="J1477" t="s">
        <v>13</v>
      </c>
      <c r="K1477">
        <v>1.53</v>
      </c>
    </row>
    <row r="1479" spans="1:11" x14ac:dyDescent="0.25">
      <c r="A1479" t="s">
        <v>328</v>
      </c>
      <c r="B1479" t="str">
        <f t="shared" ref="B1479:B1484" si="27">"11271"</f>
        <v>11271</v>
      </c>
      <c r="C1479" t="str">
        <f>"004"</f>
        <v>004</v>
      </c>
      <c r="D1479">
        <v>2003</v>
      </c>
      <c r="E1479">
        <v>798100</v>
      </c>
      <c r="F1479">
        <v>586200</v>
      </c>
      <c r="G1479" t="s">
        <v>11</v>
      </c>
      <c r="H1479" t="s">
        <v>38</v>
      </c>
      <c r="I1479" t="s">
        <v>13</v>
      </c>
      <c r="J1479" t="s">
        <v>13</v>
      </c>
    </row>
    <row r="1480" spans="1:11" x14ac:dyDescent="0.25">
      <c r="A1480" t="s">
        <v>5</v>
      </c>
      <c r="B1480" t="str">
        <f t="shared" si="27"/>
        <v>11271</v>
      </c>
      <c r="C1480" t="str">
        <f>"005"</f>
        <v>005</v>
      </c>
      <c r="D1480">
        <v>2004</v>
      </c>
      <c r="E1480">
        <v>5983700</v>
      </c>
      <c r="F1480">
        <v>4722200</v>
      </c>
      <c r="G1480" t="s">
        <v>11</v>
      </c>
      <c r="H1480" t="s">
        <v>38</v>
      </c>
      <c r="I1480" t="s">
        <v>13</v>
      </c>
      <c r="J1480" t="s">
        <v>13</v>
      </c>
    </row>
    <row r="1481" spans="1:11" x14ac:dyDescent="0.25">
      <c r="A1481" t="s">
        <v>5</v>
      </c>
      <c r="B1481" t="str">
        <f t="shared" si="27"/>
        <v>11271</v>
      </c>
      <c r="C1481" t="str">
        <f>"006"</f>
        <v>006</v>
      </c>
      <c r="D1481">
        <v>2008</v>
      </c>
      <c r="E1481">
        <v>12557900</v>
      </c>
      <c r="F1481">
        <v>-1227600</v>
      </c>
      <c r="G1481" t="s">
        <v>49</v>
      </c>
      <c r="H1481" t="s">
        <v>38</v>
      </c>
      <c r="I1481" t="s">
        <v>13</v>
      </c>
      <c r="J1481" t="s">
        <v>13</v>
      </c>
    </row>
    <row r="1482" spans="1:11" x14ac:dyDescent="0.25">
      <c r="A1482" t="s">
        <v>5</v>
      </c>
      <c r="B1482" t="str">
        <f t="shared" si="27"/>
        <v>11271</v>
      </c>
      <c r="C1482" t="str">
        <f>"007"</f>
        <v>007</v>
      </c>
      <c r="D1482">
        <v>2010</v>
      </c>
      <c r="E1482">
        <v>23571200</v>
      </c>
      <c r="F1482">
        <v>2981600</v>
      </c>
      <c r="G1482" t="s">
        <v>11</v>
      </c>
      <c r="H1482" t="s">
        <v>38</v>
      </c>
      <c r="I1482" t="s">
        <v>13</v>
      </c>
      <c r="J1482" t="s">
        <v>13</v>
      </c>
    </row>
    <row r="1483" spans="1:11" x14ac:dyDescent="0.25">
      <c r="A1483" t="s">
        <v>5</v>
      </c>
      <c r="B1483" t="str">
        <f t="shared" si="27"/>
        <v>11271</v>
      </c>
      <c r="C1483" t="str">
        <f>"008"</f>
        <v>008</v>
      </c>
      <c r="D1483">
        <v>2014</v>
      </c>
      <c r="E1483">
        <v>3075300</v>
      </c>
      <c r="F1483">
        <v>2420900</v>
      </c>
      <c r="G1483" t="s">
        <v>11</v>
      </c>
      <c r="H1483" t="s">
        <v>38</v>
      </c>
      <c r="I1483" t="s">
        <v>13</v>
      </c>
      <c r="J1483" t="s">
        <v>13</v>
      </c>
    </row>
    <row r="1484" spans="1:11" x14ac:dyDescent="0.25">
      <c r="A1484" t="s">
        <v>5</v>
      </c>
      <c r="B1484" t="str">
        <f t="shared" si="27"/>
        <v>11271</v>
      </c>
      <c r="C1484" t="str">
        <f>"009"</f>
        <v>009</v>
      </c>
      <c r="D1484">
        <v>2017</v>
      </c>
      <c r="E1484">
        <v>27600</v>
      </c>
      <c r="F1484">
        <v>-1100</v>
      </c>
      <c r="G1484" t="s">
        <v>49</v>
      </c>
      <c r="H1484" t="s">
        <v>38</v>
      </c>
      <c r="I1484" t="s">
        <v>13</v>
      </c>
      <c r="J1484" t="s">
        <v>13</v>
      </c>
    </row>
    <row r="1485" spans="1:11" x14ac:dyDescent="0.25">
      <c r="A1485" t="s">
        <v>39</v>
      </c>
      <c r="B1485" t="s">
        <v>13</v>
      </c>
      <c r="C1485" t="s">
        <v>7</v>
      </c>
      <c r="D1485" t="s">
        <v>8</v>
      </c>
      <c r="E1485">
        <v>46013800</v>
      </c>
      <c r="F1485">
        <v>10710900</v>
      </c>
      <c r="G1485" t="s">
        <v>11</v>
      </c>
      <c r="H1485">
        <v>680563500</v>
      </c>
      <c r="I1485" t="s">
        <v>13</v>
      </c>
      <c r="J1485" t="s">
        <v>13</v>
      </c>
      <c r="K1485">
        <v>1.57</v>
      </c>
    </row>
    <row r="1487" spans="1:11" x14ac:dyDescent="0.25">
      <c r="A1487" t="s">
        <v>329</v>
      </c>
      <c r="B1487" t="str">
        <f>"38171"</f>
        <v>38171</v>
      </c>
      <c r="C1487" t="str">
        <f>"001"</f>
        <v>001</v>
      </c>
      <c r="D1487">
        <v>2015</v>
      </c>
      <c r="E1487">
        <v>543300</v>
      </c>
      <c r="F1487">
        <v>539200</v>
      </c>
      <c r="G1487" t="s">
        <v>11</v>
      </c>
      <c r="H1487" t="s">
        <v>38</v>
      </c>
      <c r="I1487" t="s">
        <v>13</v>
      </c>
      <c r="J1487" t="s">
        <v>13</v>
      </c>
    </row>
    <row r="1488" spans="1:11" x14ac:dyDescent="0.25">
      <c r="A1488" t="s">
        <v>39</v>
      </c>
      <c r="B1488" t="s">
        <v>13</v>
      </c>
      <c r="C1488" t="s">
        <v>7</v>
      </c>
      <c r="D1488" t="s">
        <v>8</v>
      </c>
      <c r="E1488">
        <v>543300</v>
      </c>
      <c r="F1488">
        <v>539200</v>
      </c>
      <c r="G1488" t="s">
        <v>11</v>
      </c>
      <c r="H1488">
        <v>14319500</v>
      </c>
      <c r="I1488" t="s">
        <v>13</v>
      </c>
      <c r="J1488" t="s">
        <v>13</v>
      </c>
      <c r="K1488">
        <v>3.77</v>
      </c>
    </row>
    <row r="1490" spans="1:11" x14ac:dyDescent="0.25">
      <c r="A1490" t="s">
        <v>330</v>
      </c>
      <c r="B1490" t="str">
        <f>"12271"</f>
        <v>12271</v>
      </c>
      <c r="C1490" t="str">
        <f>"005"</f>
        <v>005</v>
      </c>
      <c r="D1490">
        <v>1994</v>
      </c>
      <c r="E1490">
        <v>7530100</v>
      </c>
      <c r="F1490">
        <v>7281300</v>
      </c>
      <c r="G1490" t="s">
        <v>11</v>
      </c>
      <c r="H1490" t="s">
        <v>38</v>
      </c>
      <c r="I1490" t="s">
        <v>13</v>
      </c>
      <c r="J1490" t="s">
        <v>13</v>
      </c>
    </row>
    <row r="1491" spans="1:11" x14ac:dyDescent="0.25">
      <c r="A1491" t="s">
        <v>5</v>
      </c>
      <c r="B1491" t="str">
        <f>"12271"</f>
        <v>12271</v>
      </c>
      <c r="C1491" t="str">
        <f>"006"</f>
        <v>006</v>
      </c>
      <c r="D1491">
        <v>1996</v>
      </c>
      <c r="E1491">
        <v>46904100</v>
      </c>
      <c r="F1491">
        <v>45974500</v>
      </c>
      <c r="G1491" t="s">
        <v>11</v>
      </c>
      <c r="H1491" t="s">
        <v>38</v>
      </c>
      <c r="I1491" t="s">
        <v>13</v>
      </c>
      <c r="J1491" t="s">
        <v>13</v>
      </c>
    </row>
    <row r="1492" spans="1:11" x14ac:dyDescent="0.25">
      <c r="A1492" t="s">
        <v>39</v>
      </c>
      <c r="B1492" t="s">
        <v>13</v>
      </c>
      <c r="C1492" t="s">
        <v>7</v>
      </c>
      <c r="D1492" t="s">
        <v>8</v>
      </c>
      <c r="E1492">
        <v>54434200</v>
      </c>
      <c r="F1492">
        <v>53255800</v>
      </c>
      <c r="G1492" t="s">
        <v>11</v>
      </c>
      <c r="H1492">
        <v>379296900</v>
      </c>
      <c r="I1492" t="s">
        <v>13</v>
      </c>
      <c r="J1492" t="s">
        <v>13</v>
      </c>
      <c r="K1492">
        <v>14.04</v>
      </c>
    </row>
    <row r="1494" spans="1:11" x14ac:dyDescent="0.25">
      <c r="A1494" t="s">
        <v>331</v>
      </c>
      <c r="B1494" t="str">
        <f>"56172"</f>
        <v>56172</v>
      </c>
      <c r="C1494" t="str">
        <f>"004"</f>
        <v>004</v>
      </c>
      <c r="D1494">
        <v>2008</v>
      </c>
      <c r="E1494">
        <v>15907000</v>
      </c>
      <c r="F1494">
        <v>15423700</v>
      </c>
      <c r="G1494" t="s">
        <v>11</v>
      </c>
      <c r="H1494" t="s">
        <v>38</v>
      </c>
      <c r="I1494" t="s">
        <v>13</v>
      </c>
      <c r="J1494" t="s">
        <v>13</v>
      </c>
    </row>
    <row r="1495" spans="1:11" x14ac:dyDescent="0.25">
      <c r="A1495" t="s">
        <v>5</v>
      </c>
      <c r="B1495" t="str">
        <f>"56172"</f>
        <v>56172</v>
      </c>
      <c r="C1495" t="str">
        <f>"005"</f>
        <v>005</v>
      </c>
      <c r="D1495">
        <v>2018</v>
      </c>
      <c r="E1495">
        <v>794100</v>
      </c>
      <c r="F1495">
        <v>651900</v>
      </c>
      <c r="G1495" t="s">
        <v>11</v>
      </c>
      <c r="H1495" t="s">
        <v>38</v>
      </c>
      <c r="I1495" t="s">
        <v>13</v>
      </c>
      <c r="J1495" t="s">
        <v>13</v>
      </c>
    </row>
    <row r="1496" spans="1:11" x14ac:dyDescent="0.25">
      <c r="A1496" t="s">
        <v>5</v>
      </c>
      <c r="B1496" t="str">
        <f>"56172"</f>
        <v>56172</v>
      </c>
      <c r="C1496" t="str">
        <f>"006"</f>
        <v>006</v>
      </c>
      <c r="D1496">
        <v>2018</v>
      </c>
      <c r="E1496">
        <v>10297100</v>
      </c>
      <c r="F1496">
        <v>-573900</v>
      </c>
      <c r="G1496" t="s">
        <v>49</v>
      </c>
      <c r="H1496" t="s">
        <v>38</v>
      </c>
      <c r="I1496" t="s">
        <v>13</v>
      </c>
      <c r="J1496" t="s">
        <v>13</v>
      </c>
    </row>
    <row r="1497" spans="1:11" x14ac:dyDescent="0.25">
      <c r="A1497" t="s">
        <v>39</v>
      </c>
      <c r="B1497" t="s">
        <v>13</v>
      </c>
      <c r="C1497" t="s">
        <v>7</v>
      </c>
      <c r="D1497" t="s">
        <v>8</v>
      </c>
      <c r="E1497">
        <v>26998200</v>
      </c>
      <c r="F1497">
        <v>16075600</v>
      </c>
      <c r="G1497" t="s">
        <v>11</v>
      </c>
      <c r="H1497">
        <v>449857200</v>
      </c>
      <c r="I1497" t="s">
        <v>13</v>
      </c>
      <c r="J1497" t="s">
        <v>13</v>
      </c>
      <c r="K1497">
        <v>3.57</v>
      </c>
    </row>
    <row r="1499" spans="1:11" x14ac:dyDescent="0.25">
      <c r="A1499" t="s">
        <v>332</v>
      </c>
      <c r="B1499" t="str">
        <f>"03171"</f>
        <v>03171</v>
      </c>
      <c r="C1499" t="str">
        <f>"001"</f>
        <v>001</v>
      </c>
      <c r="D1499">
        <v>2002</v>
      </c>
      <c r="E1499">
        <v>4461200</v>
      </c>
      <c r="F1499">
        <v>1202800</v>
      </c>
      <c r="G1499" t="s">
        <v>11</v>
      </c>
      <c r="H1499" t="s">
        <v>38</v>
      </c>
      <c r="I1499" t="s">
        <v>13</v>
      </c>
      <c r="J1499" t="s">
        <v>13</v>
      </c>
    </row>
    <row r="1500" spans="1:11" x14ac:dyDescent="0.25">
      <c r="A1500" t="s">
        <v>39</v>
      </c>
      <c r="B1500" t="s">
        <v>13</v>
      </c>
      <c r="C1500" t="s">
        <v>7</v>
      </c>
      <c r="D1500" t="s">
        <v>8</v>
      </c>
      <c r="E1500">
        <v>4461200</v>
      </c>
      <c r="F1500">
        <v>1202800</v>
      </c>
      <c r="G1500" t="s">
        <v>11</v>
      </c>
      <c r="H1500">
        <v>19104200</v>
      </c>
      <c r="I1500" t="s">
        <v>13</v>
      </c>
      <c r="J1500" t="s">
        <v>13</v>
      </c>
      <c r="K1500">
        <v>6.3</v>
      </c>
    </row>
    <row r="1502" spans="1:11" x14ac:dyDescent="0.25">
      <c r="A1502" t="s">
        <v>333</v>
      </c>
      <c r="B1502" t="str">
        <f>"50171"</f>
        <v>50171</v>
      </c>
      <c r="C1502" t="str">
        <f>"003"</f>
        <v>003</v>
      </c>
      <c r="D1502">
        <v>2011</v>
      </c>
      <c r="E1502">
        <v>85200</v>
      </c>
      <c r="F1502">
        <v>23200</v>
      </c>
      <c r="G1502" t="s">
        <v>11</v>
      </c>
      <c r="H1502" t="s">
        <v>38</v>
      </c>
      <c r="I1502" t="s">
        <v>13</v>
      </c>
      <c r="J1502" t="s">
        <v>13</v>
      </c>
    </row>
    <row r="1503" spans="1:11" x14ac:dyDescent="0.25">
      <c r="A1503" t="s">
        <v>39</v>
      </c>
      <c r="B1503" t="s">
        <v>13</v>
      </c>
      <c r="C1503" t="s">
        <v>7</v>
      </c>
      <c r="D1503" t="s">
        <v>8</v>
      </c>
      <c r="E1503">
        <v>85200</v>
      </c>
      <c r="F1503">
        <v>23200</v>
      </c>
      <c r="G1503" t="s">
        <v>11</v>
      </c>
      <c r="H1503">
        <v>29465200</v>
      </c>
      <c r="I1503" t="s">
        <v>13</v>
      </c>
      <c r="J1503" t="s">
        <v>13</v>
      </c>
      <c r="K1503">
        <v>0.08</v>
      </c>
    </row>
    <row r="1505" spans="1:11" x14ac:dyDescent="0.25">
      <c r="A1505" t="s">
        <v>334</v>
      </c>
      <c r="B1505" t="str">
        <f>"47271"</f>
        <v>47271</v>
      </c>
      <c r="C1505" t="str">
        <f>"003"</f>
        <v>003</v>
      </c>
      <c r="D1505">
        <v>2000</v>
      </c>
      <c r="E1505">
        <v>15396000</v>
      </c>
      <c r="F1505">
        <v>12351600</v>
      </c>
      <c r="G1505" t="s">
        <v>11</v>
      </c>
      <c r="H1505" t="s">
        <v>38</v>
      </c>
      <c r="I1505" t="s">
        <v>13</v>
      </c>
      <c r="J1505" t="s">
        <v>13</v>
      </c>
    </row>
    <row r="1506" spans="1:11" x14ac:dyDescent="0.25">
      <c r="A1506" t="s">
        <v>5</v>
      </c>
      <c r="B1506" t="str">
        <f>"47271"</f>
        <v>47271</v>
      </c>
      <c r="C1506" t="str">
        <f>"004"</f>
        <v>004</v>
      </c>
      <c r="D1506">
        <v>2003</v>
      </c>
      <c r="E1506">
        <v>24378800</v>
      </c>
      <c r="F1506">
        <v>14797500</v>
      </c>
      <c r="G1506" t="s">
        <v>11</v>
      </c>
      <c r="H1506" t="s">
        <v>38</v>
      </c>
      <c r="I1506" t="s">
        <v>13</v>
      </c>
      <c r="J1506" t="s">
        <v>13</v>
      </c>
    </row>
    <row r="1507" spans="1:11" x14ac:dyDescent="0.25">
      <c r="A1507" t="s">
        <v>5</v>
      </c>
      <c r="B1507" t="str">
        <f>"47271"</f>
        <v>47271</v>
      </c>
      <c r="C1507" t="str">
        <f>"005"</f>
        <v>005</v>
      </c>
      <c r="D1507">
        <v>2006</v>
      </c>
      <c r="E1507">
        <v>43164100</v>
      </c>
      <c r="F1507">
        <v>40438300</v>
      </c>
      <c r="G1507" t="s">
        <v>11</v>
      </c>
      <c r="H1507" t="s">
        <v>38</v>
      </c>
      <c r="I1507" t="s">
        <v>13</v>
      </c>
      <c r="J1507" t="s">
        <v>13</v>
      </c>
    </row>
    <row r="1508" spans="1:11" x14ac:dyDescent="0.25">
      <c r="A1508" t="s">
        <v>39</v>
      </c>
      <c r="B1508" t="s">
        <v>13</v>
      </c>
      <c r="C1508" t="s">
        <v>7</v>
      </c>
      <c r="D1508" t="s">
        <v>8</v>
      </c>
      <c r="E1508">
        <v>82938900</v>
      </c>
      <c r="F1508">
        <v>67587400</v>
      </c>
      <c r="G1508" t="s">
        <v>11</v>
      </c>
      <c r="H1508">
        <v>398453900</v>
      </c>
      <c r="I1508" t="s">
        <v>13</v>
      </c>
      <c r="J1508" t="s">
        <v>13</v>
      </c>
      <c r="K1508">
        <v>16.96</v>
      </c>
    </row>
    <row r="1510" spans="1:11" x14ac:dyDescent="0.25">
      <c r="A1510" t="s">
        <v>335</v>
      </c>
      <c r="B1510" t="str">
        <f>"24271"</f>
        <v>24271</v>
      </c>
      <c r="C1510" t="str">
        <f>"002"</f>
        <v>002</v>
      </c>
      <c r="D1510">
        <v>2001</v>
      </c>
      <c r="E1510">
        <v>4893900</v>
      </c>
      <c r="F1510">
        <v>-216700</v>
      </c>
      <c r="G1510" t="s">
        <v>49</v>
      </c>
      <c r="H1510" t="s">
        <v>38</v>
      </c>
      <c r="I1510" t="s">
        <v>13</v>
      </c>
      <c r="J1510" t="s">
        <v>13</v>
      </c>
    </row>
    <row r="1511" spans="1:11" x14ac:dyDescent="0.25">
      <c r="A1511" t="s">
        <v>39</v>
      </c>
      <c r="B1511" t="s">
        <v>13</v>
      </c>
      <c r="C1511" t="s">
        <v>7</v>
      </c>
      <c r="D1511" t="s">
        <v>8</v>
      </c>
      <c r="E1511">
        <v>4893900</v>
      </c>
      <c r="F1511">
        <v>0</v>
      </c>
      <c r="G1511" t="s">
        <v>11</v>
      </c>
      <c r="H1511">
        <v>54380700</v>
      </c>
      <c r="I1511" t="s">
        <v>13</v>
      </c>
      <c r="J1511" t="s">
        <v>13</v>
      </c>
      <c r="K1511">
        <v>0</v>
      </c>
    </row>
    <row r="1513" spans="1:11" x14ac:dyDescent="0.25">
      <c r="A1513" t="s">
        <v>336</v>
      </c>
      <c r="B1513" t="str">
        <f>"05171"</f>
        <v>05171</v>
      </c>
      <c r="C1513" t="str">
        <f>"002"</f>
        <v>002</v>
      </c>
      <c r="D1513">
        <v>2005</v>
      </c>
      <c r="E1513">
        <v>20813400</v>
      </c>
      <c r="F1513">
        <v>10452300</v>
      </c>
      <c r="G1513" t="s">
        <v>11</v>
      </c>
      <c r="H1513" t="s">
        <v>38</v>
      </c>
      <c r="I1513" t="s">
        <v>13</v>
      </c>
      <c r="J1513" t="s">
        <v>13</v>
      </c>
    </row>
    <row r="1514" spans="1:11" x14ac:dyDescent="0.25">
      <c r="A1514" t="s">
        <v>5</v>
      </c>
      <c r="B1514" t="str">
        <f>"05171"</f>
        <v>05171</v>
      </c>
      <c r="C1514" t="str">
        <f>"003"</f>
        <v>003</v>
      </c>
      <c r="D1514">
        <v>2014</v>
      </c>
      <c r="E1514">
        <v>5692300</v>
      </c>
      <c r="F1514">
        <v>-307700</v>
      </c>
      <c r="G1514" t="s">
        <v>49</v>
      </c>
      <c r="H1514" t="s">
        <v>38</v>
      </c>
      <c r="I1514" t="s">
        <v>13</v>
      </c>
      <c r="J1514" t="s">
        <v>13</v>
      </c>
    </row>
    <row r="1515" spans="1:11" x14ac:dyDescent="0.25">
      <c r="A1515" t="s">
        <v>5</v>
      </c>
      <c r="B1515" t="str">
        <f>"05171"</f>
        <v>05171</v>
      </c>
      <c r="C1515" t="str">
        <f>"004"</f>
        <v>004</v>
      </c>
      <c r="D1515">
        <v>2015</v>
      </c>
      <c r="E1515">
        <v>14608100</v>
      </c>
      <c r="F1515">
        <v>12705800</v>
      </c>
      <c r="G1515" t="s">
        <v>11</v>
      </c>
      <c r="H1515" t="s">
        <v>38</v>
      </c>
      <c r="I1515" t="s">
        <v>13</v>
      </c>
      <c r="J1515" t="s">
        <v>13</v>
      </c>
    </row>
    <row r="1516" spans="1:11" x14ac:dyDescent="0.25">
      <c r="A1516" t="s">
        <v>39</v>
      </c>
      <c r="B1516" t="s">
        <v>13</v>
      </c>
      <c r="C1516" t="s">
        <v>7</v>
      </c>
      <c r="D1516" t="s">
        <v>8</v>
      </c>
      <c r="E1516">
        <v>41113800</v>
      </c>
      <c r="F1516">
        <v>23158100</v>
      </c>
      <c r="G1516" t="s">
        <v>11</v>
      </c>
      <c r="H1516">
        <v>236223900</v>
      </c>
      <c r="I1516" t="s">
        <v>13</v>
      </c>
      <c r="J1516" t="s">
        <v>13</v>
      </c>
      <c r="K1516">
        <v>9.8000000000000007</v>
      </c>
    </row>
    <row r="1518" spans="1:11" x14ac:dyDescent="0.25">
      <c r="A1518" t="s">
        <v>337</v>
      </c>
      <c r="B1518" t="str">
        <f t="shared" ref="B1518:B1529" si="28">"51276"</f>
        <v>51276</v>
      </c>
      <c r="C1518" t="str">
        <f>"002"</f>
        <v>002</v>
      </c>
      <c r="D1518">
        <v>1983</v>
      </c>
      <c r="E1518">
        <v>27699300</v>
      </c>
      <c r="F1518">
        <v>25304600</v>
      </c>
      <c r="G1518" t="s">
        <v>11</v>
      </c>
      <c r="H1518" t="s">
        <v>38</v>
      </c>
      <c r="I1518" t="s">
        <v>13</v>
      </c>
      <c r="J1518" t="s">
        <v>13</v>
      </c>
    </row>
    <row r="1519" spans="1:11" x14ac:dyDescent="0.25">
      <c r="A1519" t="s">
        <v>5</v>
      </c>
      <c r="B1519" t="str">
        <f t="shared" si="28"/>
        <v>51276</v>
      </c>
      <c r="C1519" t="str">
        <f>"009"</f>
        <v>009</v>
      </c>
      <c r="D1519">
        <v>2000</v>
      </c>
      <c r="E1519">
        <v>31087200</v>
      </c>
      <c r="F1519">
        <v>30209600</v>
      </c>
      <c r="G1519" t="s">
        <v>11</v>
      </c>
      <c r="H1519" t="s">
        <v>38</v>
      </c>
      <c r="I1519" t="s">
        <v>13</v>
      </c>
      <c r="J1519" t="s">
        <v>13</v>
      </c>
    </row>
    <row r="1520" spans="1:11" x14ac:dyDescent="0.25">
      <c r="A1520" t="s">
        <v>5</v>
      </c>
      <c r="B1520" t="str">
        <f t="shared" si="28"/>
        <v>51276</v>
      </c>
      <c r="C1520" t="str">
        <f>"010"</f>
        <v>010</v>
      </c>
      <c r="D1520">
        <v>2003</v>
      </c>
      <c r="E1520">
        <v>959900</v>
      </c>
      <c r="F1520">
        <v>-220500</v>
      </c>
      <c r="G1520" t="s">
        <v>49</v>
      </c>
      <c r="H1520" t="s">
        <v>38</v>
      </c>
      <c r="I1520" t="s">
        <v>13</v>
      </c>
      <c r="J1520" t="s">
        <v>13</v>
      </c>
    </row>
    <row r="1521" spans="1:11" x14ac:dyDescent="0.25">
      <c r="A1521" t="s">
        <v>5</v>
      </c>
      <c r="B1521" t="str">
        <f t="shared" si="28"/>
        <v>51276</v>
      </c>
      <c r="C1521" t="str">
        <f>"011"</f>
        <v>011</v>
      </c>
      <c r="D1521">
        <v>2005</v>
      </c>
      <c r="E1521">
        <v>5759900</v>
      </c>
      <c r="F1521">
        <v>2580200</v>
      </c>
      <c r="G1521" t="s">
        <v>11</v>
      </c>
      <c r="H1521" t="s">
        <v>38</v>
      </c>
      <c r="I1521" t="s">
        <v>13</v>
      </c>
      <c r="J1521" t="s">
        <v>13</v>
      </c>
    </row>
    <row r="1522" spans="1:11" x14ac:dyDescent="0.25">
      <c r="A1522" t="s">
        <v>5</v>
      </c>
      <c r="B1522" t="str">
        <f t="shared" si="28"/>
        <v>51276</v>
      </c>
      <c r="C1522" t="str">
        <f>"012"</f>
        <v>012</v>
      </c>
      <c r="D1522">
        <v>2006</v>
      </c>
      <c r="E1522">
        <v>6344800</v>
      </c>
      <c r="F1522">
        <v>5966800</v>
      </c>
      <c r="G1522" t="s">
        <v>11</v>
      </c>
      <c r="H1522" t="s">
        <v>38</v>
      </c>
      <c r="I1522" t="s">
        <v>13</v>
      </c>
      <c r="J1522" t="s">
        <v>13</v>
      </c>
    </row>
    <row r="1523" spans="1:11" x14ac:dyDescent="0.25">
      <c r="A1523" t="s">
        <v>5</v>
      </c>
      <c r="B1523" t="str">
        <f t="shared" si="28"/>
        <v>51276</v>
      </c>
      <c r="C1523" t="str">
        <f>"013"</f>
        <v>013</v>
      </c>
      <c r="D1523">
        <v>2006</v>
      </c>
      <c r="E1523">
        <v>9482400</v>
      </c>
      <c r="F1523">
        <v>9170100</v>
      </c>
      <c r="G1523" t="s">
        <v>11</v>
      </c>
      <c r="H1523" t="s">
        <v>38</v>
      </c>
      <c r="I1523" t="s">
        <v>13</v>
      </c>
      <c r="J1523" t="s">
        <v>13</v>
      </c>
    </row>
    <row r="1524" spans="1:11" x14ac:dyDescent="0.25">
      <c r="A1524" t="s">
        <v>5</v>
      </c>
      <c r="B1524" t="str">
        <f t="shared" si="28"/>
        <v>51276</v>
      </c>
      <c r="C1524" t="str">
        <f>"014"</f>
        <v>014</v>
      </c>
      <c r="D1524">
        <v>2006</v>
      </c>
      <c r="E1524">
        <v>4194900</v>
      </c>
      <c r="F1524">
        <v>91700</v>
      </c>
      <c r="G1524" t="s">
        <v>11</v>
      </c>
      <c r="H1524" t="s">
        <v>38</v>
      </c>
      <c r="I1524" t="s">
        <v>13</v>
      </c>
      <c r="J1524" t="s">
        <v>13</v>
      </c>
    </row>
    <row r="1525" spans="1:11" x14ac:dyDescent="0.25">
      <c r="A1525" t="s">
        <v>5</v>
      </c>
      <c r="B1525" t="str">
        <f t="shared" si="28"/>
        <v>51276</v>
      </c>
      <c r="C1525" t="str">
        <f>"016"</f>
        <v>016</v>
      </c>
      <c r="D1525">
        <v>2009</v>
      </c>
      <c r="E1525">
        <v>35992400</v>
      </c>
      <c r="F1525">
        <v>-2225000</v>
      </c>
      <c r="G1525" t="s">
        <v>49</v>
      </c>
      <c r="H1525" t="s">
        <v>38</v>
      </c>
      <c r="I1525" t="s">
        <v>13</v>
      </c>
      <c r="J1525" t="s">
        <v>13</v>
      </c>
    </row>
    <row r="1526" spans="1:11" x14ac:dyDescent="0.25">
      <c r="A1526" t="s">
        <v>5</v>
      </c>
      <c r="B1526" t="str">
        <f t="shared" si="28"/>
        <v>51276</v>
      </c>
      <c r="C1526" t="str">
        <f>"017"</f>
        <v>017</v>
      </c>
      <c r="D1526">
        <v>2012</v>
      </c>
      <c r="E1526">
        <v>404300</v>
      </c>
      <c r="F1526">
        <v>-920300</v>
      </c>
      <c r="G1526" t="s">
        <v>49</v>
      </c>
      <c r="H1526" t="s">
        <v>38</v>
      </c>
      <c r="I1526" t="s">
        <v>13</v>
      </c>
      <c r="J1526" t="s">
        <v>13</v>
      </c>
    </row>
    <row r="1527" spans="1:11" x14ac:dyDescent="0.25">
      <c r="A1527" t="s">
        <v>5</v>
      </c>
      <c r="B1527" t="str">
        <f t="shared" si="28"/>
        <v>51276</v>
      </c>
      <c r="C1527" t="str">
        <f>"018"</f>
        <v>018</v>
      </c>
      <c r="D1527">
        <v>2014</v>
      </c>
      <c r="E1527">
        <v>3521600</v>
      </c>
      <c r="F1527">
        <v>-6728500</v>
      </c>
      <c r="G1527" t="s">
        <v>49</v>
      </c>
      <c r="H1527" t="s">
        <v>38</v>
      </c>
      <c r="I1527" t="s">
        <v>13</v>
      </c>
      <c r="J1527" t="s">
        <v>13</v>
      </c>
    </row>
    <row r="1528" spans="1:11" x14ac:dyDescent="0.25">
      <c r="A1528" t="s">
        <v>5</v>
      </c>
      <c r="B1528" t="str">
        <f t="shared" si="28"/>
        <v>51276</v>
      </c>
      <c r="C1528" t="str">
        <f>"019"</f>
        <v>019</v>
      </c>
      <c r="D1528">
        <v>2016</v>
      </c>
      <c r="E1528">
        <v>39820800</v>
      </c>
      <c r="F1528">
        <v>1626400</v>
      </c>
      <c r="G1528" t="s">
        <v>11</v>
      </c>
      <c r="H1528" t="s">
        <v>38</v>
      </c>
      <c r="I1528" t="s">
        <v>13</v>
      </c>
      <c r="J1528" t="s">
        <v>13</v>
      </c>
    </row>
    <row r="1529" spans="1:11" x14ac:dyDescent="0.25">
      <c r="A1529" t="s">
        <v>5</v>
      </c>
      <c r="B1529" t="str">
        <f t="shared" si="28"/>
        <v>51276</v>
      </c>
      <c r="C1529" t="str">
        <f>"020"</f>
        <v>020</v>
      </c>
      <c r="D1529">
        <v>2017</v>
      </c>
      <c r="E1529">
        <v>54624700</v>
      </c>
      <c r="F1529">
        <v>-5345300</v>
      </c>
      <c r="G1529" t="s">
        <v>49</v>
      </c>
      <c r="H1529" t="s">
        <v>38</v>
      </c>
      <c r="I1529" t="s">
        <v>13</v>
      </c>
      <c r="J1529" t="s">
        <v>13</v>
      </c>
    </row>
    <row r="1530" spans="1:11" x14ac:dyDescent="0.25">
      <c r="A1530" t="s">
        <v>39</v>
      </c>
      <c r="B1530" t="s">
        <v>13</v>
      </c>
      <c r="C1530" t="s">
        <v>7</v>
      </c>
      <c r="D1530" t="s">
        <v>8</v>
      </c>
      <c r="E1530">
        <v>219892200</v>
      </c>
      <c r="F1530">
        <v>74949400</v>
      </c>
      <c r="G1530" t="s">
        <v>11</v>
      </c>
      <c r="H1530">
        <v>3718970500</v>
      </c>
      <c r="I1530" t="s">
        <v>13</v>
      </c>
      <c r="J1530" t="s">
        <v>13</v>
      </c>
      <c r="K1530">
        <v>2.02</v>
      </c>
    </row>
    <row r="1532" spans="1:11" x14ac:dyDescent="0.25">
      <c r="A1532" t="s">
        <v>338</v>
      </c>
      <c r="B1532" t="str">
        <f>"14176"</f>
        <v>14176</v>
      </c>
      <c r="C1532" t="str">
        <f>"001"</f>
        <v>001</v>
      </c>
      <c r="D1532">
        <v>1993</v>
      </c>
      <c r="E1532">
        <v>14274000</v>
      </c>
      <c r="F1532">
        <v>11852800</v>
      </c>
      <c r="G1532" t="s">
        <v>11</v>
      </c>
      <c r="H1532" t="s">
        <v>38</v>
      </c>
      <c r="I1532" t="s">
        <v>13</v>
      </c>
      <c r="J1532" t="s">
        <v>13</v>
      </c>
    </row>
    <row r="1533" spans="1:11" x14ac:dyDescent="0.25">
      <c r="A1533" t="s">
        <v>5</v>
      </c>
      <c r="B1533" t="str">
        <f>"14176"</f>
        <v>14176</v>
      </c>
      <c r="C1533" t="str">
        <f>"002"</f>
        <v>002</v>
      </c>
      <c r="D1533">
        <v>1995</v>
      </c>
      <c r="E1533">
        <v>11437500</v>
      </c>
      <c r="F1533">
        <v>7238200</v>
      </c>
      <c r="G1533" t="s">
        <v>11</v>
      </c>
      <c r="H1533" t="s">
        <v>38</v>
      </c>
      <c r="I1533" t="s">
        <v>13</v>
      </c>
      <c r="J1533" t="s">
        <v>13</v>
      </c>
    </row>
    <row r="1534" spans="1:11" x14ac:dyDescent="0.25">
      <c r="A1534" t="s">
        <v>5</v>
      </c>
      <c r="B1534" t="str">
        <f>"11176"</f>
        <v>11176</v>
      </c>
      <c r="C1534" t="str">
        <f>"002"</f>
        <v>002</v>
      </c>
      <c r="D1534">
        <v>1995</v>
      </c>
      <c r="E1534">
        <v>4679400</v>
      </c>
      <c r="F1534">
        <v>2190900</v>
      </c>
      <c r="G1534" t="s">
        <v>11</v>
      </c>
      <c r="H1534" t="s">
        <v>38</v>
      </c>
      <c r="I1534" t="s">
        <v>13</v>
      </c>
      <c r="J1534" t="s">
        <v>13</v>
      </c>
    </row>
    <row r="1535" spans="1:11" x14ac:dyDescent="0.25">
      <c r="A1535" t="s">
        <v>39</v>
      </c>
      <c r="B1535" t="s">
        <v>13</v>
      </c>
      <c r="C1535" t="s">
        <v>7</v>
      </c>
      <c r="D1535" t="s">
        <v>8</v>
      </c>
      <c r="E1535">
        <v>30390900</v>
      </c>
      <c r="F1535">
        <v>21281900</v>
      </c>
      <c r="G1535" t="s">
        <v>11</v>
      </c>
      <c r="H1535">
        <v>103694900</v>
      </c>
      <c r="I1535" t="s">
        <v>13</v>
      </c>
      <c r="J1535" t="s">
        <v>13</v>
      </c>
      <c r="K1535">
        <v>20.52</v>
      </c>
    </row>
    <row r="1537" spans="1:11" x14ac:dyDescent="0.25">
      <c r="A1537" t="s">
        <v>339</v>
      </c>
      <c r="B1537" t="str">
        <f>"59176"</f>
        <v>59176</v>
      </c>
      <c r="C1537" t="str">
        <f>"003"</f>
        <v>003</v>
      </c>
      <c r="D1537">
        <v>2014</v>
      </c>
      <c r="E1537">
        <v>2810100</v>
      </c>
      <c r="F1537">
        <v>1413000</v>
      </c>
      <c r="G1537" t="s">
        <v>11</v>
      </c>
      <c r="H1537" t="s">
        <v>38</v>
      </c>
      <c r="I1537" t="s">
        <v>13</v>
      </c>
      <c r="J1537" t="s">
        <v>13</v>
      </c>
    </row>
    <row r="1538" spans="1:11" x14ac:dyDescent="0.25">
      <c r="A1538" t="s">
        <v>39</v>
      </c>
      <c r="B1538" t="s">
        <v>13</v>
      </c>
      <c r="C1538" t="s">
        <v>7</v>
      </c>
      <c r="D1538" t="s">
        <v>8</v>
      </c>
      <c r="E1538">
        <v>2810100</v>
      </c>
      <c r="F1538">
        <v>1413000</v>
      </c>
      <c r="G1538" t="s">
        <v>11</v>
      </c>
      <c r="H1538">
        <v>154137100</v>
      </c>
      <c r="I1538" t="s">
        <v>13</v>
      </c>
      <c r="J1538" t="s">
        <v>13</v>
      </c>
      <c r="K1538">
        <v>0.92</v>
      </c>
    </row>
    <row r="1540" spans="1:11" x14ac:dyDescent="0.25">
      <c r="A1540" t="s">
        <v>340</v>
      </c>
      <c r="B1540" t="str">
        <f>"69176"</f>
        <v>69176</v>
      </c>
      <c r="C1540" t="str">
        <f>"001"</f>
        <v>001</v>
      </c>
      <c r="D1540">
        <v>1997</v>
      </c>
      <c r="E1540">
        <v>11770300</v>
      </c>
      <c r="F1540">
        <v>10311300</v>
      </c>
      <c r="G1540" t="s">
        <v>11</v>
      </c>
      <c r="H1540" t="s">
        <v>38</v>
      </c>
      <c r="I1540" t="s">
        <v>13</v>
      </c>
      <c r="J1540" t="s">
        <v>13</v>
      </c>
    </row>
    <row r="1541" spans="1:11" x14ac:dyDescent="0.25">
      <c r="A1541" t="s">
        <v>5</v>
      </c>
      <c r="B1541" t="str">
        <f>"69176"</f>
        <v>69176</v>
      </c>
      <c r="C1541" t="str">
        <f>"002"</f>
        <v>002</v>
      </c>
      <c r="D1541">
        <v>1997</v>
      </c>
      <c r="E1541">
        <v>440000</v>
      </c>
      <c r="F1541">
        <v>393800</v>
      </c>
      <c r="G1541" t="s">
        <v>11</v>
      </c>
      <c r="H1541" t="s">
        <v>38</v>
      </c>
      <c r="I1541" t="s">
        <v>13</v>
      </c>
      <c r="J1541" t="s">
        <v>13</v>
      </c>
    </row>
    <row r="1542" spans="1:11" x14ac:dyDescent="0.25">
      <c r="A1542" t="s">
        <v>39</v>
      </c>
      <c r="B1542" t="s">
        <v>13</v>
      </c>
      <c r="C1542" t="s">
        <v>7</v>
      </c>
      <c r="D1542" t="s">
        <v>8</v>
      </c>
      <c r="E1542">
        <v>12210300</v>
      </c>
      <c r="F1542">
        <v>10705100</v>
      </c>
      <c r="G1542" t="s">
        <v>11</v>
      </c>
      <c r="H1542">
        <v>49738600</v>
      </c>
      <c r="I1542" t="s">
        <v>13</v>
      </c>
      <c r="J1542" t="s">
        <v>13</v>
      </c>
      <c r="K1542">
        <v>21.52</v>
      </c>
    </row>
    <row r="1544" spans="1:11" x14ac:dyDescent="0.25">
      <c r="A1544" t="s">
        <v>341</v>
      </c>
      <c r="B1544" t="str">
        <f t="shared" ref="B1544:B1550" si="29">"56276"</f>
        <v>56276</v>
      </c>
      <c r="C1544" t="str">
        <f>"003"</f>
        <v>003</v>
      </c>
      <c r="D1544">
        <v>1998</v>
      </c>
      <c r="E1544">
        <v>4462500</v>
      </c>
      <c r="F1544">
        <v>3213100</v>
      </c>
      <c r="G1544" t="s">
        <v>11</v>
      </c>
      <c r="H1544" t="s">
        <v>38</v>
      </c>
      <c r="I1544" t="s">
        <v>13</v>
      </c>
      <c r="J1544" t="s">
        <v>13</v>
      </c>
    </row>
    <row r="1545" spans="1:11" x14ac:dyDescent="0.25">
      <c r="A1545" t="s">
        <v>5</v>
      </c>
      <c r="B1545" t="str">
        <f t="shared" si="29"/>
        <v>56276</v>
      </c>
      <c r="C1545" t="str">
        <f>"004"</f>
        <v>004</v>
      </c>
      <c r="D1545">
        <v>1998</v>
      </c>
      <c r="E1545">
        <v>18703100</v>
      </c>
      <c r="F1545">
        <v>14617200</v>
      </c>
      <c r="G1545" t="s">
        <v>11</v>
      </c>
      <c r="H1545" t="s">
        <v>38</v>
      </c>
      <c r="I1545" t="s">
        <v>13</v>
      </c>
      <c r="J1545" t="s">
        <v>13</v>
      </c>
    </row>
    <row r="1546" spans="1:11" x14ac:dyDescent="0.25">
      <c r="A1546" t="s">
        <v>5</v>
      </c>
      <c r="B1546" t="str">
        <f t="shared" si="29"/>
        <v>56276</v>
      </c>
      <c r="C1546" t="str">
        <f>"005"</f>
        <v>005</v>
      </c>
      <c r="D1546">
        <v>2000</v>
      </c>
      <c r="E1546">
        <v>4605900</v>
      </c>
      <c r="F1546">
        <v>3296900</v>
      </c>
      <c r="G1546" t="s">
        <v>11</v>
      </c>
      <c r="H1546" t="s">
        <v>38</v>
      </c>
      <c r="I1546" t="s">
        <v>13</v>
      </c>
      <c r="J1546" t="s">
        <v>13</v>
      </c>
    </row>
    <row r="1547" spans="1:11" x14ac:dyDescent="0.25">
      <c r="A1547" t="s">
        <v>5</v>
      </c>
      <c r="B1547" t="str">
        <f t="shared" si="29"/>
        <v>56276</v>
      </c>
      <c r="C1547" t="str">
        <f>"006"</f>
        <v>006</v>
      </c>
      <c r="D1547">
        <v>2000</v>
      </c>
      <c r="E1547">
        <v>12380300</v>
      </c>
      <c r="F1547">
        <v>2185000</v>
      </c>
      <c r="G1547" t="s">
        <v>11</v>
      </c>
      <c r="H1547" t="s">
        <v>38</v>
      </c>
      <c r="I1547" t="s">
        <v>13</v>
      </c>
      <c r="J1547" t="s">
        <v>13</v>
      </c>
    </row>
    <row r="1548" spans="1:11" x14ac:dyDescent="0.25">
      <c r="A1548" t="s">
        <v>5</v>
      </c>
      <c r="B1548" t="str">
        <f t="shared" si="29"/>
        <v>56276</v>
      </c>
      <c r="C1548" t="str">
        <f>"007"</f>
        <v>007</v>
      </c>
      <c r="D1548">
        <v>2001</v>
      </c>
      <c r="E1548">
        <v>934800</v>
      </c>
      <c r="F1548">
        <v>787200</v>
      </c>
      <c r="G1548" t="s">
        <v>11</v>
      </c>
      <c r="H1548" t="s">
        <v>38</v>
      </c>
      <c r="I1548" t="s">
        <v>13</v>
      </c>
      <c r="J1548" t="s">
        <v>13</v>
      </c>
    </row>
    <row r="1549" spans="1:11" x14ac:dyDescent="0.25">
      <c r="A1549" t="s">
        <v>5</v>
      </c>
      <c r="B1549" t="str">
        <f t="shared" si="29"/>
        <v>56276</v>
      </c>
      <c r="C1549" t="str">
        <f>"008"</f>
        <v>008</v>
      </c>
      <c r="D1549">
        <v>2008</v>
      </c>
      <c r="E1549">
        <v>4715900</v>
      </c>
      <c r="F1549">
        <v>3096200</v>
      </c>
      <c r="G1549" t="s">
        <v>11</v>
      </c>
      <c r="H1549" t="s">
        <v>38</v>
      </c>
      <c r="I1549" t="s">
        <v>13</v>
      </c>
      <c r="J1549" t="s">
        <v>13</v>
      </c>
    </row>
    <row r="1550" spans="1:11" x14ac:dyDescent="0.25">
      <c r="A1550" t="s">
        <v>5</v>
      </c>
      <c r="B1550" t="str">
        <f t="shared" si="29"/>
        <v>56276</v>
      </c>
      <c r="C1550" t="str">
        <f>"009"</f>
        <v>009</v>
      </c>
      <c r="D1550">
        <v>2016</v>
      </c>
      <c r="E1550">
        <v>49168700</v>
      </c>
      <c r="F1550">
        <v>16887600</v>
      </c>
      <c r="G1550" t="s">
        <v>11</v>
      </c>
      <c r="H1550" t="s">
        <v>38</v>
      </c>
      <c r="I1550" t="s">
        <v>13</v>
      </c>
      <c r="J1550" t="s">
        <v>13</v>
      </c>
    </row>
    <row r="1551" spans="1:11" x14ac:dyDescent="0.25">
      <c r="A1551" t="s">
        <v>39</v>
      </c>
      <c r="B1551" t="s">
        <v>13</v>
      </c>
      <c r="C1551" t="s">
        <v>7</v>
      </c>
      <c r="D1551" t="s">
        <v>8</v>
      </c>
      <c r="E1551">
        <v>94971200</v>
      </c>
      <c r="F1551">
        <v>44083200</v>
      </c>
      <c r="G1551" t="s">
        <v>11</v>
      </c>
      <c r="H1551">
        <v>662445700</v>
      </c>
      <c r="I1551" t="s">
        <v>13</v>
      </c>
      <c r="J1551" t="s">
        <v>13</v>
      </c>
      <c r="K1551">
        <v>6.65</v>
      </c>
    </row>
    <row r="1553" spans="1:11" x14ac:dyDescent="0.25">
      <c r="A1553" t="s">
        <v>342</v>
      </c>
      <c r="B1553" t="str">
        <f>"14177"</f>
        <v>14177</v>
      </c>
      <c r="C1553" t="str">
        <f>"002"</f>
        <v>002</v>
      </c>
      <c r="D1553">
        <v>1998</v>
      </c>
      <c r="E1553">
        <v>8600</v>
      </c>
      <c r="F1553">
        <v>-18300</v>
      </c>
      <c r="G1553" t="s">
        <v>49</v>
      </c>
      <c r="H1553" t="s">
        <v>38</v>
      </c>
      <c r="I1553" t="s">
        <v>13</v>
      </c>
      <c r="J1553" t="s">
        <v>13</v>
      </c>
    </row>
    <row r="1554" spans="1:11" x14ac:dyDescent="0.25">
      <c r="A1554" t="s">
        <v>5</v>
      </c>
      <c r="B1554" t="str">
        <f>"14177"</f>
        <v>14177</v>
      </c>
      <c r="C1554" t="str">
        <f>"003"</f>
        <v>003</v>
      </c>
      <c r="D1554">
        <v>2011</v>
      </c>
      <c r="E1554">
        <v>7814400</v>
      </c>
      <c r="F1554">
        <v>6901700</v>
      </c>
      <c r="G1554" t="s">
        <v>11</v>
      </c>
      <c r="H1554" t="s">
        <v>38</v>
      </c>
      <c r="I1554" t="s">
        <v>13</v>
      </c>
      <c r="J1554" t="s">
        <v>13</v>
      </c>
    </row>
    <row r="1555" spans="1:11" x14ac:dyDescent="0.25">
      <c r="A1555" t="s">
        <v>39</v>
      </c>
      <c r="B1555" t="s">
        <v>13</v>
      </c>
      <c r="C1555" t="s">
        <v>7</v>
      </c>
      <c r="D1555" t="s">
        <v>8</v>
      </c>
      <c r="E1555">
        <v>7823000</v>
      </c>
      <c r="F1555">
        <v>6901700</v>
      </c>
      <c r="G1555" t="s">
        <v>11</v>
      </c>
      <c r="H1555">
        <v>38278900</v>
      </c>
      <c r="I1555" t="s">
        <v>13</v>
      </c>
      <c r="J1555" t="s">
        <v>13</v>
      </c>
      <c r="K1555">
        <v>18.03</v>
      </c>
    </row>
    <row r="1557" spans="1:11" x14ac:dyDescent="0.25">
      <c r="A1557" t="s">
        <v>343</v>
      </c>
      <c r="B1557" t="str">
        <f>"43276"</f>
        <v>43276</v>
      </c>
      <c r="C1557" t="str">
        <f>"005"</f>
        <v>005</v>
      </c>
      <c r="D1557">
        <v>2000</v>
      </c>
      <c r="E1557">
        <v>1583900</v>
      </c>
      <c r="F1557">
        <v>617100</v>
      </c>
      <c r="G1557" t="s">
        <v>11</v>
      </c>
      <c r="H1557" t="s">
        <v>38</v>
      </c>
      <c r="I1557" t="s">
        <v>13</v>
      </c>
      <c r="J1557" t="s">
        <v>13</v>
      </c>
    </row>
    <row r="1558" spans="1:11" x14ac:dyDescent="0.25">
      <c r="A1558" t="s">
        <v>5</v>
      </c>
      <c r="B1558" t="str">
        <f>"43276"</f>
        <v>43276</v>
      </c>
      <c r="C1558" t="str">
        <f>"006"</f>
        <v>006</v>
      </c>
      <c r="D1558">
        <v>2002</v>
      </c>
      <c r="E1558">
        <v>20078900</v>
      </c>
      <c r="F1558">
        <v>9095100</v>
      </c>
      <c r="G1558" t="s">
        <v>11</v>
      </c>
      <c r="H1558" t="s">
        <v>38</v>
      </c>
      <c r="I1558" t="s">
        <v>13</v>
      </c>
      <c r="J1558" t="s">
        <v>13</v>
      </c>
    </row>
    <row r="1559" spans="1:11" x14ac:dyDescent="0.25">
      <c r="A1559" t="s">
        <v>5</v>
      </c>
      <c r="B1559" t="str">
        <f>"43276"</f>
        <v>43276</v>
      </c>
      <c r="C1559" t="str">
        <f>"008"</f>
        <v>008</v>
      </c>
      <c r="D1559">
        <v>2010</v>
      </c>
      <c r="E1559">
        <v>45877200</v>
      </c>
      <c r="F1559">
        <v>-3315000</v>
      </c>
      <c r="G1559" t="s">
        <v>49</v>
      </c>
      <c r="H1559" t="s">
        <v>38</v>
      </c>
      <c r="I1559" t="s">
        <v>13</v>
      </c>
      <c r="J1559" t="s">
        <v>13</v>
      </c>
    </row>
    <row r="1560" spans="1:11" x14ac:dyDescent="0.25">
      <c r="A1560" t="s">
        <v>5</v>
      </c>
      <c r="B1560" t="str">
        <f>"43276"</f>
        <v>43276</v>
      </c>
      <c r="C1560" t="str">
        <f>"009"</f>
        <v>009</v>
      </c>
      <c r="D1560">
        <v>2012</v>
      </c>
      <c r="E1560">
        <v>24461200</v>
      </c>
      <c r="F1560">
        <v>24456300</v>
      </c>
      <c r="G1560" t="s">
        <v>11</v>
      </c>
      <c r="H1560" t="s">
        <v>38</v>
      </c>
      <c r="I1560" t="s">
        <v>13</v>
      </c>
      <c r="J1560" t="s">
        <v>13</v>
      </c>
    </row>
    <row r="1561" spans="1:11" x14ac:dyDescent="0.25">
      <c r="A1561" t="s">
        <v>5</v>
      </c>
      <c r="B1561" t="str">
        <f>"43276"</f>
        <v>43276</v>
      </c>
      <c r="C1561" t="str">
        <f>"010"</f>
        <v>010</v>
      </c>
      <c r="D1561">
        <v>2013</v>
      </c>
      <c r="E1561">
        <v>10493800</v>
      </c>
      <c r="F1561">
        <v>4702700</v>
      </c>
      <c r="G1561" t="s">
        <v>11</v>
      </c>
      <c r="H1561" t="s">
        <v>38</v>
      </c>
      <c r="I1561" t="s">
        <v>13</v>
      </c>
      <c r="J1561" t="s">
        <v>13</v>
      </c>
    </row>
    <row r="1562" spans="1:11" x14ac:dyDescent="0.25">
      <c r="A1562" t="s">
        <v>39</v>
      </c>
      <c r="B1562" t="s">
        <v>13</v>
      </c>
      <c r="C1562" t="s">
        <v>7</v>
      </c>
      <c r="D1562" t="s">
        <v>8</v>
      </c>
      <c r="E1562">
        <v>102495000</v>
      </c>
      <c r="F1562">
        <v>38871200</v>
      </c>
      <c r="G1562" t="s">
        <v>11</v>
      </c>
      <c r="H1562">
        <v>609740600</v>
      </c>
      <c r="I1562" t="s">
        <v>13</v>
      </c>
      <c r="J1562" t="s">
        <v>13</v>
      </c>
      <c r="K1562">
        <v>6.38</v>
      </c>
    </row>
    <row r="1564" spans="1:11" x14ac:dyDescent="0.25">
      <c r="A1564" t="s">
        <v>344</v>
      </c>
      <c r="B1564" t="str">
        <f>"60176"</f>
        <v>60176</v>
      </c>
      <c r="C1564" t="str">
        <f>"001"</f>
        <v>001</v>
      </c>
      <c r="D1564">
        <v>1995</v>
      </c>
      <c r="E1564">
        <v>1907200</v>
      </c>
      <c r="F1564">
        <v>1111000</v>
      </c>
      <c r="G1564" t="s">
        <v>11</v>
      </c>
      <c r="H1564" t="s">
        <v>38</v>
      </c>
      <c r="I1564" t="s">
        <v>13</v>
      </c>
      <c r="J1564" t="s">
        <v>13</v>
      </c>
    </row>
    <row r="1565" spans="1:11" x14ac:dyDescent="0.25">
      <c r="A1565" t="s">
        <v>39</v>
      </c>
      <c r="B1565" t="s">
        <v>13</v>
      </c>
      <c r="C1565" t="s">
        <v>7</v>
      </c>
      <c r="D1565" t="s">
        <v>8</v>
      </c>
      <c r="E1565">
        <v>1907200</v>
      </c>
      <c r="F1565">
        <v>1111000</v>
      </c>
      <c r="G1565" t="s">
        <v>11</v>
      </c>
      <c r="H1565">
        <v>34954900</v>
      </c>
      <c r="I1565" t="s">
        <v>13</v>
      </c>
      <c r="J1565" t="s">
        <v>13</v>
      </c>
      <c r="K1565">
        <v>3.18</v>
      </c>
    </row>
    <row r="1567" spans="1:11" x14ac:dyDescent="0.25">
      <c r="A1567" t="s">
        <v>345</v>
      </c>
      <c r="B1567" t="str">
        <f>"03276"</f>
        <v>03276</v>
      </c>
      <c r="C1567" t="str">
        <f>"003"</f>
        <v>003</v>
      </c>
      <c r="D1567">
        <v>2001</v>
      </c>
      <c r="E1567">
        <v>38917000</v>
      </c>
      <c r="F1567">
        <v>17558300</v>
      </c>
      <c r="G1567" t="s">
        <v>11</v>
      </c>
      <c r="H1567" t="s">
        <v>38</v>
      </c>
      <c r="I1567" t="s">
        <v>13</v>
      </c>
      <c r="J1567" t="s">
        <v>13</v>
      </c>
    </row>
    <row r="1568" spans="1:11" x14ac:dyDescent="0.25">
      <c r="A1568" t="s">
        <v>5</v>
      </c>
      <c r="B1568" t="str">
        <f>"03276"</f>
        <v>03276</v>
      </c>
      <c r="C1568" t="str">
        <f>"004"</f>
        <v>004</v>
      </c>
      <c r="D1568">
        <v>2007</v>
      </c>
      <c r="E1568">
        <v>28315100</v>
      </c>
      <c r="F1568">
        <v>24378000</v>
      </c>
      <c r="G1568" t="s">
        <v>11</v>
      </c>
      <c r="H1568" t="s">
        <v>38</v>
      </c>
      <c r="I1568" t="s">
        <v>13</v>
      </c>
      <c r="J1568" t="s">
        <v>13</v>
      </c>
    </row>
    <row r="1569" spans="1:11" x14ac:dyDescent="0.25">
      <c r="A1569" t="s">
        <v>39</v>
      </c>
      <c r="B1569" t="s">
        <v>13</v>
      </c>
      <c r="C1569" t="s">
        <v>7</v>
      </c>
      <c r="D1569" t="s">
        <v>8</v>
      </c>
      <c r="E1569">
        <v>67232100</v>
      </c>
      <c r="F1569">
        <v>41936300</v>
      </c>
      <c r="G1569" t="s">
        <v>11</v>
      </c>
      <c r="H1569">
        <v>744475900</v>
      </c>
      <c r="I1569" t="s">
        <v>13</v>
      </c>
      <c r="J1569" t="s">
        <v>13</v>
      </c>
      <c r="K1569">
        <v>5.63</v>
      </c>
    </row>
    <row r="1571" spans="1:11" x14ac:dyDescent="0.25">
      <c r="A1571" t="s">
        <v>346</v>
      </c>
      <c r="B1571" t="str">
        <f>"52276"</f>
        <v>52276</v>
      </c>
      <c r="C1571" t="str">
        <f>"004"</f>
        <v>004</v>
      </c>
      <c r="D1571">
        <v>1995</v>
      </c>
      <c r="E1571">
        <v>19056200</v>
      </c>
      <c r="F1571">
        <v>3964600</v>
      </c>
      <c r="G1571" t="s">
        <v>11</v>
      </c>
      <c r="H1571" t="s">
        <v>38</v>
      </c>
      <c r="I1571" t="s">
        <v>13</v>
      </c>
      <c r="J1571" t="s">
        <v>13</v>
      </c>
    </row>
    <row r="1572" spans="1:11" x14ac:dyDescent="0.25">
      <c r="A1572" t="s">
        <v>5</v>
      </c>
      <c r="B1572" t="str">
        <f>"52276"</f>
        <v>52276</v>
      </c>
      <c r="C1572" t="str">
        <f>"006"</f>
        <v>006</v>
      </c>
      <c r="D1572">
        <v>2017</v>
      </c>
      <c r="E1572">
        <v>2123200</v>
      </c>
      <c r="F1572">
        <v>2094900</v>
      </c>
      <c r="G1572" t="s">
        <v>11</v>
      </c>
      <c r="H1572" t="s">
        <v>38</v>
      </c>
      <c r="I1572" t="s">
        <v>13</v>
      </c>
      <c r="J1572" t="s">
        <v>13</v>
      </c>
    </row>
    <row r="1573" spans="1:11" x14ac:dyDescent="0.25">
      <c r="A1573" t="s">
        <v>39</v>
      </c>
      <c r="B1573" t="s">
        <v>13</v>
      </c>
      <c r="C1573" t="s">
        <v>7</v>
      </c>
      <c r="D1573" t="s">
        <v>8</v>
      </c>
      <c r="E1573">
        <v>21179400</v>
      </c>
      <c r="F1573">
        <v>6059500</v>
      </c>
      <c r="G1573" t="s">
        <v>11</v>
      </c>
      <c r="H1573">
        <v>303111800</v>
      </c>
      <c r="I1573" t="s">
        <v>13</v>
      </c>
      <c r="J1573" t="s">
        <v>13</v>
      </c>
      <c r="K1573">
        <v>2</v>
      </c>
    </row>
    <row r="1575" spans="1:11" x14ac:dyDescent="0.25">
      <c r="A1575" t="s">
        <v>347</v>
      </c>
      <c r="B1575" t="str">
        <f>"17176"</f>
        <v>17176</v>
      </c>
      <c r="C1575" t="str">
        <f>"001"</f>
        <v>001</v>
      </c>
      <c r="D1575">
        <v>2006</v>
      </c>
      <c r="E1575">
        <v>2791100</v>
      </c>
      <c r="F1575">
        <v>1177100</v>
      </c>
      <c r="G1575" t="s">
        <v>11</v>
      </c>
      <c r="H1575" t="s">
        <v>38</v>
      </c>
      <c r="I1575" t="s">
        <v>13</v>
      </c>
      <c r="J1575" t="s">
        <v>13</v>
      </c>
    </row>
    <row r="1576" spans="1:11" x14ac:dyDescent="0.25">
      <c r="A1576" t="s">
        <v>39</v>
      </c>
      <c r="B1576" t="s">
        <v>13</v>
      </c>
      <c r="C1576" t="s">
        <v>7</v>
      </c>
      <c r="D1576" t="s">
        <v>8</v>
      </c>
      <c r="E1576">
        <v>2791100</v>
      </c>
      <c r="F1576">
        <v>1177100</v>
      </c>
      <c r="G1576" t="s">
        <v>11</v>
      </c>
      <c r="H1576">
        <v>14512700</v>
      </c>
      <c r="I1576" t="s">
        <v>13</v>
      </c>
      <c r="J1576" t="s">
        <v>13</v>
      </c>
      <c r="K1576">
        <v>8.11</v>
      </c>
    </row>
    <row r="1578" spans="1:11" x14ac:dyDescent="0.25">
      <c r="A1578" t="s">
        <v>348</v>
      </c>
      <c r="B1578" t="str">
        <f>"25177"</f>
        <v>25177</v>
      </c>
      <c r="C1578" t="str">
        <f>"001"</f>
        <v>001</v>
      </c>
      <c r="D1578">
        <v>2007</v>
      </c>
      <c r="E1578">
        <v>3553200</v>
      </c>
      <c r="F1578">
        <v>651100</v>
      </c>
      <c r="G1578" t="s">
        <v>11</v>
      </c>
      <c r="H1578" t="s">
        <v>38</v>
      </c>
      <c r="I1578" t="s">
        <v>13</v>
      </c>
      <c r="J1578" t="s">
        <v>13</v>
      </c>
    </row>
    <row r="1579" spans="1:11" x14ac:dyDescent="0.25">
      <c r="A1579" t="s">
        <v>39</v>
      </c>
      <c r="B1579" t="s">
        <v>13</v>
      </c>
      <c r="C1579" t="s">
        <v>7</v>
      </c>
      <c r="D1579" t="s">
        <v>8</v>
      </c>
      <c r="E1579">
        <v>3553200</v>
      </c>
      <c r="F1579">
        <v>651100</v>
      </c>
      <c r="G1579" t="s">
        <v>11</v>
      </c>
      <c r="H1579">
        <v>37463600</v>
      </c>
      <c r="I1579" t="s">
        <v>13</v>
      </c>
      <c r="J1579" t="s">
        <v>13</v>
      </c>
      <c r="K1579">
        <v>1.74</v>
      </c>
    </row>
    <row r="1581" spans="1:11" x14ac:dyDescent="0.25">
      <c r="A1581" t="s">
        <v>349</v>
      </c>
      <c r="B1581" t="str">
        <f>"11177"</f>
        <v>11177</v>
      </c>
      <c r="C1581" t="str">
        <f>"001"</f>
        <v>001</v>
      </c>
      <c r="D1581">
        <v>1988</v>
      </c>
      <c r="E1581">
        <v>3023100</v>
      </c>
      <c r="F1581">
        <v>2471700</v>
      </c>
      <c r="G1581" t="s">
        <v>11</v>
      </c>
      <c r="H1581" t="s">
        <v>38</v>
      </c>
      <c r="I1581" t="s">
        <v>13</v>
      </c>
      <c r="J1581" t="s">
        <v>13</v>
      </c>
    </row>
    <row r="1582" spans="1:11" x14ac:dyDescent="0.25">
      <c r="A1582" t="s">
        <v>5</v>
      </c>
      <c r="B1582" t="str">
        <f>"11177"</f>
        <v>11177</v>
      </c>
      <c r="C1582" t="str">
        <f>"003"</f>
        <v>003</v>
      </c>
      <c r="D1582">
        <v>1996</v>
      </c>
      <c r="E1582">
        <v>6857500</v>
      </c>
      <c r="F1582">
        <v>5589400</v>
      </c>
      <c r="G1582" t="s">
        <v>11</v>
      </c>
      <c r="H1582" t="s">
        <v>38</v>
      </c>
      <c r="I1582" t="s">
        <v>13</v>
      </c>
      <c r="J1582" t="s">
        <v>13</v>
      </c>
    </row>
    <row r="1583" spans="1:11" x14ac:dyDescent="0.25">
      <c r="A1583" t="s">
        <v>39</v>
      </c>
      <c r="B1583" t="s">
        <v>13</v>
      </c>
      <c r="C1583" t="s">
        <v>7</v>
      </c>
      <c r="D1583" t="s">
        <v>8</v>
      </c>
      <c r="E1583">
        <v>9880600</v>
      </c>
      <c r="F1583">
        <v>8061100</v>
      </c>
      <c r="G1583" t="s">
        <v>11</v>
      </c>
      <c r="H1583">
        <v>68429200</v>
      </c>
      <c r="I1583" t="s">
        <v>13</v>
      </c>
      <c r="J1583" t="s">
        <v>13</v>
      </c>
      <c r="K1583">
        <v>11.78</v>
      </c>
    </row>
    <row r="1585" spans="1:11" x14ac:dyDescent="0.25">
      <c r="A1585" t="s">
        <v>350</v>
      </c>
      <c r="B1585" t="str">
        <f t="shared" ref="B1585:B1594" si="30">"20276"</f>
        <v>20276</v>
      </c>
      <c r="C1585" t="str">
        <f>"004"</f>
        <v>004</v>
      </c>
      <c r="D1585">
        <v>1994</v>
      </c>
      <c r="E1585">
        <v>18625800</v>
      </c>
      <c r="F1585">
        <v>11815600</v>
      </c>
      <c r="G1585" t="s">
        <v>11</v>
      </c>
      <c r="H1585" t="s">
        <v>38</v>
      </c>
      <c r="I1585" t="s">
        <v>13</v>
      </c>
      <c r="J1585" t="s">
        <v>13</v>
      </c>
    </row>
    <row r="1586" spans="1:11" x14ac:dyDescent="0.25">
      <c r="A1586" t="s">
        <v>5</v>
      </c>
      <c r="B1586" t="str">
        <f t="shared" si="30"/>
        <v>20276</v>
      </c>
      <c r="C1586" t="str">
        <f>"005"</f>
        <v>005</v>
      </c>
      <c r="D1586">
        <v>2000</v>
      </c>
      <c r="E1586">
        <v>7969600</v>
      </c>
      <c r="F1586">
        <v>7730300</v>
      </c>
      <c r="G1586" t="s">
        <v>11</v>
      </c>
      <c r="H1586" t="s">
        <v>38</v>
      </c>
      <c r="I1586" t="s">
        <v>13</v>
      </c>
      <c r="J1586" t="s">
        <v>13</v>
      </c>
    </row>
    <row r="1587" spans="1:11" x14ac:dyDescent="0.25">
      <c r="A1587" t="s">
        <v>5</v>
      </c>
      <c r="B1587" t="str">
        <f t="shared" si="30"/>
        <v>20276</v>
      </c>
      <c r="C1587" t="str">
        <f>"006"</f>
        <v>006</v>
      </c>
      <c r="D1587">
        <v>2005</v>
      </c>
      <c r="E1587">
        <v>38936900</v>
      </c>
      <c r="F1587">
        <v>13673600</v>
      </c>
      <c r="G1587" t="s">
        <v>11</v>
      </c>
      <c r="H1587" t="s">
        <v>38</v>
      </c>
      <c r="I1587" t="s">
        <v>13</v>
      </c>
      <c r="J1587" t="s">
        <v>13</v>
      </c>
    </row>
    <row r="1588" spans="1:11" x14ac:dyDescent="0.25">
      <c r="A1588" t="s">
        <v>5</v>
      </c>
      <c r="B1588" t="str">
        <f t="shared" si="30"/>
        <v>20276</v>
      </c>
      <c r="C1588" t="str">
        <f>"007"</f>
        <v>007</v>
      </c>
      <c r="D1588">
        <v>2007</v>
      </c>
      <c r="E1588">
        <v>7303800</v>
      </c>
      <c r="F1588">
        <v>6458200</v>
      </c>
      <c r="G1588" t="s">
        <v>11</v>
      </c>
      <c r="H1588" t="s">
        <v>38</v>
      </c>
      <c r="I1588" t="s">
        <v>13</v>
      </c>
      <c r="J1588" t="s">
        <v>13</v>
      </c>
    </row>
    <row r="1589" spans="1:11" x14ac:dyDescent="0.25">
      <c r="A1589" t="s">
        <v>5</v>
      </c>
      <c r="B1589" t="str">
        <f t="shared" si="30"/>
        <v>20276</v>
      </c>
      <c r="C1589" t="str">
        <f>"009"</f>
        <v>009</v>
      </c>
      <c r="D1589">
        <v>2009</v>
      </c>
      <c r="E1589">
        <v>5011400</v>
      </c>
      <c r="F1589">
        <v>5004300</v>
      </c>
      <c r="G1589" t="s">
        <v>11</v>
      </c>
      <c r="H1589" t="s">
        <v>38</v>
      </c>
      <c r="I1589" t="s">
        <v>13</v>
      </c>
      <c r="J1589" t="s">
        <v>13</v>
      </c>
    </row>
    <row r="1590" spans="1:11" x14ac:dyDescent="0.25">
      <c r="A1590" t="s">
        <v>5</v>
      </c>
      <c r="B1590" t="str">
        <f t="shared" si="30"/>
        <v>20276</v>
      </c>
      <c r="C1590" t="str">
        <f>"010"</f>
        <v>010</v>
      </c>
      <c r="D1590">
        <v>2009</v>
      </c>
      <c r="E1590">
        <v>8775400</v>
      </c>
      <c r="F1590">
        <v>8741000</v>
      </c>
      <c r="G1590" t="s">
        <v>11</v>
      </c>
      <c r="H1590" t="s">
        <v>38</v>
      </c>
      <c r="I1590" t="s">
        <v>13</v>
      </c>
      <c r="J1590" t="s">
        <v>13</v>
      </c>
    </row>
    <row r="1591" spans="1:11" x14ac:dyDescent="0.25">
      <c r="A1591" t="s">
        <v>5</v>
      </c>
      <c r="B1591" t="str">
        <f t="shared" si="30"/>
        <v>20276</v>
      </c>
      <c r="C1591" t="str">
        <f>"011"</f>
        <v>011</v>
      </c>
      <c r="D1591">
        <v>2009</v>
      </c>
      <c r="E1591">
        <v>8199700</v>
      </c>
      <c r="F1591">
        <v>1815400</v>
      </c>
      <c r="G1591" t="s">
        <v>11</v>
      </c>
      <c r="H1591" t="s">
        <v>38</v>
      </c>
      <c r="I1591" t="s">
        <v>13</v>
      </c>
      <c r="J1591" t="s">
        <v>13</v>
      </c>
    </row>
    <row r="1592" spans="1:11" x14ac:dyDescent="0.25">
      <c r="A1592" t="s">
        <v>5</v>
      </c>
      <c r="B1592" t="str">
        <f t="shared" si="30"/>
        <v>20276</v>
      </c>
      <c r="C1592" t="str">
        <f>"012"</f>
        <v>012</v>
      </c>
      <c r="D1592">
        <v>2014</v>
      </c>
      <c r="E1592">
        <v>4946300</v>
      </c>
      <c r="F1592">
        <v>4219200</v>
      </c>
      <c r="G1592" t="s">
        <v>11</v>
      </c>
      <c r="H1592" t="s">
        <v>38</v>
      </c>
      <c r="I1592" t="s">
        <v>13</v>
      </c>
      <c r="J1592" t="s">
        <v>13</v>
      </c>
    </row>
    <row r="1593" spans="1:11" x14ac:dyDescent="0.25">
      <c r="A1593" t="s">
        <v>5</v>
      </c>
      <c r="B1593" t="str">
        <f t="shared" si="30"/>
        <v>20276</v>
      </c>
      <c r="C1593" t="str">
        <f>"014"</f>
        <v>014</v>
      </c>
      <c r="D1593">
        <v>2016</v>
      </c>
      <c r="E1593">
        <v>18618600</v>
      </c>
      <c r="F1593">
        <v>18618600</v>
      </c>
      <c r="G1593" t="s">
        <v>11</v>
      </c>
      <c r="H1593" t="s">
        <v>38</v>
      </c>
      <c r="I1593" t="s">
        <v>13</v>
      </c>
      <c r="J1593" t="s">
        <v>13</v>
      </c>
    </row>
    <row r="1594" spans="1:11" x14ac:dyDescent="0.25">
      <c r="A1594" t="s">
        <v>5</v>
      </c>
      <c r="B1594" t="str">
        <f t="shared" si="30"/>
        <v>20276</v>
      </c>
      <c r="C1594" t="str">
        <f>"015"</f>
        <v>015</v>
      </c>
      <c r="D1594">
        <v>2017</v>
      </c>
      <c r="E1594">
        <v>910900</v>
      </c>
      <c r="F1594">
        <v>651900</v>
      </c>
      <c r="G1594" t="s">
        <v>11</v>
      </c>
      <c r="H1594" t="s">
        <v>38</v>
      </c>
      <c r="I1594" t="s">
        <v>13</v>
      </c>
      <c r="J1594" t="s">
        <v>13</v>
      </c>
    </row>
    <row r="1595" spans="1:11" x14ac:dyDescent="0.25">
      <c r="A1595" t="s">
        <v>39</v>
      </c>
      <c r="B1595" t="s">
        <v>13</v>
      </c>
      <c r="C1595" t="s">
        <v>7</v>
      </c>
      <c r="D1595" t="s">
        <v>8</v>
      </c>
      <c r="E1595">
        <v>119298400</v>
      </c>
      <c r="F1595">
        <v>78728100</v>
      </c>
      <c r="G1595" t="s">
        <v>11</v>
      </c>
      <c r="H1595">
        <v>482358000</v>
      </c>
      <c r="I1595" t="s">
        <v>13</v>
      </c>
      <c r="J1595" t="s">
        <v>13</v>
      </c>
      <c r="K1595">
        <v>16.32</v>
      </c>
    </row>
    <row r="1597" spans="1:11" x14ac:dyDescent="0.25">
      <c r="A1597" t="s">
        <v>351</v>
      </c>
      <c r="B1597" t="str">
        <f>"55276"</f>
        <v>55276</v>
      </c>
      <c r="C1597" t="str">
        <f>"005"</f>
        <v>005</v>
      </c>
      <c r="D1597">
        <v>1994</v>
      </c>
      <c r="E1597">
        <v>26065400</v>
      </c>
      <c r="F1597">
        <v>25598000</v>
      </c>
      <c r="G1597" t="s">
        <v>11</v>
      </c>
      <c r="H1597" t="s">
        <v>38</v>
      </c>
      <c r="I1597" t="s">
        <v>13</v>
      </c>
      <c r="J1597" t="s">
        <v>13</v>
      </c>
    </row>
    <row r="1598" spans="1:11" x14ac:dyDescent="0.25">
      <c r="A1598" t="s">
        <v>5</v>
      </c>
      <c r="B1598" t="str">
        <f>"47276"</f>
        <v>47276</v>
      </c>
      <c r="C1598" t="str">
        <f>"006"</f>
        <v>006</v>
      </c>
      <c r="D1598">
        <v>2005</v>
      </c>
      <c r="E1598">
        <v>9390500</v>
      </c>
      <c r="F1598">
        <v>8415900</v>
      </c>
      <c r="G1598" t="s">
        <v>11</v>
      </c>
      <c r="H1598" t="s">
        <v>38</v>
      </c>
      <c r="I1598" t="s">
        <v>13</v>
      </c>
      <c r="J1598" t="s">
        <v>13</v>
      </c>
    </row>
    <row r="1599" spans="1:11" x14ac:dyDescent="0.25">
      <c r="A1599" t="s">
        <v>5</v>
      </c>
      <c r="B1599" t="str">
        <f>"47276"</f>
        <v>47276</v>
      </c>
      <c r="C1599" t="str">
        <f>"008"</f>
        <v>008</v>
      </c>
      <c r="D1599">
        <v>2010</v>
      </c>
      <c r="E1599">
        <v>4547000</v>
      </c>
      <c r="F1599">
        <v>3220500</v>
      </c>
      <c r="G1599" t="s">
        <v>11</v>
      </c>
      <c r="H1599" t="s">
        <v>38</v>
      </c>
      <c r="I1599" t="s">
        <v>13</v>
      </c>
      <c r="J1599" t="s">
        <v>13</v>
      </c>
    </row>
    <row r="1600" spans="1:11" x14ac:dyDescent="0.25">
      <c r="A1600" t="s">
        <v>5</v>
      </c>
      <c r="B1600" t="str">
        <f>"47276"</f>
        <v>47276</v>
      </c>
      <c r="C1600" t="str">
        <f>"009"</f>
        <v>009</v>
      </c>
      <c r="D1600">
        <v>2012</v>
      </c>
      <c r="E1600">
        <v>7640000</v>
      </c>
      <c r="F1600">
        <v>2927700</v>
      </c>
      <c r="G1600" t="s">
        <v>11</v>
      </c>
      <c r="H1600" t="s">
        <v>38</v>
      </c>
      <c r="I1600" t="s">
        <v>13</v>
      </c>
      <c r="J1600" t="s">
        <v>13</v>
      </c>
    </row>
    <row r="1601" spans="1:11" x14ac:dyDescent="0.25">
      <c r="A1601" t="s">
        <v>5</v>
      </c>
      <c r="B1601" t="str">
        <f>"55276"</f>
        <v>55276</v>
      </c>
      <c r="C1601" t="str">
        <f>"010"</f>
        <v>010</v>
      </c>
      <c r="D1601">
        <v>2014</v>
      </c>
      <c r="E1601">
        <v>21438800</v>
      </c>
      <c r="F1601">
        <v>21305500</v>
      </c>
      <c r="G1601" t="s">
        <v>11</v>
      </c>
      <c r="H1601" t="s">
        <v>38</v>
      </c>
      <c r="I1601" t="s">
        <v>13</v>
      </c>
      <c r="J1601" t="s">
        <v>13</v>
      </c>
    </row>
    <row r="1602" spans="1:11" x14ac:dyDescent="0.25">
      <c r="A1602" t="s">
        <v>5</v>
      </c>
      <c r="B1602" t="str">
        <f>"55276"</f>
        <v>55276</v>
      </c>
      <c r="C1602" t="str">
        <f>"011"</f>
        <v>011</v>
      </c>
      <c r="D1602">
        <v>2016</v>
      </c>
      <c r="E1602">
        <v>7912600</v>
      </c>
      <c r="F1602">
        <v>52100</v>
      </c>
      <c r="G1602" t="s">
        <v>11</v>
      </c>
      <c r="H1602" t="s">
        <v>38</v>
      </c>
      <c r="I1602" t="s">
        <v>13</v>
      </c>
      <c r="J1602" t="s">
        <v>13</v>
      </c>
    </row>
    <row r="1603" spans="1:11" x14ac:dyDescent="0.25">
      <c r="A1603" t="s">
        <v>5</v>
      </c>
      <c r="B1603" t="str">
        <f>"55276"</f>
        <v>55276</v>
      </c>
      <c r="C1603" t="str">
        <f>"012"</f>
        <v>012</v>
      </c>
      <c r="D1603">
        <v>2016</v>
      </c>
      <c r="E1603">
        <v>2074000</v>
      </c>
      <c r="F1603">
        <v>2074000</v>
      </c>
      <c r="G1603" t="s">
        <v>11</v>
      </c>
      <c r="H1603" t="s">
        <v>38</v>
      </c>
      <c r="I1603" t="s">
        <v>13</v>
      </c>
      <c r="J1603" t="s">
        <v>13</v>
      </c>
    </row>
    <row r="1604" spans="1:11" x14ac:dyDescent="0.25">
      <c r="A1604" t="s">
        <v>5</v>
      </c>
      <c r="B1604" t="str">
        <f>"55276"</f>
        <v>55276</v>
      </c>
      <c r="C1604" t="str">
        <f>"013"</f>
        <v>013</v>
      </c>
      <c r="D1604">
        <v>2018</v>
      </c>
      <c r="E1604">
        <v>9556500</v>
      </c>
      <c r="F1604">
        <v>2853000</v>
      </c>
      <c r="G1604" t="s">
        <v>11</v>
      </c>
      <c r="H1604" t="s">
        <v>38</v>
      </c>
      <c r="I1604" t="s">
        <v>13</v>
      </c>
      <c r="J1604" t="s">
        <v>13</v>
      </c>
    </row>
    <row r="1605" spans="1:11" x14ac:dyDescent="0.25">
      <c r="A1605" t="s">
        <v>5</v>
      </c>
      <c r="B1605" t="str">
        <f>"47276"</f>
        <v>47276</v>
      </c>
      <c r="C1605" t="str">
        <f>"014"</f>
        <v>014</v>
      </c>
      <c r="D1605">
        <v>2018</v>
      </c>
      <c r="E1605">
        <v>1471800</v>
      </c>
      <c r="F1605">
        <v>1398700</v>
      </c>
      <c r="G1605" t="s">
        <v>11</v>
      </c>
      <c r="H1605" t="s">
        <v>38</v>
      </c>
      <c r="I1605" t="s">
        <v>13</v>
      </c>
      <c r="J1605" t="s">
        <v>13</v>
      </c>
    </row>
    <row r="1606" spans="1:11" x14ac:dyDescent="0.25">
      <c r="A1606" t="s">
        <v>39</v>
      </c>
      <c r="B1606" t="s">
        <v>13</v>
      </c>
      <c r="C1606" t="s">
        <v>7</v>
      </c>
      <c r="D1606" t="s">
        <v>8</v>
      </c>
      <c r="E1606">
        <v>90096600</v>
      </c>
      <c r="F1606">
        <v>67845400</v>
      </c>
      <c r="G1606" t="s">
        <v>11</v>
      </c>
      <c r="H1606">
        <v>1084357900</v>
      </c>
      <c r="I1606" t="s">
        <v>13</v>
      </c>
      <c r="J1606" t="s">
        <v>13</v>
      </c>
      <c r="K1606">
        <v>6.26</v>
      </c>
    </row>
    <row r="1608" spans="1:11" x14ac:dyDescent="0.25">
      <c r="A1608" t="s">
        <v>352</v>
      </c>
      <c r="B1608" t="str">
        <f>"55176"</f>
        <v>55176</v>
      </c>
      <c r="C1608" t="str">
        <f>"001"</f>
        <v>001</v>
      </c>
      <c r="D1608">
        <v>1997</v>
      </c>
      <c r="E1608">
        <v>24461500</v>
      </c>
      <c r="F1608">
        <v>20026400</v>
      </c>
      <c r="G1608" t="s">
        <v>11</v>
      </c>
      <c r="H1608" t="s">
        <v>38</v>
      </c>
      <c r="I1608" t="s">
        <v>13</v>
      </c>
      <c r="J1608" t="s">
        <v>13</v>
      </c>
    </row>
    <row r="1609" spans="1:11" x14ac:dyDescent="0.25">
      <c r="A1609" t="s">
        <v>39</v>
      </c>
      <c r="B1609" t="s">
        <v>13</v>
      </c>
      <c r="C1609" t="s">
        <v>7</v>
      </c>
      <c r="D1609" t="s">
        <v>8</v>
      </c>
      <c r="E1609">
        <v>24461500</v>
      </c>
      <c r="F1609">
        <v>20026400</v>
      </c>
      <c r="G1609" t="s">
        <v>11</v>
      </c>
      <c r="H1609">
        <v>155989900</v>
      </c>
      <c r="I1609" t="s">
        <v>13</v>
      </c>
      <c r="J1609" t="s">
        <v>13</v>
      </c>
      <c r="K1609">
        <v>12.84</v>
      </c>
    </row>
    <row r="1611" spans="1:11" x14ac:dyDescent="0.25">
      <c r="A1611" t="s">
        <v>353</v>
      </c>
      <c r="B1611" t="str">
        <f>"41176"</f>
        <v>41176</v>
      </c>
      <c r="C1611" t="str">
        <f>"001"</f>
        <v>001</v>
      </c>
      <c r="D1611">
        <v>2010</v>
      </c>
      <c r="E1611">
        <v>3853200</v>
      </c>
      <c r="F1611">
        <v>2015800</v>
      </c>
      <c r="G1611" t="s">
        <v>11</v>
      </c>
      <c r="H1611" t="s">
        <v>38</v>
      </c>
      <c r="I1611" t="s">
        <v>13</v>
      </c>
      <c r="J1611" t="s">
        <v>13</v>
      </c>
    </row>
    <row r="1612" spans="1:11" x14ac:dyDescent="0.25">
      <c r="A1612" t="s">
        <v>5</v>
      </c>
      <c r="B1612" t="str">
        <f>"32176"</f>
        <v>32176</v>
      </c>
      <c r="C1612" t="str">
        <f>"001"</f>
        <v>001</v>
      </c>
      <c r="D1612">
        <v>2010</v>
      </c>
      <c r="E1612">
        <v>5789400</v>
      </c>
      <c r="F1612">
        <v>4613100</v>
      </c>
      <c r="G1612" t="s">
        <v>11</v>
      </c>
      <c r="H1612" t="s">
        <v>38</v>
      </c>
      <c r="I1612" t="s">
        <v>13</v>
      </c>
      <c r="J1612" t="s">
        <v>13</v>
      </c>
    </row>
    <row r="1613" spans="1:11" x14ac:dyDescent="0.25">
      <c r="A1613" t="s">
        <v>39</v>
      </c>
      <c r="B1613" t="s">
        <v>13</v>
      </c>
      <c r="C1613" t="s">
        <v>7</v>
      </c>
      <c r="D1613" t="s">
        <v>8</v>
      </c>
      <c r="E1613">
        <v>9642600</v>
      </c>
      <c r="F1613">
        <v>6628900</v>
      </c>
      <c r="G1613" t="s">
        <v>11</v>
      </c>
      <c r="H1613">
        <v>44416900</v>
      </c>
      <c r="I1613" t="s">
        <v>13</v>
      </c>
      <c r="J1613" t="s">
        <v>13</v>
      </c>
      <c r="K1613">
        <v>14.92</v>
      </c>
    </row>
    <row r="1615" spans="1:11" x14ac:dyDescent="0.25">
      <c r="A1615" t="s">
        <v>354</v>
      </c>
      <c r="B1615" t="str">
        <f>"01030"</f>
        <v>01030</v>
      </c>
      <c r="C1615" t="str">
        <f>"001T"</f>
        <v>001T</v>
      </c>
      <c r="D1615">
        <v>2015</v>
      </c>
      <c r="E1615">
        <v>49553900</v>
      </c>
      <c r="F1615">
        <v>48304500</v>
      </c>
      <c r="G1615" t="s">
        <v>11</v>
      </c>
      <c r="H1615" t="s">
        <v>38</v>
      </c>
      <c r="I1615" t="s">
        <v>13</v>
      </c>
      <c r="J1615" t="s">
        <v>13</v>
      </c>
    </row>
    <row r="1616" spans="1:11" x14ac:dyDescent="0.25">
      <c r="A1616" t="s">
        <v>39</v>
      </c>
      <c r="B1616" t="s">
        <v>13</v>
      </c>
      <c r="C1616" t="s">
        <v>7</v>
      </c>
      <c r="D1616" t="s">
        <v>8</v>
      </c>
      <c r="E1616">
        <v>49553900</v>
      </c>
      <c r="F1616">
        <v>48304500</v>
      </c>
      <c r="G1616" t="s">
        <v>11</v>
      </c>
      <c r="H1616">
        <v>739431600</v>
      </c>
      <c r="I1616">
        <v>6.53</v>
      </c>
      <c r="J1616">
        <v>6.7</v>
      </c>
    </row>
    <row r="1618" spans="1:11" x14ac:dyDescent="0.25">
      <c r="A1618" t="s">
        <v>355</v>
      </c>
      <c r="B1618" t="str">
        <f>"20176"</f>
        <v>20176</v>
      </c>
      <c r="C1618" t="str">
        <f>"001"</f>
        <v>001</v>
      </c>
      <c r="D1618">
        <v>2011</v>
      </c>
      <c r="E1618">
        <v>4080200</v>
      </c>
      <c r="F1618">
        <v>615800</v>
      </c>
      <c r="G1618" t="s">
        <v>11</v>
      </c>
      <c r="H1618" t="s">
        <v>38</v>
      </c>
      <c r="I1618" t="s">
        <v>13</v>
      </c>
      <c r="J1618" t="s">
        <v>13</v>
      </c>
    </row>
    <row r="1619" spans="1:11" x14ac:dyDescent="0.25">
      <c r="A1619" t="s">
        <v>39</v>
      </c>
      <c r="B1619" t="s">
        <v>13</v>
      </c>
      <c r="C1619" t="s">
        <v>7</v>
      </c>
      <c r="D1619" t="s">
        <v>8</v>
      </c>
      <c r="E1619">
        <v>4080200</v>
      </c>
      <c r="F1619">
        <v>615800</v>
      </c>
      <c r="G1619" t="s">
        <v>11</v>
      </c>
      <c r="H1619">
        <v>66399900</v>
      </c>
      <c r="I1619" t="s">
        <v>13</v>
      </c>
      <c r="J1619" t="s">
        <v>13</v>
      </c>
      <c r="K1619">
        <v>0.93</v>
      </c>
    </row>
    <row r="1621" spans="1:11" x14ac:dyDescent="0.25">
      <c r="A1621" t="s">
        <v>356</v>
      </c>
      <c r="B1621" t="str">
        <f>"37176"</f>
        <v>37176</v>
      </c>
      <c r="C1621" t="str">
        <f>"002"</f>
        <v>002</v>
      </c>
      <c r="D1621">
        <v>2013</v>
      </c>
      <c r="E1621">
        <v>57737400</v>
      </c>
      <c r="F1621">
        <v>12873000</v>
      </c>
      <c r="G1621" t="s">
        <v>11</v>
      </c>
      <c r="H1621" t="s">
        <v>38</v>
      </c>
      <c r="I1621" t="s">
        <v>13</v>
      </c>
      <c r="J1621" t="s">
        <v>13</v>
      </c>
    </row>
    <row r="1622" spans="1:11" x14ac:dyDescent="0.25">
      <c r="A1622" t="s">
        <v>39</v>
      </c>
      <c r="B1622" t="s">
        <v>13</v>
      </c>
      <c r="C1622" t="s">
        <v>7</v>
      </c>
      <c r="D1622" t="s">
        <v>8</v>
      </c>
      <c r="E1622">
        <v>57737400</v>
      </c>
      <c r="F1622">
        <v>12873000</v>
      </c>
      <c r="G1622" t="s">
        <v>11</v>
      </c>
      <c r="H1622">
        <v>495672700</v>
      </c>
      <c r="I1622" t="s">
        <v>13</v>
      </c>
      <c r="J1622" t="s">
        <v>13</v>
      </c>
      <c r="K1622">
        <v>2.6</v>
      </c>
    </row>
    <row r="1624" spans="1:11" x14ac:dyDescent="0.25">
      <c r="A1624" t="s">
        <v>357</v>
      </c>
      <c r="B1624" t="str">
        <f>"48281"</f>
        <v>48281</v>
      </c>
      <c r="C1624" t="str">
        <f>"001"</f>
        <v>001</v>
      </c>
      <c r="D1624">
        <v>1993</v>
      </c>
      <c r="E1624">
        <v>86846800</v>
      </c>
      <c r="F1624">
        <v>69208100</v>
      </c>
      <c r="G1624" t="s">
        <v>11</v>
      </c>
      <c r="H1624" t="s">
        <v>38</v>
      </c>
      <c r="I1624" t="s">
        <v>13</v>
      </c>
      <c r="J1624" t="s">
        <v>13</v>
      </c>
    </row>
    <row r="1625" spans="1:11" x14ac:dyDescent="0.25">
      <c r="A1625" t="s">
        <v>39</v>
      </c>
      <c r="B1625" t="s">
        <v>13</v>
      </c>
      <c r="C1625" t="s">
        <v>7</v>
      </c>
      <c r="D1625" t="s">
        <v>8</v>
      </c>
      <c r="E1625">
        <v>86846800</v>
      </c>
      <c r="F1625">
        <v>69208100</v>
      </c>
      <c r="G1625" t="s">
        <v>11</v>
      </c>
      <c r="H1625">
        <v>235552100</v>
      </c>
      <c r="I1625" t="s">
        <v>13</v>
      </c>
      <c r="J1625" t="s">
        <v>13</v>
      </c>
      <c r="K1625">
        <v>29.38</v>
      </c>
    </row>
    <row r="1627" spans="1:11" x14ac:dyDescent="0.25">
      <c r="A1627" t="s">
        <v>358</v>
      </c>
      <c r="B1627" t="str">
        <f>"40281"</f>
        <v>40281</v>
      </c>
      <c r="C1627" t="str">
        <f>"003"</f>
        <v>003</v>
      </c>
      <c r="D1627">
        <v>2006</v>
      </c>
      <c r="E1627">
        <v>67677100</v>
      </c>
      <c r="F1627">
        <v>11545800</v>
      </c>
      <c r="G1627" t="s">
        <v>11</v>
      </c>
      <c r="H1627" t="s">
        <v>38</v>
      </c>
      <c r="I1627" t="s">
        <v>13</v>
      </c>
      <c r="J1627" t="s">
        <v>13</v>
      </c>
    </row>
    <row r="1628" spans="1:11" x14ac:dyDescent="0.25">
      <c r="A1628" t="s">
        <v>5</v>
      </c>
      <c r="B1628" t="str">
        <f>"40281"</f>
        <v>40281</v>
      </c>
      <c r="C1628" t="str">
        <f>"004"</f>
        <v>004</v>
      </c>
      <c r="D1628">
        <v>2012</v>
      </c>
      <c r="E1628">
        <v>48794900</v>
      </c>
      <c r="F1628">
        <v>337800</v>
      </c>
      <c r="G1628" t="s">
        <v>11</v>
      </c>
      <c r="H1628" t="s">
        <v>38</v>
      </c>
      <c r="I1628" t="s">
        <v>13</v>
      </c>
      <c r="J1628" t="s">
        <v>13</v>
      </c>
    </row>
    <row r="1629" spans="1:11" x14ac:dyDescent="0.25">
      <c r="A1629" t="s">
        <v>5</v>
      </c>
      <c r="B1629" t="str">
        <f>"40281"</f>
        <v>40281</v>
      </c>
      <c r="C1629" t="str">
        <f>"005"</f>
        <v>005</v>
      </c>
      <c r="D1629">
        <v>2015</v>
      </c>
      <c r="E1629">
        <v>93612900</v>
      </c>
      <c r="F1629">
        <v>12236700</v>
      </c>
      <c r="G1629" t="s">
        <v>11</v>
      </c>
      <c r="H1629" t="s">
        <v>38</v>
      </c>
      <c r="I1629" t="s">
        <v>13</v>
      </c>
      <c r="J1629" t="s">
        <v>13</v>
      </c>
    </row>
    <row r="1630" spans="1:11" x14ac:dyDescent="0.25">
      <c r="A1630" t="s">
        <v>39</v>
      </c>
      <c r="B1630" t="s">
        <v>13</v>
      </c>
      <c r="C1630" t="s">
        <v>7</v>
      </c>
      <c r="D1630" t="s">
        <v>8</v>
      </c>
      <c r="E1630">
        <v>210084900</v>
      </c>
      <c r="F1630">
        <v>24120300</v>
      </c>
      <c r="G1630" t="s">
        <v>11</v>
      </c>
      <c r="H1630">
        <v>651881800</v>
      </c>
      <c r="I1630" t="s">
        <v>13</v>
      </c>
      <c r="J1630" t="s">
        <v>13</v>
      </c>
      <c r="K1630">
        <v>3.7</v>
      </c>
    </row>
    <row r="1632" spans="1:11" x14ac:dyDescent="0.25">
      <c r="A1632" t="s">
        <v>359</v>
      </c>
      <c r="B1632" t="str">
        <f>"30179"</f>
        <v>30179</v>
      </c>
      <c r="C1632" t="str">
        <f>"001"</f>
        <v>001</v>
      </c>
      <c r="D1632">
        <v>2015</v>
      </c>
      <c r="E1632">
        <v>7402100</v>
      </c>
      <c r="F1632">
        <v>7372600</v>
      </c>
      <c r="G1632" t="s">
        <v>11</v>
      </c>
      <c r="H1632" t="s">
        <v>38</v>
      </c>
      <c r="I1632" t="s">
        <v>13</v>
      </c>
      <c r="J1632" t="s">
        <v>13</v>
      </c>
    </row>
    <row r="1633" spans="1:11" x14ac:dyDescent="0.25">
      <c r="A1633" t="s">
        <v>39</v>
      </c>
      <c r="B1633" t="s">
        <v>13</v>
      </c>
      <c r="C1633" t="s">
        <v>7</v>
      </c>
      <c r="D1633" t="s">
        <v>8</v>
      </c>
      <c r="E1633">
        <v>7402100</v>
      </c>
      <c r="F1633">
        <v>7372600</v>
      </c>
      <c r="G1633" t="s">
        <v>11</v>
      </c>
      <c r="H1633">
        <v>1488804300</v>
      </c>
      <c r="I1633" t="s">
        <v>13</v>
      </c>
      <c r="J1633" t="s">
        <v>13</v>
      </c>
      <c r="K1633">
        <v>0.5</v>
      </c>
    </row>
    <row r="1635" spans="1:11" x14ac:dyDescent="0.25">
      <c r="A1635" t="s">
        <v>360</v>
      </c>
      <c r="B1635" t="str">
        <f>"56181"</f>
        <v>56181</v>
      </c>
      <c r="C1635" t="str">
        <f>"006"</f>
        <v>006</v>
      </c>
      <c r="D1635">
        <v>2002</v>
      </c>
      <c r="E1635">
        <v>7390700</v>
      </c>
      <c r="F1635">
        <v>6184400</v>
      </c>
      <c r="G1635" t="s">
        <v>11</v>
      </c>
      <c r="H1635" t="s">
        <v>38</v>
      </c>
      <c r="I1635" t="s">
        <v>13</v>
      </c>
      <c r="J1635" t="s">
        <v>13</v>
      </c>
    </row>
    <row r="1636" spans="1:11" x14ac:dyDescent="0.25">
      <c r="A1636" t="s">
        <v>5</v>
      </c>
      <c r="B1636" t="str">
        <f>"56181"</f>
        <v>56181</v>
      </c>
      <c r="C1636" t="str">
        <f>"007"</f>
        <v>007</v>
      </c>
      <c r="D1636">
        <v>2005</v>
      </c>
      <c r="E1636">
        <v>3592300</v>
      </c>
      <c r="F1636">
        <v>2886100</v>
      </c>
      <c r="G1636" t="s">
        <v>11</v>
      </c>
      <c r="H1636" t="s">
        <v>38</v>
      </c>
      <c r="I1636" t="s">
        <v>13</v>
      </c>
      <c r="J1636" t="s">
        <v>13</v>
      </c>
    </row>
    <row r="1637" spans="1:11" x14ac:dyDescent="0.25">
      <c r="A1637" t="s">
        <v>5</v>
      </c>
      <c r="B1637" t="str">
        <f>"56181"</f>
        <v>56181</v>
      </c>
      <c r="C1637" t="str">
        <f>"008"</f>
        <v>008</v>
      </c>
      <c r="D1637">
        <v>2005</v>
      </c>
      <c r="E1637">
        <v>25629600</v>
      </c>
      <c r="F1637">
        <v>10736100</v>
      </c>
      <c r="G1637" t="s">
        <v>11</v>
      </c>
      <c r="H1637" t="s">
        <v>38</v>
      </c>
      <c r="I1637" t="s">
        <v>13</v>
      </c>
      <c r="J1637" t="s">
        <v>13</v>
      </c>
    </row>
    <row r="1638" spans="1:11" x14ac:dyDescent="0.25">
      <c r="A1638" t="s">
        <v>5</v>
      </c>
      <c r="B1638" t="str">
        <f>"56181"</f>
        <v>56181</v>
      </c>
      <c r="C1638" t="str">
        <f>"009"</f>
        <v>009</v>
      </c>
      <c r="D1638">
        <v>2015</v>
      </c>
      <c r="E1638">
        <v>2768500</v>
      </c>
      <c r="F1638">
        <v>-563400</v>
      </c>
      <c r="G1638" t="s">
        <v>49</v>
      </c>
      <c r="H1638" t="s">
        <v>38</v>
      </c>
      <c r="I1638" t="s">
        <v>13</v>
      </c>
      <c r="J1638" t="s">
        <v>13</v>
      </c>
    </row>
    <row r="1639" spans="1:11" x14ac:dyDescent="0.25">
      <c r="A1639" t="s">
        <v>39</v>
      </c>
      <c r="B1639" t="s">
        <v>13</v>
      </c>
      <c r="C1639" t="s">
        <v>7</v>
      </c>
      <c r="D1639" t="s">
        <v>8</v>
      </c>
      <c r="E1639">
        <v>39381100</v>
      </c>
      <c r="F1639">
        <v>19806600</v>
      </c>
      <c r="G1639" t="s">
        <v>11</v>
      </c>
      <c r="H1639">
        <v>375041700</v>
      </c>
      <c r="I1639" t="s">
        <v>13</v>
      </c>
      <c r="J1639" t="s">
        <v>13</v>
      </c>
      <c r="K1639">
        <v>5.28</v>
      </c>
    </row>
    <row r="1641" spans="1:11" x14ac:dyDescent="0.25">
      <c r="A1641" t="s">
        <v>361</v>
      </c>
      <c r="B1641" t="str">
        <f>"45181"</f>
        <v>45181</v>
      </c>
      <c r="C1641" t="str">
        <f>"002"</f>
        <v>002</v>
      </c>
      <c r="D1641">
        <v>2001</v>
      </c>
      <c r="E1641">
        <v>14459100</v>
      </c>
      <c r="F1641">
        <v>14109100</v>
      </c>
      <c r="G1641" t="s">
        <v>11</v>
      </c>
      <c r="H1641" t="s">
        <v>38</v>
      </c>
      <c r="I1641" t="s">
        <v>13</v>
      </c>
      <c r="J1641" t="s">
        <v>13</v>
      </c>
    </row>
    <row r="1642" spans="1:11" x14ac:dyDescent="0.25">
      <c r="A1642" t="s">
        <v>5</v>
      </c>
      <c r="B1642" t="str">
        <f>"45181"</f>
        <v>45181</v>
      </c>
      <c r="C1642" t="str">
        <f>"004"</f>
        <v>004</v>
      </c>
      <c r="D1642">
        <v>2006</v>
      </c>
      <c r="E1642">
        <v>8399300</v>
      </c>
      <c r="F1642">
        <v>6799200</v>
      </c>
      <c r="G1642" t="s">
        <v>11</v>
      </c>
      <c r="H1642" t="s">
        <v>38</v>
      </c>
      <c r="I1642" t="s">
        <v>13</v>
      </c>
      <c r="J1642" t="s">
        <v>13</v>
      </c>
    </row>
    <row r="1643" spans="1:11" x14ac:dyDescent="0.25">
      <c r="A1643" t="s">
        <v>39</v>
      </c>
      <c r="B1643" t="s">
        <v>13</v>
      </c>
      <c r="C1643" t="s">
        <v>7</v>
      </c>
      <c r="D1643" t="s">
        <v>8</v>
      </c>
      <c r="E1643">
        <v>22858400</v>
      </c>
      <c r="F1643">
        <v>20908300</v>
      </c>
      <c r="G1643" t="s">
        <v>11</v>
      </c>
      <c r="H1643">
        <v>462439400</v>
      </c>
      <c r="I1643" t="s">
        <v>13</v>
      </c>
      <c r="J1643" t="s">
        <v>13</v>
      </c>
      <c r="K1643">
        <v>4.5199999999999996</v>
      </c>
    </row>
    <row r="1645" spans="1:11" x14ac:dyDescent="0.25">
      <c r="A1645" t="s">
        <v>362</v>
      </c>
      <c r="B1645" t="str">
        <f>"37281"</f>
        <v>37281</v>
      </c>
      <c r="C1645" t="str">
        <f>"002"</f>
        <v>002</v>
      </c>
      <c r="D1645">
        <v>1994</v>
      </c>
      <c r="E1645">
        <v>19586000</v>
      </c>
      <c r="F1645">
        <v>16312500</v>
      </c>
      <c r="G1645" t="s">
        <v>11</v>
      </c>
      <c r="H1645" t="s">
        <v>38</v>
      </c>
      <c r="I1645" t="s">
        <v>13</v>
      </c>
      <c r="J1645" t="s">
        <v>13</v>
      </c>
    </row>
    <row r="1646" spans="1:11" x14ac:dyDescent="0.25">
      <c r="A1646" t="s">
        <v>5</v>
      </c>
      <c r="B1646" t="str">
        <f>"37281"</f>
        <v>37281</v>
      </c>
      <c r="C1646" t="str">
        <f>"003"</f>
        <v>003</v>
      </c>
      <c r="D1646">
        <v>1997</v>
      </c>
      <c r="E1646">
        <v>13261900</v>
      </c>
      <c r="F1646">
        <v>8422900</v>
      </c>
      <c r="G1646" t="s">
        <v>11</v>
      </c>
      <c r="H1646" t="s">
        <v>38</v>
      </c>
      <c r="I1646" t="s">
        <v>13</v>
      </c>
      <c r="J1646" t="s">
        <v>13</v>
      </c>
    </row>
    <row r="1647" spans="1:11" x14ac:dyDescent="0.25">
      <c r="A1647" t="s">
        <v>5</v>
      </c>
      <c r="B1647" t="str">
        <f>"37281"</f>
        <v>37281</v>
      </c>
      <c r="C1647" t="str">
        <f>"004"</f>
        <v>004</v>
      </c>
      <c r="D1647">
        <v>2017</v>
      </c>
      <c r="E1647">
        <v>10777900</v>
      </c>
      <c r="F1647">
        <v>6243700</v>
      </c>
      <c r="G1647" t="s">
        <v>11</v>
      </c>
      <c r="H1647" t="s">
        <v>38</v>
      </c>
      <c r="I1647" t="s">
        <v>13</v>
      </c>
      <c r="J1647" t="s">
        <v>13</v>
      </c>
    </row>
    <row r="1648" spans="1:11" x14ac:dyDescent="0.25">
      <c r="A1648" t="s">
        <v>39</v>
      </c>
      <c r="B1648" t="s">
        <v>13</v>
      </c>
      <c r="C1648" t="s">
        <v>7</v>
      </c>
      <c r="D1648" t="s">
        <v>8</v>
      </c>
      <c r="E1648">
        <v>43625800</v>
      </c>
      <c r="F1648">
        <v>30979100</v>
      </c>
      <c r="G1648" t="s">
        <v>11</v>
      </c>
      <c r="H1648">
        <v>248834500</v>
      </c>
      <c r="I1648" t="s">
        <v>13</v>
      </c>
      <c r="J1648" t="s">
        <v>13</v>
      </c>
      <c r="K1648">
        <v>12.45</v>
      </c>
    </row>
    <row r="1650" spans="1:11" x14ac:dyDescent="0.25">
      <c r="A1650" t="s">
        <v>363</v>
      </c>
      <c r="B1650" t="str">
        <f>"44281"</f>
        <v>44281</v>
      </c>
      <c r="C1650" t="str">
        <f>"003"</f>
        <v>003</v>
      </c>
      <c r="D1650">
        <v>2001</v>
      </c>
      <c r="E1650">
        <v>23505300</v>
      </c>
      <c r="F1650">
        <v>18675400</v>
      </c>
      <c r="G1650" t="s">
        <v>11</v>
      </c>
      <c r="H1650" t="s">
        <v>38</v>
      </c>
      <c r="I1650" t="s">
        <v>13</v>
      </c>
      <c r="J1650" t="s">
        <v>13</v>
      </c>
    </row>
    <row r="1651" spans="1:11" x14ac:dyDescent="0.25">
      <c r="A1651" t="s">
        <v>5</v>
      </c>
      <c r="B1651" t="str">
        <f>"44281"</f>
        <v>44281</v>
      </c>
      <c r="C1651" t="str">
        <f>"004"</f>
        <v>004</v>
      </c>
      <c r="D1651">
        <v>2011</v>
      </c>
      <c r="E1651">
        <v>10862600</v>
      </c>
      <c r="F1651">
        <v>5205500</v>
      </c>
      <c r="G1651" t="s">
        <v>11</v>
      </c>
      <c r="H1651" t="s">
        <v>38</v>
      </c>
      <c r="I1651" t="s">
        <v>13</v>
      </c>
      <c r="J1651" t="s">
        <v>13</v>
      </c>
    </row>
    <row r="1652" spans="1:11" x14ac:dyDescent="0.25">
      <c r="A1652" t="s">
        <v>39</v>
      </c>
      <c r="B1652" t="s">
        <v>13</v>
      </c>
      <c r="C1652" t="s">
        <v>7</v>
      </c>
      <c r="D1652" t="s">
        <v>8</v>
      </c>
      <c r="E1652">
        <v>34367900</v>
      </c>
      <c r="F1652">
        <v>23880900</v>
      </c>
      <c r="G1652" t="s">
        <v>11</v>
      </c>
      <c r="H1652">
        <v>219505500</v>
      </c>
      <c r="I1652" t="s">
        <v>13</v>
      </c>
      <c r="J1652" t="s">
        <v>13</v>
      </c>
      <c r="K1652">
        <v>10.88</v>
      </c>
    </row>
    <row r="1654" spans="1:11" x14ac:dyDescent="0.25">
      <c r="A1654" t="s">
        <v>364</v>
      </c>
      <c r="B1654" t="str">
        <f>"64181"</f>
        <v>64181</v>
      </c>
      <c r="C1654" t="str">
        <f>"004"</f>
        <v>004</v>
      </c>
      <c r="D1654">
        <v>2007</v>
      </c>
      <c r="E1654">
        <v>1002800</v>
      </c>
      <c r="F1654">
        <v>-64300</v>
      </c>
      <c r="G1654" t="s">
        <v>49</v>
      </c>
      <c r="H1654" t="s">
        <v>38</v>
      </c>
      <c r="I1654" t="s">
        <v>13</v>
      </c>
      <c r="J1654" t="s">
        <v>13</v>
      </c>
    </row>
    <row r="1655" spans="1:11" x14ac:dyDescent="0.25">
      <c r="A1655" t="s">
        <v>39</v>
      </c>
      <c r="B1655" t="s">
        <v>13</v>
      </c>
      <c r="C1655" t="s">
        <v>7</v>
      </c>
      <c r="D1655" t="s">
        <v>8</v>
      </c>
      <c r="E1655">
        <v>1002800</v>
      </c>
      <c r="F1655">
        <v>0</v>
      </c>
      <c r="G1655" t="s">
        <v>11</v>
      </c>
      <c r="H1655">
        <v>80572400</v>
      </c>
      <c r="I1655" t="s">
        <v>13</v>
      </c>
      <c r="J1655" t="s">
        <v>13</v>
      </c>
      <c r="K1655">
        <v>0</v>
      </c>
    </row>
    <row r="1657" spans="1:11" x14ac:dyDescent="0.25">
      <c r="A1657" t="s">
        <v>365</v>
      </c>
      <c r="B1657" t="str">
        <f>"58281"</f>
        <v>58281</v>
      </c>
      <c r="C1657" t="str">
        <f>"004"</f>
        <v>004</v>
      </c>
      <c r="D1657">
        <v>2000</v>
      </c>
      <c r="E1657">
        <v>23475800</v>
      </c>
      <c r="F1657">
        <v>10370700</v>
      </c>
      <c r="G1657" t="s">
        <v>11</v>
      </c>
      <c r="H1657" t="s">
        <v>38</v>
      </c>
      <c r="I1657" t="s">
        <v>13</v>
      </c>
      <c r="J1657" t="s">
        <v>13</v>
      </c>
    </row>
    <row r="1658" spans="1:11" x14ac:dyDescent="0.25">
      <c r="A1658" t="s">
        <v>5</v>
      </c>
      <c r="B1658" t="str">
        <f>"58281"</f>
        <v>58281</v>
      </c>
      <c r="C1658" t="str">
        <f>"005"</f>
        <v>005</v>
      </c>
      <c r="D1658">
        <v>2001</v>
      </c>
      <c r="E1658">
        <v>5308800</v>
      </c>
      <c r="F1658">
        <v>4994500</v>
      </c>
      <c r="G1658" t="s">
        <v>11</v>
      </c>
      <c r="H1658" t="s">
        <v>38</v>
      </c>
      <c r="I1658" t="s">
        <v>13</v>
      </c>
      <c r="J1658" t="s">
        <v>13</v>
      </c>
    </row>
    <row r="1659" spans="1:11" x14ac:dyDescent="0.25">
      <c r="A1659" t="s">
        <v>5</v>
      </c>
      <c r="B1659" t="str">
        <f>"58281"</f>
        <v>58281</v>
      </c>
      <c r="C1659" t="str">
        <f>"006"</f>
        <v>006</v>
      </c>
      <c r="D1659">
        <v>2014</v>
      </c>
      <c r="E1659">
        <v>37746100</v>
      </c>
      <c r="F1659">
        <v>2848800</v>
      </c>
      <c r="G1659" t="s">
        <v>11</v>
      </c>
      <c r="H1659" t="s">
        <v>38</v>
      </c>
      <c r="I1659" t="s">
        <v>13</v>
      </c>
      <c r="J1659" t="s">
        <v>13</v>
      </c>
    </row>
    <row r="1660" spans="1:11" x14ac:dyDescent="0.25">
      <c r="A1660" t="s">
        <v>5</v>
      </c>
      <c r="B1660" t="str">
        <f>"58281"</f>
        <v>58281</v>
      </c>
      <c r="C1660" t="str">
        <f>"007"</f>
        <v>007</v>
      </c>
      <c r="D1660">
        <v>2016</v>
      </c>
      <c r="E1660">
        <v>15316800</v>
      </c>
      <c r="F1660">
        <v>8328600</v>
      </c>
      <c r="G1660" t="s">
        <v>11</v>
      </c>
      <c r="H1660" t="s">
        <v>38</v>
      </c>
      <c r="I1660" t="s">
        <v>13</v>
      </c>
      <c r="J1660" t="s">
        <v>13</v>
      </c>
    </row>
    <row r="1661" spans="1:11" x14ac:dyDescent="0.25">
      <c r="A1661" t="s">
        <v>5</v>
      </c>
      <c r="B1661" t="str">
        <f>"58281"</f>
        <v>58281</v>
      </c>
      <c r="C1661" t="str">
        <f>"008"</f>
        <v>008</v>
      </c>
      <c r="D1661">
        <v>2018</v>
      </c>
      <c r="E1661">
        <v>234700</v>
      </c>
      <c r="F1661">
        <v>18800</v>
      </c>
      <c r="G1661" t="s">
        <v>11</v>
      </c>
      <c r="H1661" t="s">
        <v>38</v>
      </c>
      <c r="I1661" t="s">
        <v>13</v>
      </c>
      <c r="J1661" t="s">
        <v>13</v>
      </c>
    </row>
    <row r="1662" spans="1:11" x14ac:dyDescent="0.25">
      <c r="A1662" t="s">
        <v>39</v>
      </c>
      <c r="B1662" t="s">
        <v>13</v>
      </c>
      <c r="C1662" t="s">
        <v>7</v>
      </c>
      <c r="D1662" t="s">
        <v>8</v>
      </c>
      <c r="E1662">
        <v>82082200</v>
      </c>
      <c r="F1662">
        <v>26561400</v>
      </c>
      <c r="G1662" t="s">
        <v>11</v>
      </c>
      <c r="H1662">
        <v>546277600</v>
      </c>
      <c r="I1662" t="s">
        <v>13</v>
      </c>
      <c r="J1662" t="s">
        <v>13</v>
      </c>
      <c r="K1662">
        <v>4.8600000000000003</v>
      </c>
    </row>
    <row r="1664" spans="1:11" x14ac:dyDescent="0.25">
      <c r="A1664" t="s">
        <v>366</v>
      </c>
      <c r="B1664" t="str">
        <f t="shared" ref="B1664:B1674" si="31">"59281"</f>
        <v>59281</v>
      </c>
      <c r="C1664" t="str">
        <f>"006"</f>
        <v>006</v>
      </c>
      <c r="D1664">
        <v>1992</v>
      </c>
      <c r="E1664">
        <v>75418900</v>
      </c>
      <c r="F1664">
        <v>55839900</v>
      </c>
      <c r="G1664" t="s">
        <v>11</v>
      </c>
      <c r="H1664" t="s">
        <v>38</v>
      </c>
      <c r="I1664" t="s">
        <v>13</v>
      </c>
      <c r="J1664" t="s">
        <v>13</v>
      </c>
    </row>
    <row r="1665" spans="1:11" x14ac:dyDescent="0.25">
      <c r="A1665" t="s">
        <v>5</v>
      </c>
      <c r="B1665" t="str">
        <f t="shared" si="31"/>
        <v>59281</v>
      </c>
      <c r="C1665" t="str">
        <f>"010"</f>
        <v>010</v>
      </c>
      <c r="D1665">
        <v>1997</v>
      </c>
      <c r="E1665">
        <v>14827900</v>
      </c>
      <c r="F1665">
        <v>11577300</v>
      </c>
      <c r="G1665" t="s">
        <v>11</v>
      </c>
      <c r="H1665" t="s">
        <v>38</v>
      </c>
      <c r="I1665" t="s">
        <v>13</v>
      </c>
      <c r="J1665" t="s">
        <v>13</v>
      </c>
    </row>
    <row r="1666" spans="1:11" x14ac:dyDescent="0.25">
      <c r="A1666" t="s">
        <v>5</v>
      </c>
      <c r="B1666" t="str">
        <f t="shared" si="31"/>
        <v>59281</v>
      </c>
      <c r="C1666" t="str">
        <f>"011"</f>
        <v>011</v>
      </c>
      <c r="D1666">
        <v>1998</v>
      </c>
      <c r="E1666">
        <v>31667300</v>
      </c>
      <c r="F1666">
        <v>28281100</v>
      </c>
      <c r="G1666" t="s">
        <v>11</v>
      </c>
      <c r="H1666" t="s">
        <v>38</v>
      </c>
      <c r="I1666" t="s">
        <v>13</v>
      </c>
      <c r="J1666" t="s">
        <v>13</v>
      </c>
    </row>
    <row r="1667" spans="1:11" x14ac:dyDescent="0.25">
      <c r="A1667" t="s">
        <v>5</v>
      </c>
      <c r="B1667" t="str">
        <f t="shared" si="31"/>
        <v>59281</v>
      </c>
      <c r="C1667" t="str">
        <f>"012"</f>
        <v>012</v>
      </c>
      <c r="D1667">
        <v>2000</v>
      </c>
      <c r="E1667">
        <v>11650400</v>
      </c>
      <c r="F1667">
        <v>7824700</v>
      </c>
      <c r="G1667" t="s">
        <v>11</v>
      </c>
      <c r="H1667" t="s">
        <v>38</v>
      </c>
      <c r="I1667" t="s">
        <v>13</v>
      </c>
      <c r="J1667" t="s">
        <v>13</v>
      </c>
    </row>
    <row r="1668" spans="1:11" x14ac:dyDescent="0.25">
      <c r="A1668" t="s">
        <v>5</v>
      </c>
      <c r="B1668" t="str">
        <f t="shared" si="31"/>
        <v>59281</v>
      </c>
      <c r="C1668" t="str">
        <f>"013"</f>
        <v>013</v>
      </c>
      <c r="D1668">
        <v>2006</v>
      </c>
      <c r="E1668">
        <v>17038100</v>
      </c>
      <c r="F1668">
        <v>16743700</v>
      </c>
      <c r="G1668" t="s">
        <v>11</v>
      </c>
      <c r="H1668" t="s">
        <v>38</v>
      </c>
      <c r="I1668" t="s">
        <v>13</v>
      </c>
      <c r="J1668" t="s">
        <v>13</v>
      </c>
    </row>
    <row r="1669" spans="1:11" x14ac:dyDescent="0.25">
      <c r="A1669" t="s">
        <v>5</v>
      </c>
      <c r="B1669" t="str">
        <f t="shared" si="31"/>
        <v>59281</v>
      </c>
      <c r="C1669" t="str">
        <f>"014"</f>
        <v>014</v>
      </c>
      <c r="D1669">
        <v>2011</v>
      </c>
      <c r="E1669">
        <v>55619500</v>
      </c>
      <c r="F1669">
        <v>34425700</v>
      </c>
      <c r="G1669" t="s">
        <v>11</v>
      </c>
      <c r="H1669" t="s">
        <v>38</v>
      </c>
      <c r="I1669" t="s">
        <v>13</v>
      </c>
      <c r="J1669" t="s">
        <v>13</v>
      </c>
    </row>
    <row r="1670" spans="1:11" x14ac:dyDescent="0.25">
      <c r="A1670" t="s">
        <v>5</v>
      </c>
      <c r="B1670" t="str">
        <f t="shared" si="31"/>
        <v>59281</v>
      </c>
      <c r="C1670" t="str">
        <f>"015"</f>
        <v>015</v>
      </c>
      <c r="D1670">
        <v>2011</v>
      </c>
      <c r="E1670">
        <v>20064100</v>
      </c>
      <c r="F1670">
        <v>7629200</v>
      </c>
      <c r="G1670" t="s">
        <v>11</v>
      </c>
      <c r="H1670" t="s">
        <v>38</v>
      </c>
      <c r="I1670" t="s">
        <v>13</v>
      </c>
      <c r="J1670" t="s">
        <v>13</v>
      </c>
    </row>
    <row r="1671" spans="1:11" x14ac:dyDescent="0.25">
      <c r="A1671" t="s">
        <v>5</v>
      </c>
      <c r="B1671" t="str">
        <f t="shared" si="31"/>
        <v>59281</v>
      </c>
      <c r="C1671" t="str">
        <f>"016"</f>
        <v>016</v>
      </c>
      <c r="D1671">
        <v>2015</v>
      </c>
      <c r="E1671">
        <v>44128600</v>
      </c>
      <c r="F1671">
        <v>21669400</v>
      </c>
      <c r="G1671" t="s">
        <v>11</v>
      </c>
      <c r="H1671" t="s">
        <v>38</v>
      </c>
      <c r="I1671" t="s">
        <v>13</v>
      </c>
      <c r="J1671" t="s">
        <v>13</v>
      </c>
    </row>
    <row r="1672" spans="1:11" x14ac:dyDescent="0.25">
      <c r="A1672" t="s">
        <v>5</v>
      </c>
      <c r="B1672" t="str">
        <f t="shared" si="31"/>
        <v>59281</v>
      </c>
      <c r="C1672" t="str">
        <f>"017"</f>
        <v>017</v>
      </c>
      <c r="D1672">
        <v>2018</v>
      </c>
      <c r="E1672">
        <v>36021000</v>
      </c>
      <c r="F1672">
        <v>1999300</v>
      </c>
      <c r="G1672" t="s">
        <v>11</v>
      </c>
      <c r="H1672" t="s">
        <v>38</v>
      </c>
      <c r="I1672" t="s">
        <v>13</v>
      </c>
      <c r="J1672" t="s">
        <v>13</v>
      </c>
    </row>
    <row r="1673" spans="1:11" x14ac:dyDescent="0.25">
      <c r="A1673" t="s">
        <v>5</v>
      </c>
      <c r="B1673" t="str">
        <f t="shared" si="31"/>
        <v>59281</v>
      </c>
      <c r="C1673" t="str">
        <f>"018"</f>
        <v>018</v>
      </c>
      <c r="D1673">
        <v>2018</v>
      </c>
      <c r="E1673">
        <v>16440100</v>
      </c>
      <c r="F1673">
        <v>3995700</v>
      </c>
      <c r="G1673" t="s">
        <v>11</v>
      </c>
      <c r="H1673" t="s">
        <v>38</v>
      </c>
      <c r="I1673" t="s">
        <v>13</v>
      </c>
      <c r="J1673" t="s">
        <v>13</v>
      </c>
    </row>
    <row r="1674" spans="1:11" x14ac:dyDescent="0.25">
      <c r="A1674" t="s">
        <v>5</v>
      </c>
      <c r="B1674" t="str">
        <f t="shared" si="31"/>
        <v>59281</v>
      </c>
      <c r="C1674" t="str">
        <f>"019"</f>
        <v>019</v>
      </c>
      <c r="D1674">
        <v>2018</v>
      </c>
      <c r="E1674">
        <v>3339900</v>
      </c>
      <c r="F1674">
        <v>-59300</v>
      </c>
      <c r="G1674" t="s">
        <v>49</v>
      </c>
      <c r="H1674" t="s">
        <v>38</v>
      </c>
      <c r="I1674" t="s">
        <v>13</v>
      </c>
      <c r="J1674" t="s">
        <v>13</v>
      </c>
    </row>
    <row r="1675" spans="1:11" x14ac:dyDescent="0.25">
      <c r="A1675" t="s">
        <v>39</v>
      </c>
      <c r="B1675" t="s">
        <v>13</v>
      </c>
      <c r="C1675" t="s">
        <v>7</v>
      </c>
      <c r="D1675" t="s">
        <v>8</v>
      </c>
      <c r="E1675">
        <v>326215800</v>
      </c>
      <c r="F1675">
        <v>189986000</v>
      </c>
      <c r="G1675" t="s">
        <v>11</v>
      </c>
      <c r="H1675">
        <v>2919239300</v>
      </c>
      <c r="I1675" t="s">
        <v>13</v>
      </c>
      <c r="J1675" t="s">
        <v>13</v>
      </c>
      <c r="K1675">
        <v>6.51</v>
      </c>
    </row>
    <row r="1677" spans="1:11" x14ac:dyDescent="0.25">
      <c r="A1677" t="s">
        <v>367</v>
      </c>
      <c r="B1677" t="str">
        <f>"59282"</f>
        <v>59282</v>
      </c>
      <c r="C1677" t="str">
        <f>"003"</f>
        <v>003</v>
      </c>
      <c r="D1677">
        <v>1994</v>
      </c>
      <c r="E1677">
        <v>28083200</v>
      </c>
      <c r="F1677">
        <v>21894900</v>
      </c>
      <c r="G1677" t="s">
        <v>11</v>
      </c>
      <c r="H1677" t="s">
        <v>38</v>
      </c>
      <c r="I1677" t="s">
        <v>13</v>
      </c>
      <c r="J1677" t="s">
        <v>13</v>
      </c>
    </row>
    <row r="1678" spans="1:11" x14ac:dyDescent="0.25">
      <c r="A1678" t="s">
        <v>5</v>
      </c>
      <c r="B1678" t="str">
        <f>"59282"</f>
        <v>59282</v>
      </c>
      <c r="C1678" t="str">
        <f>"004"</f>
        <v>004</v>
      </c>
      <c r="D1678">
        <v>2016</v>
      </c>
      <c r="E1678">
        <v>9841100</v>
      </c>
      <c r="F1678">
        <v>7331000</v>
      </c>
      <c r="G1678" t="s">
        <v>11</v>
      </c>
      <c r="H1678" t="s">
        <v>38</v>
      </c>
      <c r="I1678" t="s">
        <v>13</v>
      </c>
      <c r="J1678" t="s">
        <v>13</v>
      </c>
    </row>
    <row r="1679" spans="1:11" x14ac:dyDescent="0.25">
      <c r="A1679" t="s">
        <v>5</v>
      </c>
      <c r="B1679" t="str">
        <f>"59282"</f>
        <v>59282</v>
      </c>
      <c r="C1679" t="str">
        <f>"005"</f>
        <v>005</v>
      </c>
      <c r="D1679">
        <v>2018</v>
      </c>
      <c r="E1679">
        <v>2003800</v>
      </c>
      <c r="F1679">
        <v>770700</v>
      </c>
      <c r="G1679" t="s">
        <v>11</v>
      </c>
      <c r="H1679" t="s">
        <v>38</v>
      </c>
      <c r="I1679" t="s">
        <v>13</v>
      </c>
      <c r="J1679" t="s">
        <v>13</v>
      </c>
    </row>
    <row r="1680" spans="1:11" x14ac:dyDescent="0.25">
      <c r="A1680" t="s">
        <v>39</v>
      </c>
      <c r="B1680" t="s">
        <v>13</v>
      </c>
      <c r="C1680" t="s">
        <v>7</v>
      </c>
      <c r="D1680" t="s">
        <v>8</v>
      </c>
      <c r="E1680">
        <v>39928100</v>
      </c>
      <c r="F1680">
        <v>29996600</v>
      </c>
      <c r="G1680" t="s">
        <v>11</v>
      </c>
      <c r="H1680">
        <v>671222800</v>
      </c>
      <c r="I1680" t="s">
        <v>13</v>
      </c>
      <c r="J1680" t="s">
        <v>13</v>
      </c>
      <c r="K1680">
        <v>4.47</v>
      </c>
    </row>
    <row r="1682" spans="1:11" x14ac:dyDescent="0.25">
      <c r="A1682" t="s">
        <v>368</v>
      </c>
      <c r="B1682" t="str">
        <f>"65282"</f>
        <v>65282</v>
      </c>
      <c r="C1682" t="str">
        <f>"002"</f>
        <v>002</v>
      </c>
      <c r="D1682">
        <v>1996</v>
      </c>
      <c r="E1682">
        <v>29482600</v>
      </c>
      <c r="F1682">
        <v>23886900</v>
      </c>
      <c r="G1682" t="s">
        <v>11</v>
      </c>
      <c r="H1682" t="s">
        <v>38</v>
      </c>
      <c r="I1682" t="s">
        <v>13</v>
      </c>
      <c r="J1682" t="s">
        <v>13</v>
      </c>
    </row>
    <row r="1683" spans="1:11" x14ac:dyDescent="0.25">
      <c r="A1683" t="s">
        <v>39</v>
      </c>
      <c r="B1683" t="s">
        <v>13</v>
      </c>
      <c r="C1683" t="s">
        <v>7</v>
      </c>
      <c r="D1683" t="s">
        <v>8</v>
      </c>
      <c r="E1683">
        <v>29482600</v>
      </c>
      <c r="F1683">
        <v>23886900</v>
      </c>
      <c r="G1683" t="s">
        <v>11</v>
      </c>
      <c r="H1683">
        <v>209439400</v>
      </c>
      <c r="I1683" t="s">
        <v>13</v>
      </c>
      <c r="J1683" t="s">
        <v>13</v>
      </c>
      <c r="K1683">
        <v>11.41</v>
      </c>
    </row>
    <row r="1685" spans="1:11" x14ac:dyDescent="0.25">
      <c r="A1685" t="s">
        <v>369</v>
      </c>
      <c r="B1685" t="str">
        <f>"08179"</f>
        <v>08179</v>
      </c>
      <c r="C1685" t="str">
        <f>"001"</f>
        <v>001</v>
      </c>
      <c r="D1685">
        <v>1992</v>
      </c>
      <c r="E1685">
        <v>13726700</v>
      </c>
      <c r="F1685">
        <v>13645100</v>
      </c>
      <c r="G1685" t="s">
        <v>11</v>
      </c>
      <c r="H1685" t="s">
        <v>38</v>
      </c>
      <c r="I1685" t="s">
        <v>13</v>
      </c>
      <c r="J1685" t="s">
        <v>13</v>
      </c>
    </row>
    <row r="1686" spans="1:11" x14ac:dyDescent="0.25">
      <c r="A1686" t="s">
        <v>5</v>
      </c>
      <c r="B1686" t="str">
        <f>"08179"</f>
        <v>08179</v>
      </c>
      <c r="C1686" t="str">
        <f>"002"</f>
        <v>002</v>
      </c>
      <c r="D1686">
        <v>2013</v>
      </c>
      <c r="E1686">
        <v>4680700</v>
      </c>
      <c r="F1686">
        <v>1853200</v>
      </c>
      <c r="G1686" t="s">
        <v>11</v>
      </c>
      <c r="H1686" t="s">
        <v>38</v>
      </c>
      <c r="I1686" t="s">
        <v>13</v>
      </c>
      <c r="J1686" t="s">
        <v>13</v>
      </c>
    </row>
    <row r="1687" spans="1:11" x14ac:dyDescent="0.25">
      <c r="A1687" t="s">
        <v>5</v>
      </c>
      <c r="B1687" t="str">
        <f>"08179"</f>
        <v>08179</v>
      </c>
      <c r="C1687" t="str">
        <f>"003"</f>
        <v>003</v>
      </c>
      <c r="D1687">
        <v>2013</v>
      </c>
      <c r="E1687">
        <v>9843000</v>
      </c>
      <c r="F1687">
        <v>1174400</v>
      </c>
      <c r="G1687" t="s">
        <v>11</v>
      </c>
      <c r="H1687" t="s">
        <v>38</v>
      </c>
      <c r="I1687" t="s">
        <v>13</v>
      </c>
      <c r="J1687" t="s">
        <v>13</v>
      </c>
    </row>
    <row r="1688" spans="1:11" x14ac:dyDescent="0.25">
      <c r="A1688" t="s">
        <v>39</v>
      </c>
      <c r="B1688" t="s">
        <v>13</v>
      </c>
      <c r="C1688" t="s">
        <v>7</v>
      </c>
      <c r="D1688" t="s">
        <v>8</v>
      </c>
      <c r="E1688">
        <v>28250400</v>
      </c>
      <c r="F1688">
        <v>16672700</v>
      </c>
      <c r="G1688" t="s">
        <v>11</v>
      </c>
      <c r="H1688">
        <v>321105500</v>
      </c>
      <c r="I1688" t="s">
        <v>13</v>
      </c>
      <c r="J1688" t="s">
        <v>13</v>
      </c>
      <c r="K1688">
        <v>5.19</v>
      </c>
    </row>
    <row r="1690" spans="1:11" x14ac:dyDescent="0.25">
      <c r="A1690" t="s">
        <v>370</v>
      </c>
      <c r="B1690" t="str">
        <f>"40181"</f>
        <v>40181</v>
      </c>
      <c r="C1690" t="str">
        <f>"001"</f>
        <v>001</v>
      </c>
      <c r="D1690">
        <v>1995</v>
      </c>
      <c r="E1690">
        <v>208606600</v>
      </c>
      <c r="F1690">
        <v>69475300</v>
      </c>
      <c r="G1690" t="s">
        <v>11</v>
      </c>
      <c r="H1690" t="s">
        <v>38</v>
      </c>
      <c r="I1690" t="s">
        <v>13</v>
      </c>
      <c r="J1690" t="s">
        <v>13</v>
      </c>
    </row>
    <row r="1691" spans="1:11" x14ac:dyDescent="0.25">
      <c r="A1691" t="s">
        <v>5</v>
      </c>
      <c r="B1691" t="str">
        <f>"40181"</f>
        <v>40181</v>
      </c>
      <c r="C1691" t="str">
        <f>"003"</f>
        <v>003</v>
      </c>
      <c r="D1691">
        <v>2008</v>
      </c>
      <c r="E1691">
        <v>35435000</v>
      </c>
      <c r="F1691">
        <v>27686600</v>
      </c>
      <c r="G1691" t="s">
        <v>11</v>
      </c>
      <c r="H1691" t="s">
        <v>38</v>
      </c>
      <c r="I1691" t="s">
        <v>13</v>
      </c>
      <c r="J1691" t="s">
        <v>13</v>
      </c>
    </row>
    <row r="1692" spans="1:11" x14ac:dyDescent="0.25">
      <c r="A1692" t="s">
        <v>5</v>
      </c>
      <c r="B1692" t="str">
        <f>"40181"</f>
        <v>40181</v>
      </c>
      <c r="C1692" t="str">
        <f>"004"</f>
        <v>004</v>
      </c>
      <c r="D1692">
        <v>2011</v>
      </c>
      <c r="E1692">
        <v>19024500</v>
      </c>
      <c r="F1692">
        <v>17829100</v>
      </c>
      <c r="G1692" t="s">
        <v>11</v>
      </c>
      <c r="H1692" t="s">
        <v>38</v>
      </c>
      <c r="I1692" t="s">
        <v>13</v>
      </c>
      <c r="J1692" t="s">
        <v>13</v>
      </c>
    </row>
    <row r="1693" spans="1:11" x14ac:dyDescent="0.25">
      <c r="A1693" t="s">
        <v>5</v>
      </c>
      <c r="B1693" t="str">
        <f>"40181"</f>
        <v>40181</v>
      </c>
      <c r="C1693" t="str">
        <f>"005"</f>
        <v>005</v>
      </c>
      <c r="D1693">
        <v>2014</v>
      </c>
      <c r="E1693">
        <v>55073400</v>
      </c>
      <c r="F1693">
        <v>46987600</v>
      </c>
      <c r="G1693" t="s">
        <v>11</v>
      </c>
      <c r="H1693" t="s">
        <v>38</v>
      </c>
      <c r="I1693" t="s">
        <v>13</v>
      </c>
      <c r="J1693" t="s">
        <v>13</v>
      </c>
    </row>
    <row r="1694" spans="1:11" x14ac:dyDescent="0.25">
      <c r="A1694" t="s">
        <v>39</v>
      </c>
      <c r="B1694" t="s">
        <v>13</v>
      </c>
      <c r="C1694" t="s">
        <v>7</v>
      </c>
      <c r="D1694" t="s">
        <v>8</v>
      </c>
      <c r="E1694">
        <v>318139500</v>
      </c>
      <c r="F1694">
        <v>161978600</v>
      </c>
      <c r="G1694" t="s">
        <v>11</v>
      </c>
      <c r="H1694">
        <v>1755222400</v>
      </c>
      <c r="I1694" t="s">
        <v>13</v>
      </c>
      <c r="J1694" t="s">
        <v>13</v>
      </c>
      <c r="K1694">
        <v>9.23</v>
      </c>
    </row>
    <row r="1696" spans="1:11" x14ac:dyDescent="0.25">
      <c r="A1696" t="s">
        <v>371</v>
      </c>
      <c r="B1696" t="str">
        <f>"13181"</f>
        <v>13181</v>
      </c>
      <c r="C1696" t="str">
        <f>"003"</f>
        <v>003</v>
      </c>
      <c r="D1696">
        <v>2008</v>
      </c>
      <c r="E1696">
        <v>64617600</v>
      </c>
      <c r="F1696">
        <v>43392200</v>
      </c>
      <c r="G1696" t="s">
        <v>11</v>
      </c>
      <c r="H1696" t="s">
        <v>38</v>
      </c>
      <c r="I1696" t="s">
        <v>13</v>
      </c>
      <c r="J1696" t="s">
        <v>13</v>
      </c>
    </row>
    <row r="1697" spans="1:11" x14ac:dyDescent="0.25">
      <c r="A1697" t="s">
        <v>5</v>
      </c>
      <c r="B1697" t="str">
        <f>"13181"</f>
        <v>13181</v>
      </c>
      <c r="C1697" t="str">
        <f>"004"</f>
        <v>004</v>
      </c>
      <c r="D1697">
        <v>2010</v>
      </c>
      <c r="E1697">
        <v>22423700</v>
      </c>
      <c r="F1697">
        <v>14157900</v>
      </c>
      <c r="G1697" t="s">
        <v>11</v>
      </c>
      <c r="H1697" t="s">
        <v>38</v>
      </c>
      <c r="I1697" t="s">
        <v>13</v>
      </c>
      <c r="J1697" t="s">
        <v>13</v>
      </c>
    </row>
    <row r="1698" spans="1:11" x14ac:dyDescent="0.25">
      <c r="A1698" t="s">
        <v>5</v>
      </c>
      <c r="B1698" t="str">
        <f>"13181"</f>
        <v>13181</v>
      </c>
      <c r="C1698" t="str">
        <f>"005"</f>
        <v>005</v>
      </c>
      <c r="D1698">
        <v>2016</v>
      </c>
      <c r="E1698">
        <v>12148800</v>
      </c>
      <c r="F1698">
        <v>7896200</v>
      </c>
      <c r="G1698" t="s">
        <v>11</v>
      </c>
      <c r="H1698" t="s">
        <v>38</v>
      </c>
      <c r="I1698" t="s">
        <v>13</v>
      </c>
      <c r="J1698" t="s">
        <v>13</v>
      </c>
    </row>
    <row r="1699" spans="1:11" x14ac:dyDescent="0.25">
      <c r="A1699" t="s">
        <v>39</v>
      </c>
      <c r="B1699" t="s">
        <v>13</v>
      </c>
      <c r="C1699" t="s">
        <v>7</v>
      </c>
      <c r="D1699" t="s">
        <v>8</v>
      </c>
      <c r="E1699">
        <v>99190100</v>
      </c>
      <c r="F1699">
        <v>65446300</v>
      </c>
      <c r="G1699" t="s">
        <v>11</v>
      </c>
      <c r="H1699">
        <v>635370300</v>
      </c>
      <c r="I1699" t="s">
        <v>13</v>
      </c>
      <c r="J1699" t="s">
        <v>13</v>
      </c>
      <c r="K1699">
        <v>10.3</v>
      </c>
    </row>
    <row r="1701" spans="1:11" x14ac:dyDescent="0.25">
      <c r="A1701" t="s">
        <v>372</v>
      </c>
      <c r="B1701" t="str">
        <f>"33281"</f>
        <v>33281</v>
      </c>
      <c r="C1701" t="str">
        <f>"003"</f>
        <v>003</v>
      </c>
      <c r="D1701">
        <v>1997</v>
      </c>
      <c r="E1701">
        <v>5295500</v>
      </c>
      <c r="F1701">
        <v>3815500</v>
      </c>
      <c r="G1701" t="s">
        <v>11</v>
      </c>
      <c r="H1701" t="s">
        <v>38</v>
      </c>
      <c r="I1701" t="s">
        <v>13</v>
      </c>
      <c r="J1701" t="s">
        <v>13</v>
      </c>
    </row>
    <row r="1702" spans="1:11" x14ac:dyDescent="0.25">
      <c r="A1702" t="s">
        <v>5</v>
      </c>
      <c r="B1702" t="str">
        <f>"33281"</f>
        <v>33281</v>
      </c>
      <c r="C1702" t="str">
        <f>"004"</f>
        <v>004</v>
      </c>
      <c r="D1702">
        <v>1997</v>
      </c>
      <c r="E1702">
        <v>1081900</v>
      </c>
      <c r="F1702">
        <v>1066900</v>
      </c>
      <c r="G1702" t="s">
        <v>11</v>
      </c>
      <c r="H1702" t="s">
        <v>38</v>
      </c>
      <c r="I1702" t="s">
        <v>13</v>
      </c>
      <c r="J1702" t="s">
        <v>13</v>
      </c>
    </row>
    <row r="1703" spans="1:11" x14ac:dyDescent="0.25">
      <c r="A1703" t="s">
        <v>5</v>
      </c>
      <c r="B1703" t="str">
        <f>"33281"</f>
        <v>33281</v>
      </c>
      <c r="C1703" t="str">
        <f>"005"</f>
        <v>005</v>
      </c>
      <c r="D1703">
        <v>2005</v>
      </c>
      <c r="E1703">
        <v>516200</v>
      </c>
      <c r="F1703">
        <v>354700</v>
      </c>
      <c r="G1703" t="s">
        <v>11</v>
      </c>
      <c r="H1703" t="s">
        <v>38</v>
      </c>
      <c r="I1703" t="s">
        <v>13</v>
      </c>
      <c r="J1703" t="s">
        <v>13</v>
      </c>
    </row>
    <row r="1704" spans="1:11" x14ac:dyDescent="0.25">
      <c r="A1704" t="s">
        <v>5</v>
      </c>
      <c r="B1704" t="str">
        <f>"33281"</f>
        <v>33281</v>
      </c>
      <c r="C1704" t="str">
        <f>"006"</f>
        <v>006</v>
      </c>
      <c r="D1704">
        <v>2010</v>
      </c>
      <c r="E1704">
        <v>2917100</v>
      </c>
      <c r="F1704">
        <v>2904700</v>
      </c>
      <c r="G1704" t="s">
        <v>11</v>
      </c>
      <c r="H1704" t="s">
        <v>38</v>
      </c>
      <c r="I1704" t="s">
        <v>13</v>
      </c>
      <c r="J1704" t="s">
        <v>13</v>
      </c>
    </row>
    <row r="1705" spans="1:11" x14ac:dyDescent="0.25">
      <c r="A1705" t="s">
        <v>5</v>
      </c>
      <c r="B1705" t="str">
        <f>"33281"</f>
        <v>33281</v>
      </c>
      <c r="C1705" t="str">
        <f>"007"</f>
        <v>007</v>
      </c>
      <c r="D1705">
        <v>2010</v>
      </c>
      <c r="E1705">
        <v>3111700</v>
      </c>
      <c r="F1705">
        <v>2041400</v>
      </c>
      <c r="G1705" t="s">
        <v>11</v>
      </c>
      <c r="H1705" t="s">
        <v>38</v>
      </c>
      <c r="I1705" t="s">
        <v>13</v>
      </c>
      <c r="J1705" t="s">
        <v>13</v>
      </c>
    </row>
    <row r="1706" spans="1:11" x14ac:dyDescent="0.25">
      <c r="A1706" t="s">
        <v>39</v>
      </c>
      <c r="B1706" t="s">
        <v>13</v>
      </c>
      <c r="C1706" t="s">
        <v>7</v>
      </c>
      <c r="D1706" t="s">
        <v>8</v>
      </c>
      <c r="E1706">
        <v>12922400</v>
      </c>
      <c r="F1706">
        <v>10183200</v>
      </c>
      <c r="G1706" t="s">
        <v>11</v>
      </c>
      <c r="H1706">
        <v>63245700</v>
      </c>
      <c r="I1706" t="s">
        <v>13</v>
      </c>
      <c r="J1706" t="s">
        <v>13</v>
      </c>
      <c r="K1706">
        <v>16.100000000000001</v>
      </c>
    </row>
    <row r="1708" spans="1:11" x14ac:dyDescent="0.25">
      <c r="A1708" t="s">
        <v>373</v>
      </c>
      <c r="B1708" t="str">
        <f>"07181"</f>
        <v>07181</v>
      </c>
      <c r="C1708" t="str">
        <f>"001"</f>
        <v>001</v>
      </c>
      <c r="D1708">
        <v>1994</v>
      </c>
      <c r="E1708">
        <v>1384700</v>
      </c>
      <c r="F1708">
        <v>1326000</v>
      </c>
      <c r="G1708" t="s">
        <v>11</v>
      </c>
      <c r="H1708" t="s">
        <v>38</v>
      </c>
      <c r="I1708" t="s">
        <v>13</v>
      </c>
      <c r="J1708" t="s">
        <v>13</v>
      </c>
    </row>
    <row r="1709" spans="1:11" x14ac:dyDescent="0.25">
      <c r="A1709" t="s">
        <v>5</v>
      </c>
      <c r="B1709" t="str">
        <f>"07181"</f>
        <v>07181</v>
      </c>
      <c r="C1709" t="str">
        <f>"002"</f>
        <v>002</v>
      </c>
      <c r="D1709">
        <v>2003</v>
      </c>
      <c r="E1709">
        <v>25503800</v>
      </c>
      <c r="F1709">
        <v>6741200</v>
      </c>
      <c r="G1709" t="s">
        <v>11</v>
      </c>
      <c r="H1709" t="s">
        <v>38</v>
      </c>
      <c r="I1709" t="s">
        <v>13</v>
      </c>
      <c r="J1709" t="s">
        <v>13</v>
      </c>
    </row>
    <row r="1710" spans="1:11" x14ac:dyDescent="0.25">
      <c r="A1710" t="s">
        <v>39</v>
      </c>
      <c r="B1710" t="s">
        <v>13</v>
      </c>
      <c r="C1710" t="s">
        <v>7</v>
      </c>
      <c r="D1710" t="s">
        <v>8</v>
      </c>
      <c r="E1710">
        <v>26888500</v>
      </c>
      <c r="F1710">
        <v>8067200</v>
      </c>
      <c r="G1710" t="s">
        <v>11</v>
      </c>
      <c r="H1710">
        <v>74796000</v>
      </c>
      <c r="I1710" t="s">
        <v>13</v>
      </c>
      <c r="J1710" t="s">
        <v>13</v>
      </c>
      <c r="K1710">
        <v>10.79</v>
      </c>
    </row>
    <row r="1712" spans="1:11" x14ac:dyDescent="0.25">
      <c r="A1712" t="s">
        <v>374</v>
      </c>
      <c r="B1712" t="str">
        <f>"15181"</f>
        <v>15181</v>
      </c>
      <c r="C1712" t="str">
        <f>"001"</f>
        <v>001</v>
      </c>
      <c r="D1712">
        <v>2008</v>
      </c>
      <c r="E1712">
        <v>61326100</v>
      </c>
      <c r="F1712">
        <v>16607800</v>
      </c>
      <c r="G1712" t="s">
        <v>11</v>
      </c>
      <c r="H1712" t="s">
        <v>38</v>
      </c>
      <c r="I1712" t="s">
        <v>13</v>
      </c>
      <c r="J1712" t="s">
        <v>13</v>
      </c>
    </row>
    <row r="1713" spans="1:11" x14ac:dyDescent="0.25">
      <c r="A1713" t="s">
        <v>5</v>
      </c>
      <c r="B1713" t="str">
        <f>"15181"</f>
        <v>15181</v>
      </c>
      <c r="C1713" t="str">
        <f>"002"</f>
        <v>002</v>
      </c>
      <c r="D1713">
        <v>2018</v>
      </c>
      <c r="E1713">
        <v>10004700</v>
      </c>
      <c r="F1713">
        <v>355200</v>
      </c>
      <c r="G1713" t="s">
        <v>11</v>
      </c>
      <c r="H1713" t="s">
        <v>38</v>
      </c>
      <c r="I1713" t="s">
        <v>13</v>
      </c>
      <c r="J1713" t="s">
        <v>13</v>
      </c>
    </row>
    <row r="1714" spans="1:11" x14ac:dyDescent="0.25">
      <c r="A1714" t="s">
        <v>39</v>
      </c>
      <c r="B1714" t="s">
        <v>13</v>
      </c>
      <c r="C1714" t="s">
        <v>7</v>
      </c>
      <c r="D1714" t="s">
        <v>8</v>
      </c>
      <c r="E1714">
        <v>71330800</v>
      </c>
      <c r="F1714">
        <v>16963000</v>
      </c>
      <c r="G1714" t="s">
        <v>11</v>
      </c>
      <c r="H1714">
        <v>435970000</v>
      </c>
      <c r="I1714" t="s">
        <v>13</v>
      </c>
      <c r="J1714" t="s">
        <v>13</v>
      </c>
      <c r="K1714">
        <v>3.89</v>
      </c>
    </row>
    <row r="1716" spans="1:11" x14ac:dyDescent="0.25">
      <c r="A1716" t="s">
        <v>375</v>
      </c>
      <c r="B1716" t="str">
        <f>"66181"</f>
        <v>66181</v>
      </c>
      <c r="C1716" t="str">
        <f>"004"</f>
        <v>004</v>
      </c>
      <c r="D1716">
        <v>2015</v>
      </c>
      <c r="E1716">
        <v>12642400</v>
      </c>
      <c r="F1716">
        <v>9096200</v>
      </c>
      <c r="G1716" t="s">
        <v>11</v>
      </c>
      <c r="H1716" t="s">
        <v>38</v>
      </c>
      <c r="I1716" t="s">
        <v>13</v>
      </c>
      <c r="J1716" t="s">
        <v>13</v>
      </c>
    </row>
    <row r="1717" spans="1:11" x14ac:dyDescent="0.25">
      <c r="A1717" t="s">
        <v>5</v>
      </c>
      <c r="B1717" t="str">
        <f>"66181"</f>
        <v>66181</v>
      </c>
      <c r="C1717" t="str">
        <f>"005"</f>
        <v>005</v>
      </c>
      <c r="D1717">
        <v>2016</v>
      </c>
      <c r="E1717">
        <v>5479400</v>
      </c>
      <c r="F1717">
        <v>4695000</v>
      </c>
      <c r="G1717" t="s">
        <v>11</v>
      </c>
      <c r="H1717" t="s">
        <v>38</v>
      </c>
      <c r="I1717" t="s">
        <v>13</v>
      </c>
      <c r="J1717" t="s">
        <v>13</v>
      </c>
    </row>
    <row r="1718" spans="1:11" x14ac:dyDescent="0.25">
      <c r="A1718" t="s">
        <v>39</v>
      </c>
      <c r="B1718" t="s">
        <v>13</v>
      </c>
      <c r="C1718" t="s">
        <v>7</v>
      </c>
      <c r="D1718" t="s">
        <v>8</v>
      </c>
      <c r="E1718">
        <v>18121800</v>
      </c>
      <c r="F1718">
        <v>13791200</v>
      </c>
      <c r="G1718" t="s">
        <v>11</v>
      </c>
      <c r="H1718">
        <v>626625800</v>
      </c>
      <c r="I1718" t="s">
        <v>13</v>
      </c>
      <c r="J1718" t="s">
        <v>13</v>
      </c>
      <c r="K1718">
        <v>2.2000000000000002</v>
      </c>
    </row>
    <row r="1720" spans="1:11" x14ac:dyDescent="0.25">
      <c r="A1720" t="s">
        <v>376</v>
      </c>
      <c r="B1720" t="str">
        <f>"16181"</f>
        <v>16181</v>
      </c>
      <c r="C1720" t="str">
        <f>"002"</f>
        <v>002</v>
      </c>
      <c r="D1720">
        <v>1999</v>
      </c>
      <c r="E1720">
        <v>2395700</v>
      </c>
      <c r="F1720">
        <v>2082800</v>
      </c>
      <c r="G1720" t="s">
        <v>11</v>
      </c>
      <c r="H1720" t="s">
        <v>38</v>
      </c>
      <c r="I1720" t="s">
        <v>13</v>
      </c>
      <c r="J1720" t="s">
        <v>13</v>
      </c>
    </row>
    <row r="1721" spans="1:11" x14ac:dyDescent="0.25">
      <c r="A1721" t="s">
        <v>5</v>
      </c>
      <c r="B1721" t="str">
        <f>"16181"</f>
        <v>16181</v>
      </c>
      <c r="C1721" t="str">
        <f>"003"</f>
        <v>003</v>
      </c>
      <c r="D1721">
        <v>2011</v>
      </c>
      <c r="E1721">
        <v>971700</v>
      </c>
      <c r="F1721">
        <v>917800</v>
      </c>
      <c r="G1721" t="s">
        <v>11</v>
      </c>
      <c r="H1721" t="s">
        <v>38</v>
      </c>
      <c r="I1721" t="s">
        <v>13</v>
      </c>
      <c r="J1721" t="s">
        <v>13</v>
      </c>
    </row>
    <row r="1722" spans="1:11" x14ac:dyDescent="0.25">
      <c r="A1722" t="s">
        <v>39</v>
      </c>
      <c r="B1722" t="s">
        <v>13</v>
      </c>
      <c r="C1722" t="s">
        <v>7</v>
      </c>
      <c r="D1722" t="s">
        <v>8</v>
      </c>
      <c r="E1722">
        <v>3367400</v>
      </c>
      <c r="F1722">
        <v>3000600</v>
      </c>
      <c r="G1722" t="s">
        <v>11</v>
      </c>
      <c r="H1722">
        <v>49151700</v>
      </c>
      <c r="I1722" t="s">
        <v>13</v>
      </c>
      <c r="J1722" t="s">
        <v>13</v>
      </c>
      <c r="K1722">
        <v>6.1</v>
      </c>
    </row>
    <row r="1724" spans="1:11" x14ac:dyDescent="0.25">
      <c r="A1724" t="s">
        <v>377</v>
      </c>
      <c r="B1724" t="str">
        <f t="shared" ref="B1724:B1734" si="32">"30182"</f>
        <v>30182</v>
      </c>
      <c r="C1724" t="str">
        <f>"001"</f>
        <v>001</v>
      </c>
      <c r="D1724">
        <v>2015</v>
      </c>
      <c r="E1724">
        <v>55450400</v>
      </c>
      <c r="F1724">
        <v>54974100</v>
      </c>
      <c r="G1724" t="s">
        <v>11</v>
      </c>
      <c r="H1724" t="s">
        <v>38</v>
      </c>
      <c r="I1724" t="s">
        <v>13</v>
      </c>
      <c r="J1724" t="s">
        <v>13</v>
      </c>
    </row>
    <row r="1725" spans="1:11" x14ac:dyDescent="0.25">
      <c r="A1725" t="s">
        <v>5</v>
      </c>
      <c r="B1725" t="str">
        <f t="shared" si="32"/>
        <v>30182</v>
      </c>
      <c r="C1725" t="str">
        <f>"002"</f>
        <v>002</v>
      </c>
      <c r="D1725">
        <v>2015</v>
      </c>
      <c r="E1725">
        <v>56294400</v>
      </c>
      <c r="F1725">
        <v>50483600</v>
      </c>
      <c r="G1725" t="s">
        <v>11</v>
      </c>
      <c r="H1725" t="s">
        <v>38</v>
      </c>
      <c r="I1725" t="s">
        <v>13</v>
      </c>
      <c r="J1725" t="s">
        <v>13</v>
      </c>
    </row>
    <row r="1726" spans="1:11" x14ac:dyDescent="0.25">
      <c r="A1726" t="s">
        <v>5</v>
      </c>
      <c r="B1726" t="str">
        <f t="shared" si="32"/>
        <v>30182</v>
      </c>
      <c r="C1726" t="str">
        <f>"003"</f>
        <v>003</v>
      </c>
      <c r="D1726">
        <v>2018</v>
      </c>
      <c r="E1726">
        <v>1716000</v>
      </c>
      <c r="F1726">
        <v>-63800</v>
      </c>
      <c r="G1726" t="s">
        <v>49</v>
      </c>
      <c r="H1726" t="s">
        <v>38</v>
      </c>
      <c r="I1726" t="s">
        <v>13</v>
      </c>
      <c r="J1726" t="s">
        <v>13</v>
      </c>
    </row>
    <row r="1727" spans="1:11" x14ac:dyDescent="0.25">
      <c r="A1727" t="s">
        <v>5</v>
      </c>
      <c r="B1727" t="str">
        <f t="shared" si="32"/>
        <v>30182</v>
      </c>
      <c r="C1727" t="str">
        <f>"004"</f>
        <v>004</v>
      </c>
      <c r="D1727">
        <v>2018</v>
      </c>
      <c r="E1727">
        <v>1160500</v>
      </c>
      <c r="F1727">
        <v>71900</v>
      </c>
      <c r="G1727" t="s">
        <v>11</v>
      </c>
      <c r="H1727" t="s">
        <v>38</v>
      </c>
      <c r="I1727" t="s">
        <v>13</v>
      </c>
      <c r="J1727" t="s">
        <v>13</v>
      </c>
    </row>
    <row r="1728" spans="1:11" x14ac:dyDescent="0.25">
      <c r="A1728" t="s">
        <v>5</v>
      </c>
      <c r="B1728" t="str">
        <f t="shared" si="32"/>
        <v>30182</v>
      </c>
      <c r="C1728" t="str">
        <f>"005"</f>
        <v>005</v>
      </c>
      <c r="D1728">
        <v>2018</v>
      </c>
      <c r="E1728">
        <v>1492400</v>
      </c>
      <c r="F1728">
        <v>153600</v>
      </c>
      <c r="G1728" t="s">
        <v>11</v>
      </c>
      <c r="H1728" t="s">
        <v>38</v>
      </c>
      <c r="I1728" t="s">
        <v>13</v>
      </c>
      <c r="J1728" t="s">
        <v>13</v>
      </c>
    </row>
    <row r="1729" spans="1:11" x14ac:dyDescent="0.25">
      <c r="A1729" t="s">
        <v>5</v>
      </c>
      <c r="B1729" t="str">
        <f t="shared" si="32"/>
        <v>30182</v>
      </c>
      <c r="C1729" t="str">
        <f>"006"</f>
        <v>006</v>
      </c>
      <c r="D1729">
        <v>2018</v>
      </c>
      <c r="E1729">
        <v>2617500</v>
      </c>
      <c r="F1729">
        <v>169100</v>
      </c>
      <c r="G1729" t="s">
        <v>11</v>
      </c>
      <c r="H1729" t="s">
        <v>38</v>
      </c>
      <c r="I1729" t="s">
        <v>13</v>
      </c>
      <c r="J1729" t="s">
        <v>13</v>
      </c>
    </row>
    <row r="1730" spans="1:11" x14ac:dyDescent="0.25">
      <c r="A1730" t="s">
        <v>5</v>
      </c>
      <c r="B1730" t="str">
        <f t="shared" si="32"/>
        <v>30182</v>
      </c>
      <c r="C1730" t="str">
        <f>"007"</f>
        <v>007</v>
      </c>
      <c r="D1730">
        <v>2018</v>
      </c>
      <c r="E1730">
        <v>9120200</v>
      </c>
      <c r="F1730">
        <v>755400</v>
      </c>
      <c r="G1730" t="s">
        <v>11</v>
      </c>
      <c r="H1730" t="s">
        <v>38</v>
      </c>
      <c r="I1730" t="s">
        <v>13</v>
      </c>
      <c r="J1730" t="s">
        <v>13</v>
      </c>
    </row>
    <row r="1731" spans="1:11" x14ac:dyDescent="0.25">
      <c r="A1731" t="s">
        <v>5</v>
      </c>
      <c r="B1731" t="str">
        <f t="shared" si="32"/>
        <v>30182</v>
      </c>
      <c r="C1731" t="str">
        <f>"008"</f>
        <v>008</v>
      </c>
      <c r="D1731">
        <v>2018</v>
      </c>
      <c r="E1731">
        <v>386200</v>
      </c>
      <c r="F1731">
        <v>24100</v>
      </c>
      <c r="G1731" t="s">
        <v>11</v>
      </c>
      <c r="H1731" t="s">
        <v>38</v>
      </c>
      <c r="I1731" t="s">
        <v>13</v>
      </c>
      <c r="J1731" t="s">
        <v>13</v>
      </c>
    </row>
    <row r="1732" spans="1:11" x14ac:dyDescent="0.25">
      <c r="A1732" t="s">
        <v>5</v>
      </c>
      <c r="B1732" t="str">
        <f t="shared" si="32"/>
        <v>30182</v>
      </c>
      <c r="C1732" t="str">
        <f>"009"</f>
        <v>009</v>
      </c>
      <c r="D1732">
        <v>2018</v>
      </c>
      <c r="E1732">
        <v>2217900</v>
      </c>
      <c r="F1732">
        <v>136200</v>
      </c>
      <c r="G1732" t="s">
        <v>11</v>
      </c>
      <c r="H1732" t="s">
        <v>38</v>
      </c>
      <c r="I1732" t="s">
        <v>13</v>
      </c>
      <c r="J1732" t="s">
        <v>13</v>
      </c>
    </row>
    <row r="1733" spans="1:11" x14ac:dyDescent="0.25">
      <c r="A1733" t="s">
        <v>5</v>
      </c>
      <c r="B1733" t="str">
        <f t="shared" si="32"/>
        <v>30182</v>
      </c>
      <c r="C1733" t="str">
        <f>"010"</f>
        <v>010</v>
      </c>
      <c r="D1733">
        <v>2018</v>
      </c>
      <c r="E1733">
        <v>3422100</v>
      </c>
      <c r="F1733">
        <v>202900</v>
      </c>
      <c r="G1733" t="s">
        <v>11</v>
      </c>
      <c r="H1733" t="s">
        <v>38</v>
      </c>
      <c r="I1733" t="s">
        <v>13</v>
      </c>
      <c r="J1733" t="s">
        <v>13</v>
      </c>
    </row>
    <row r="1734" spans="1:11" x14ac:dyDescent="0.25">
      <c r="A1734" t="s">
        <v>5</v>
      </c>
      <c r="B1734" t="str">
        <f t="shared" si="32"/>
        <v>30182</v>
      </c>
      <c r="C1734" t="str">
        <f>"011"</f>
        <v>011</v>
      </c>
      <c r="D1734">
        <v>2018</v>
      </c>
      <c r="E1734">
        <v>208100</v>
      </c>
      <c r="F1734">
        <v>13000</v>
      </c>
      <c r="G1734" t="s">
        <v>11</v>
      </c>
      <c r="H1734" t="s">
        <v>38</v>
      </c>
      <c r="I1734" t="s">
        <v>13</v>
      </c>
      <c r="J1734" t="s">
        <v>13</v>
      </c>
    </row>
    <row r="1735" spans="1:11" x14ac:dyDescent="0.25">
      <c r="A1735" t="s">
        <v>39</v>
      </c>
      <c r="B1735" t="s">
        <v>13</v>
      </c>
      <c r="C1735" t="s">
        <v>7</v>
      </c>
      <c r="D1735" t="s">
        <v>8</v>
      </c>
      <c r="E1735">
        <v>134085700</v>
      </c>
      <c r="F1735">
        <v>106983900</v>
      </c>
      <c r="G1735" t="s">
        <v>11</v>
      </c>
      <c r="H1735">
        <v>896046600</v>
      </c>
      <c r="I1735" t="s">
        <v>13</v>
      </c>
      <c r="J1735" t="s">
        <v>13</v>
      </c>
      <c r="K1735">
        <v>11.94</v>
      </c>
    </row>
    <row r="1737" spans="1:11" x14ac:dyDescent="0.25">
      <c r="A1737" t="s">
        <v>378</v>
      </c>
      <c r="B1737" t="str">
        <f>"55181"</f>
        <v>55181</v>
      </c>
      <c r="C1737" t="str">
        <f>"002"</f>
        <v>002</v>
      </c>
      <c r="D1737">
        <v>1996</v>
      </c>
      <c r="E1737">
        <v>36273100</v>
      </c>
      <c r="F1737">
        <v>34382500</v>
      </c>
      <c r="G1737" t="s">
        <v>11</v>
      </c>
      <c r="H1737" t="s">
        <v>38</v>
      </c>
      <c r="I1737" t="s">
        <v>13</v>
      </c>
      <c r="J1737" t="s">
        <v>13</v>
      </c>
    </row>
    <row r="1738" spans="1:11" x14ac:dyDescent="0.25">
      <c r="A1738" t="s">
        <v>5</v>
      </c>
      <c r="B1738" t="str">
        <f>"55181"</f>
        <v>55181</v>
      </c>
      <c r="C1738" t="str">
        <f>"003"</f>
        <v>003</v>
      </c>
      <c r="D1738">
        <v>2005</v>
      </c>
      <c r="E1738">
        <v>1236300</v>
      </c>
      <c r="F1738">
        <v>100800</v>
      </c>
      <c r="G1738" t="s">
        <v>11</v>
      </c>
      <c r="H1738" t="s">
        <v>38</v>
      </c>
      <c r="I1738" t="s">
        <v>13</v>
      </c>
      <c r="J1738" t="s">
        <v>13</v>
      </c>
    </row>
    <row r="1739" spans="1:11" x14ac:dyDescent="0.25">
      <c r="A1739" t="s">
        <v>5</v>
      </c>
      <c r="B1739" t="str">
        <f>"55181"</f>
        <v>55181</v>
      </c>
      <c r="C1739" t="str">
        <f>"004"</f>
        <v>004</v>
      </c>
      <c r="D1739">
        <v>2008</v>
      </c>
      <c r="E1739">
        <v>164200</v>
      </c>
      <c r="F1739">
        <v>-921500</v>
      </c>
      <c r="G1739" t="s">
        <v>49</v>
      </c>
      <c r="H1739" t="s">
        <v>38</v>
      </c>
      <c r="I1739" t="s">
        <v>13</v>
      </c>
      <c r="J1739" t="s">
        <v>13</v>
      </c>
    </row>
    <row r="1740" spans="1:11" x14ac:dyDescent="0.25">
      <c r="A1740" t="s">
        <v>39</v>
      </c>
      <c r="B1740" t="s">
        <v>13</v>
      </c>
      <c r="C1740" t="s">
        <v>7</v>
      </c>
      <c r="D1740" t="s">
        <v>8</v>
      </c>
      <c r="E1740">
        <v>37673600</v>
      </c>
      <c r="F1740">
        <v>34483300</v>
      </c>
      <c r="G1740" t="s">
        <v>11</v>
      </c>
      <c r="H1740">
        <v>239784400</v>
      </c>
      <c r="I1740" t="s">
        <v>13</v>
      </c>
      <c r="J1740" t="s">
        <v>13</v>
      </c>
      <c r="K1740">
        <v>14.38</v>
      </c>
    </row>
    <row r="1742" spans="1:11" x14ac:dyDescent="0.25">
      <c r="A1742" t="s">
        <v>379</v>
      </c>
      <c r="B1742" t="str">
        <f>"40282"</f>
        <v>40282</v>
      </c>
      <c r="C1742" t="str">
        <f>"001"</f>
        <v>001</v>
      </c>
      <c r="D1742">
        <v>2000</v>
      </c>
      <c r="E1742">
        <v>24706000</v>
      </c>
      <c r="F1742">
        <v>16308300</v>
      </c>
      <c r="G1742" t="s">
        <v>11</v>
      </c>
      <c r="H1742" t="s">
        <v>38</v>
      </c>
      <c r="I1742" t="s">
        <v>13</v>
      </c>
      <c r="J1742" t="s">
        <v>13</v>
      </c>
    </row>
    <row r="1743" spans="1:11" x14ac:dyDescent="0.25">
      <c r="A1743" t="s">
        <v>5</v>
      </c>
      <c r="B1743" t="str">
        <f>"40282"</f>
        <v>40282</v>
      </c>
      <c r="C1743" t="str">
        <f>"002"</f>
        <v>002</v>
      </c>
      <c r="D1743">
        <v>2000</v>
      </c>
      <c r="E1743">
        <v>30603900</v>
      </c>
      <c r="F1743">
        <v>24209500</v>
      </c>
      <c r="G1743" t="s">
        <v>11</v>
      </c>
      <c r="H1743" t="s">
        <v>38</v>
      </c>
      <c r="I1743" t="s">
        <v>13</v>
      </c>
      <c r="J1743" t="s">
        <v>13</v>
      </c>
    </row>
    <row r="1744" spans="1:11" x14ac:dyDescent="0.25">
      <c r="A1744" t="s">
        <v>5</v>
      </c>
      <c r="B1744" t="str">
        <f>"40282"</f>
        <v>40282</v>
      </c>
      <c r="C1744" t="str">
        <f>"003"</f>
        <v>003</v>
      </c>
      <c r="D1744">
        <v>2005</v>
      </c>
      <c r="E1744">
        <v>34778000</v>
      </c>
      <c r="F1744">
        <v>18317500</v>
      </c>
      <c r="G1744" t="s">
        <v>11</v>
      </c>
      <c r="H1744" t="s">
        <v>38</v>
      </c>
      <c r="I1744" t="s">
        <v>13</v>
      </c>
      <c r="J1744" t="s">
        <v>13</v>
      </c>
    </row>
    <row r="1745" spans="1:11" x14ac:dyDescent="0.25">
      <c r="A1745" t="s">
        <v>5</v>
      </c>
      <c r="B1745" t="str">
        <f>"40282"</f>
        <v>40282</v>
      </c>
      <c r="C1745" t="str">
        <f>"004"</f>
        <v>004</v>
      </c>
      <c r="D1745">
        <v>2006</v>
      </c>
      <c r="E1745">
        <v>9962900</v>
      </c>
      <c r="F1745">
        <v>9300400</v>
      </c>
      <c r="G1745" t="s">
        <v>11</v>
      </c>
      <c r="H1745" t="s">
        <v>38</v>
      </c>
      <c r="I1745" t="s">
        <v>13</v>
      </c>
      <c r="J1745" t="s">
        <v>13</v>
      </c>
    </row>
    <row r="1746" spans="1:11" x14ac:dyDescent="0.25">
      <c r="A1746" t="s">
        <v>5</v>
      </c>
      <c r="B1746" t="str">
        <f>"40282"</f>
        <v>40282</v>
      </c>
      <c r="C1746" t="str">
        <f>"005"</f>
        <v>005</v>
      </c>
      <c r="D1746">
        <v>2018</v>
      </c>
      <c r="E1746">
        <v>24152800</v>
      </c>
      <c r="F1746">
        <v>754000</v>
      </c>
      <c r="G1746" t="s">
        <v>11</v>
      </c>
      <c r="H1746" t="s">
        <v>38</v>
      </c>
      <c r="I1746" t="s">
        <v>13</v>
      </c>
      <c r="J1746" t="s">
        <v>13</v>
      </c>
    </row>
    <row r="1747" spans="1:11" x14ac:dyDescent="0.25">
      <c r="A1747" t="s">
        <v>39</v>
      </c>
      <c r="B1747" t="s">
        <v>13</v>
      </c>
      <c r="C1747" t="s">
        <v>7</v>
      </c>
      <c r="D1747" t="s">
        <v>8</v>
      </c>
      <c r="E1747">
        <v>124203600</v>
      </c>
      <c r="F1747">
        <v>68889700</v>
      </c>
      <c r="G1747" t="s">
        <v>11</v>
      </c>
      <c r="H1747">
        <v>1310228400</v>
      </c>
      <c r="I1747" t="s">
        <v>13</v>
      </c>
      <c r="J1747" t="s">
        <v>13</v>
      </c>
      <c r="K1747">
        <v>5.26</v>
      </c>
    </row>
    <row r="1749" spans="1:11" x14ac:dyDescent="0.25">
      <c r="A1749" t="s">
        <v>380</v>
      </c>
      <c r="B1749" t="str">
        <f>"41281"</f>
        <v>41281</v>
      </c>
      <c r="C1749" t="str">
        <f>"003"</f>
        <v>003</v>
      </c>
      <c r="D1749">
        <v>1992</v>
      </c>
      <c r="E1749">
        <v>4654400</v>
      </c>
      <c r="F1749">
        <v>4631100</v>
      </c>
      <c r="G1749" t="s">
        <v>11</v>
      </c>
      <c r="H1749" t="s">
        <v>38</v>
      </c>
      <c r="I1749" t="s">
        <v>13</v>
      </c>
      <c r="J1749" t="s">
        <v>13</v>
      </c>
    </row>
    <row r="1750" spans="1:11" x14ac:dyDescent="0.25">
      <c r="A1750" t="s">
        <v>5</v>
      </c>
      <c r="B1750" t="str">
        <f>"41281"</f>
        <v>41281</v>
      </c>
      <c r="C1750" t="str">
        <f>"005"</f>
        <v>005</v>
      </c>
      <c r="D1750">
        <v>1996</v>
      </c>
      <c r="E1750">
        <v>40004500</v>
      </c>
      <c r="F1750">
        <v>39646500</v>
      </c>
      <c r="G1750" t="s">
        <v>11</v>
      </c>
      <c r="H1750" t="s">
        <v>38</v>
      </c>
      <c r="I1750" t="s">
        <v>13</v>
      </c>
      <c r="J1750" t="s">
        <v>13</v>
      </c>
    </row>
    <row r="1751" spans="1:11" x14ac:dyDescent="0.25">
      <c r="A1751" t="s">
        <v>5</v>
      </c>
      <c r="B1751" t="str">
        <f>"41281"</f>
        <v>41281</v>
      </c>
      <c r="C1751" t="str">
        <f>"006"</f>
        <v>006</v>
      </c>
      <c r="D1751">
        <v>2005</v>
      </c>
      <c r="E1751">
        <v>11609600</v>
      </c>
      <c r="F1751">
        <v>11364100</v>
      </c>
      <c r="G1751" t="s">
        <v>11</v>
      </c>
      <c r="H1751" t="s">
        <v>38</v>
      </c>
      <c r="I1751" t="s">
        <v>13</v>
      </c>
      <c r="J1751" t="s">
        <v>13</v>
      </c>
    </row>
    <row r="1752" spans="1:11" x14ac:dyDescent="0.25">
      <c r="A1752" t="s">
        <v>5</v>
      </c>
      <c r="B1752" t="str">
        <f>"41281"</f>
        <v>41281</v>
      </c>
      <c r="C1752" t="str">
        <f>"008"</f>
        <v>008</v>
      </c>
      <c r="D1752">
        <v>2010</v>
      </c>
      <c r="E1752">
        <v>1733000</v>
      </c>
      <c r="F1752">
        <v>701300</v>
      </c>
      <c r="G1752" t="s">
        <v>11</v>
      </c>
      <c r="H1752" t="s">
        <v>38</v>
      </c>
      <c r="I1752" t="s">
        <v>13</v>
      </c>
      <c r="J1752" t="s">
        <v>13</v>
      </c>
    </row>
    <row r="1753" spans="1:11" x14ac:dyDescent="0.25">
      <c r="A1753" t="s">
        <v>5</v>
      </c>
      <c r="B1753" t="str">
        <f>"41281"</f>
        <v>41281</v>
      </c>
      <c r="C1753" t="str">
        <f>"009"</f>
        <v>009</v>
      </c>
      <c r="D1753">
        <v>2018</v>
      </c>
      <c r="E1753">
        <v>203400</v>
      </c>
      <c r="F1753">
        <v>7100</v>
      </c>
      <c r="G1753" t="s">
        <v>11</v>
      </c>
      <c r="H1753" t="s">
        <v>38</v>
      </c>
      <c r="I1753" t="s">
        <v>13</v>
      </c>
      <c r="J1753" t="s">
        <v>13</v>
      </c>
    </row>
    <row r="1754" spans="1:11" x14ac:dyDescent="0.25">
      <c r="A1754" t="s">
        <v>39</v>
      </c>
      <c r="B1754" t="s">
        <v>13</v>
      </c>
      <c r="C1754" t="s">
        <v>7</v>
      </c>
      <c r="D1754" t="s">
        <v>8</v>
      </c>
      <c r="E1754">
        <v>58204900</v>
      </c>
      <c r="F1754">
        <v>56350100</v>
      </c>
      <c r="G1754" t="s">
        <v>11</v>
      </c>
      <c r="H1754">
        <v>646616100</v>
      </c>
      <c r="I1754" t="s">
        <v>13</v>
      </c>
      <c r="J1754" t="s">
        <v>13</v>
      </c>
      <c r="K1754">
        <v>8.7100000000000009</v>
      </c>
    </row>
    <row r="1756" spans="1:11" x14ac:dyDescent="0.25">
      <c r="A1756" t="s">
        <v>381</v>
      </c>
      <c r="B1756" t="str">
        <f>"37181"</f>
        <v>37181</v>
      </c>
      <c r="C1756" t="str">
        <f>"002"</f>
        <v>002</v>
      </c>
      <c r="D1756">
        <v>1999</v>
      </c>
      <c r="E1756">
        <v>7900100</v>
      </c>
      <c r="F1756">
        <v>4945500</v>
      </c>
      <c r="G1756" t="s">
        <v>11</v>
      </c>
      <c r="H1756" t="s">
        <v>38</v>
      </c>
      <c r="I1756" t="s">
        <v>13</v>
      </c>
      <c r="J1756" t="s">
        <v>13</v>
      </c>
    </row>
    <row r="1757" spans="1:11" x14ac:dyDescent="0.25">
      <c r="A1757" t="s">
        <v>5</v>
      </c>
      <c r="B1757" t="str">
        <f>"37181"</f>
        <v>37181</v>
      </c>
      <c r="C1757" t="str">
        <f>"003"</f>
        <v>003</v>
      </c>
      <c r="D1757">
        <v>2013</v>
      </c>
      <c r="E1757">
        <v>2467100</v>
      </c>
      <c r="F1757">
        <v>1947600</v>
      </c>
      <c r="G1757" t="s">
        <v>11</v>
      </c>
      <c r="H1757" t="s">
        <v>38</v>
      </c>
      <c r="I1757" t="s">
        <v>13</v>
      </c>
      <c r="J1757" t="s">
        <v>13</v>
      </c>
    </row>
    <row r="1758" spans="1:11" x14ac:dyDescent="0.25">
      <c r="A1758" t="s">
        <v>5</v>
      </c>
      <c r="B1758" t="str">
        <f>"37181"</f>
        <v>37181</v>
      </c>
      <c r="C1758" t="str">
        <f>"004"</f>
        <v>004</v>
      </c>
      <c r="D1758">
        <v>2016</v>
      </c>
      <c r="E1758">
        <v>6971500</v>
      </c>
      <c r="F1758">
        <v>140400</v>
      </c>
      <c r="G1758" t="s">
        <v>11</v>
      </c>
      <c r="H1758" t="s">
        <v>38</v>
      </c>
      <c r="I1758" t="s">
        <v>13</v>
      </c>
      <c r="J1758" t="s">
        <v>13</v>
      </c>
    </row>
    <row r="1759" spans="1:11" x14ac:dyDescent="0.25">
      <c r="A1759" t="s">
        <v>39</v>
      </c>
      <c r="B1759" t="s">
        <v>13</v>
      </c>
      <c r="C1759" t="s">
        <v>7</v>
      </c>
      <c r="D1759" t="s">
        <v>8</v>
      </c>
      <c r="E1759">
        <v>17338700</v>
      </c>
      <c r="F1759">
        <v>7033500</v>
      </c>
      <c r="G1759" t="s">
        <v>11</v>
      </c>
      <c r="H1759">
        <v>107773800</v>
      </c>
      <c r="I1759" t="s">
        <v>13</v>
      </c>
      <c r="J1759" t="s">
        <v>13</v>
      </c>
      <c r="K1759">
        <v>6.53</v>
      </c>
    </row>
    <row r="1761" spans="1:11" x14ac:dyDescent="0.25">
      <c r="A1761" t="s">
        <v>382</v>
      </c>
      <c r="B1761" t="str">
        <f>"65281"</f>
        <v>65281</v>
      </c>
      <c r="C1761" t="str">
        <f>"003"</f>
        <v>003</v>
      </c>
      <c r="D1761">
        <v>1996</v>
      </c>
      <c r="E1761">
        <v>14758300</v>
      </c>
      <c r="F1761">
        <v>14139600</v>
      </c>
      <c r="G1761" t="s">
        <v>11</v>
      </c>
      <c r="H1761" t="s">
        <v>38</v>
      </c>
      <c r="I1761" t="s">
        <v>13</v>
      </c>
      <c r="J1761" t="s">
        <v>13</v>
      </c>
    </row>
    <row r="1762" spans="1:11" x14ac:dyDescent="0.25">
      <c r="A1762" t="s">
        <v>5</v>
      </c>
      <c r="B1762" t="str">
        <f>"65281"</f>
        <v>65281</v>
      </c>
      <c r="C1762" t="str">
        <f>"004"</f>
        <v>004</v>
      </c>
      <c r="D1762">
        <v>2003</v>
      </c>
      <c r="E1762">
        <v>9691300</v>
      </c>
      <c r="F1762">
        <v>9513300</v>
      </c>
      <c r="G1762" t="s">
        <v>11</v>
      </c>
      <c r="H1762" t="s">
        <v>38</v>
      </c>
      <c r="I1762" t="s">
        <v>13</v>
      </c>
      <c r="J1762" t="s">
        <v>13</v>
      </c>
    </row>
    <row r="1763" spans="1:11" x14ac:dyDescent="0.25">
      <c r="A1763" t="s">
        <v>39</v>
      </c>
      <c r="B1763" t="s">
        <v>13</v>
      </c>
      <c r="C1763" t="s">
        <v>7</v>
      </c>
      <c r="D1763" t="s">
        <v>8</v>
      </c>
      <c r="E1763">
        <v>24449600</v>
      </c>
      <c r="F1763">
        <v>23652900</v>
      </c>
      <c r="G1763" t="s">
        <v>11</v>
      </c>
      <c r="H1763">
        <v>161648300</v>
      </c>
      <c r="I1763" t="s">
        <v>13</v>
      </c>
      <c r="J1763" t="s">
        <v>13</v>
      </c>
      <c r="K1763">
        <v>14.63</v>
      </c>
    </row>
    <row r="1765" spans="1:11" x14ac:dyDescent="0.25">
      <c r="A1765" t="s">
        <v>383</v>
      </c>
      <c r="B1765" t="str">
        <f>"56182"</f>
        <v>56182</v>
      </c>
      <c r="C1765" t="str">
        <f>"006"</f>
        <v>006</v>
      </c>
      <c r="D1765">
        <v>2017</v>
      </c>
      <c r="E1765">
        <v>21961200</v>
      </c>
      <c r="F1765">
        <v>3622700</v>
      </c>
      <c r="G1765" t="s">
        <v>11</v>
      </c>
      <c r="H1765" t="s">
        <v>38</v>
      </c>
      <c r="I1765" t="s">
        <v>13</v>
      </c>
      <c r="J1765" t="s">
        <v>13</v>
      </c>
    </row>
    <row r="1766" spans="1:11" x14ac:dyDescent="0.25">
      <c r="A1766" t="s">
        <v>39</v>
      </c>
      <c r="B1766" t="s">
        <v>13</v>
      </c>
      <c r="C1766" t="s">
        <v>7</v>
      </c>
      <c r="D1766" t="s">
        <v>8</v>
      </c>
      <c r="E1766">
        <v>21961200</v>
      </c>
      <c r="F1766">
        <v>3622700</v>
      </c>
      <c r="G1766" t="s">
        <v>11</v>
      </c>
      <c r="H1766">
        <v>173931300</v>
      </c>
      <c r="I1766" t="s">
        <v>13</v>
      </c>
      <c r="J1766" t="s">
        <v>13</v>
      </c>
      <c r="K1766">
        <v>2.08</v>
      </c>
    </row>
    <row r="1768" spans="1:11" x14ac:dyDescent="0.25">
      <c r="A1768" t="s">
        <v>384</v>
      </c>
      <c r="B1768" t="str">
        <f>"47181"</f>
        <v>47181</v>
      </c>
      <c r="C1768" t="str">
        <f>"002"</f>
        <v>002</v>
      </c>
      <c r="D1768">
        <v>1995</v>
      </c>
      <c r="E1768">
        <v>7287600</v>
      </c>
      <c r="F1768">
        <v>7204300</v>
      </c>
      <c r="G1768" t="s">
        <v>11</v>
      </c>
      <c r="H1768" t="s">
        <v>38</v>
      </c>
      <c r="I1768" t="s">
        <v>13</v>
      </c>
      <c r="J1768" t="s">
        <v>13</v>
      </c>
    </row>
    <row r="1769" spans="1:11" x14ac:dyDescent="0.25">
      <c r="A1769" t="s">
        <v>5</v>
      </c>
      <c r="B1769" t="str">
        <f>"47181"</f>
        <v>47181</v>
      </c>
      <c r="C1769" t="str">
        <f>"003"</f>
        <v>003</v>
      </c>
      <c r="D1769">
        <v>2007</v>
      </c>
      <c r="E1769">
        <v>3210900</v>
      </c>
      <c r="F1769">
        <v>708200</v>
      </c>
      <c r="G1769" t="s">
        <v>11</v>
      </c>
      <c r="H1769" t="s">
        <v>38</v>
      </c>
      <c r="I1769" t="s">
        <v>13</v>
      </c>
      <c r="J1769" t="s">
        <v>13</v>
      </c>
    </row>
    <row r="1770" spans="1:11" x14ac:dyDescent="0.25">
      <c r="A1770" t="s">
        <v>39</v>
      </c>
      <c r="B1770" t="s">
        <v>13</v>
      </c>
      <c r="C1770" t="s">
        <v>7</v>
      </c>
      <c r="D1770" t="s">
        <v>8</v>
      </c>
      <c r="E1770">
        <v>10498500</v>
      </c>
      <c r="F1770">
        <v>7912500</v>
      </c>
      <c r="G1770" t="s">
        <v>11</v>
      </c>
      <c r="H1770">
        <v>76857100</v>
      </c>
      <c r="I1770" t="s">
        <v>13</v>
      </c>
      <c r="J1770" t="s">
        <v>13</v>
      </c>
      <c r="K1770">
        <v>10.3</v>
      </c>
    </row>
    <row r="1772" spans="1:11" x14ac:dyDescent="0.25">
      <c r="A1772" t="s">
        <v>385</v>
      </c>
      <c r="B1772" t="str">
        <f>"09281"</f>
        <v>09281</v>
      </c>
      <c r="C1772" t="str">
        <f>"003"</f>
        <v>003</v>
      </c>
      <c r="D1772">
        <v>2001</v>
      </c>
      <c r="E1772">
        <v>22176400</v>
      </c>
      <c r="F1772">
        <v>17971200</v>
      </c>
      <c r="G1772" t="s">
        <v>11</v>
      </c>
      <c r="H1772" t="s">
        <v>38</v>
      </c>
      <c r="I1772" t="s">
        <v>13</v>
      </c>
      <c r="J1772" t="s">
        <v>13</v>
      </c>
    </row>
    <row r="1773" spans="1:11" x14ac:dyDescent="0.25">
      <c r="A1773" t="s">
        <v>39</v>
      </c>
      <c r="B1773" t="s">
        <v>13</v>
      </c>
      <c r="C1773" t="s">
        <v>7</v>
      </c>
      <c r="D1773" t="s">
        <v>8</v>
      </c>
      <c r="E1773">
        <v>22176400</v>
      </c>
      <c r="F1773">
        <v>17971200</v>
      </c>
      <c r="G1773" t="s">
        <v>11</v>
      </c>
      <c r="H1773">
        <v>122387600</v>
      </c>
      <c r="I1773" t="s">
        <v>13</v>
      </c>
      <c r="J1773" t="s">
        <v>13</v>
      </c>
      <c r="K1773">
        <v>14.68</v>
      </c>
    </row>
    <row r="1775" spans="1:11" x14ac:dyDescent="0.25">
      <c r="A1775" t="s">
        <v>386</v>
      </c>
      <c r="B1775" t="str">
        <f>"60181"</f>
        <v>60181</v>
      </c>
      <c r="C1775" t="str">
        <f>"001"</f>
        <v>001</v>
      </c>
      <c r="D1775">
        <v>2013</v>
      </c>
      <c r="E1775">
        <v>1252600</v>
      </c>
      <c r="F1775">
        <v>249600</v>
      </c>
      <c r="G1775" t="s">
        <v>11</v>
      </c>
      <c r="H1775" t="s">
        <v>38</v>
      </c>
      <c r="I1775" t="s">
        <v>13</v>
      </c>
      <c r="J1775" t="s">
        <v>13</v>
      </c>
    </row>
    <row r="1776" spans="1:11" x14ac:dyDescent="0.25">
      <c r="A1776" t="s">
        <v>39</v>
      </c>
      <c r="B1776" t="s">
        <v>13</v>
      </c>
      <c r="C1776" t="s">
        <v>7</v>
      </c>
      <c r="D1776" t="s">
        <v>8</v>
      </c>
      <c r="E1776">
        <v>1252600</v>
      </c>
      <c r="F1776">
        <v>249600</v>
      </c>
      <c r="G1776" t="s">
        <v>11</v>
      </c>
      <c r="H1776">
        <v>25126100</v>
      </c>
      <c r="I1776" t="s">
        <v>13</v>
      </c>
      <c r="J1776" t="s">
        <v>13</v>
      </c>
      <c r="K1776">
        <v>0.99</v>
      </c>
    </row>
    <row r="1778" spans="1:11" x14ac:dyDescent="0.25">
      <c r="A1778" t="s">
        <v>387</v>
      </c>
      <c r="B1778" t="str">
        <f>"49281"</f>
        <v>49281</v>
      </c>
      <c r="C1778" t="str">
        <f>"005"</f>
        <v>005</v>
      </c>
      <c r="D1778">
        <v>2005</v>
      </c>
      <c r="E1778">
        <v>120333300</v>
      </c>
      <c r="F1778">
        <v>82392600</v>
      </c>
      <c r="G1778" t="s">
        <v>11</v>
      </c>
      <c r="H1778" t="s">
        <v>38</v>
      </c>
      <c r="I1778" t="s">
        <v>13</v>
      </c>
      <c r="J1778" t="s">
        <v>13</v>
      </c>
    </row>
    <row r="1779" spans="1:11" x14ac:dyDescent="0.25">
      <c r="A1779" t="s">
        <v>5</v>
      </c>
      <c r="B1779" t="str">
        <f>"49281"</f>
        <v>49281</v>
      </c>
      <c r="C1779" t="str">
        <f>"006"</f>
        <v>006</v>
      </c>
      <c r="D1779">
        <v>2006</v>
      </c>
      <c r="E1779">
        <v>58199700</v>
      </c>
      <c r="F1779">
        <v>11894100</v>
      </c>
      <c r="G1779" t="s">
        <v>11</v>
      </c>
      <c r="H1779" t="s">
        <v>38</v>
      </c>
      <c r="I1779" t="s">
        <v>13</v>
      </c>
      <c r="J1779" t="s">
        <v>13</v>
      </c>
    </row>
    <row r="1780" spans="1:11" x14ac:dyDescent="0.25">
      <c r="A1780" t="s">
        <v>5</v>
      </c>
      <c r="B1780" t="str">
        <f>"49281"</f>
        <v>49281</v>
      </c>
      <c r="C1780" t="str">
        <f>"007"</f>
        <v>007</v>
      </c>
      <c r="D1780">
        <v>2008</v>
      </c>
      <c r="E1780">
        <v>40155100</v>
      </c>
      <c r="F1780">
        <v>29241200</v>
      </c>
      <c r="G1780" t="s">
        <v>11</v>
      </c>
      <c r="H1780" t="s">
        <v>38</v>
      </c>
      <c r="I1780" t="s">
        <v>13</v>
      </c>
      <c r="J1780" t="s">
        <v>13</v>
      </c>
    </row>
    <row r="1781" spans="1:11" x14ac:dyDescent="0.25">
      <c r="A1781" t="s">
        <v>5</v>
      </c>
      <c r="B1781" t="str">
        <f>"49281"</f>
        <v>49281</v>
      </c>
      <c r="C1781" t="str">
        <f>"008"</f>
        <v>008</v>
      </c>
      <c r="D1781">
        <v>2010</v>
      </c>
      <c r="E1781">
        <v>28487000</v>
      </c>
      <c r="F1781">
        <v>8701700</v>
      </c>
      <c r="G1781" t="s">
        <v>11</v>
      </c>
      <c r="H1781" t="s">
        <v>38</v>
      </c>
      <c r="I1781" t="s">
        <v>13</v>
      </c>
      <c r="J1781" t="s">
        <v>13</v>
      </c>
    </row>
    <row r="1782" spans="1:11" x14ac:dyDescent="0.25">
      <c r="A1782" t="s">
        <v>5</v>
      </c>
      <c r="B1782" t="str">
        <f>"49281"</f>
        <v>49281</v>
      </c>
      <c r="C1782" t="str">
        <f>"009"</f>
        <v>009</v>
      </c>
      <c r="D1782">
        <v>2013</v>
      </c>
      <c r="E1782">
        <v>159537400</v>
      </c>
      <c r="F1782">
        <v>101308000</v>
      </c>
      <c r="G1782" t="s">
        <v>11</v>
      </c>
      <c r="H1782" t="s">
        <v>38</v>
      </c>
      <c r="I1782" t="s">
        <v>13</v>
      </c>
      <c r="J1782" t="s">
        <v>13</v>
      </c>
    </row>
    <row r="1783" spans="1:11" x14ac:dyDescent="0.25">
      <c r="A1783" t="s">
        <v>39</v>
      </c>
      <c r="B1783" t="s">
        <v>13</v>
      </c>
      <c r="C1783" t="s">
        <v>7</v>
      </c>
      <c r="D1783" t="s">
        <v>8</v>
      </c>
      <c r="E1783">
        <v>406712500</v>
      </c>
      <c r="F1783">
        <v>233537600</v>
      </c>
      <c r="G1783" t="s">
        <v>11</v>
      </c>
      <c r="H1783">
        <v>2121130600</v>
      </c>
      <c r="I1783" t="s">
        <v>13</v>
      </c>
      <c r="J1783" t="s">
        <v>13</v>
      </c>
      <c r="K1783">
        <v>11.01</v>
      </c>
    </row>
    <row r="1785" spans="1:11" x14ac:dyDescent="0.25">
      <c r="A1785" t="s">
        <v>388</v>
      </c>
      <c r="B1785" t="str">
        <f t="shared" ref="B1785:B1790" si="33">"13281"</f>
        <v>13281</v>
      </c>
      <c r="C1785" t="str">
        <f>"003"</f>
        <v>003</v>
      </c>
      <c r="D1785">
        <v>1993</v>
      </c>
      <c r="E1785">
        <v>22007500</v>
      </c>
      <c r="F1785">
        <v>21913500</v>
      </c>
      <c r="G1785" t="s">
        <v>11</v>
      </c>
      <c r="H1785" t="s">
        <v>38</v>
      </c>
      <c r="I1785" t="s">
        <v>13</v>
      </c>
      <c r="J1785" t="s">
        <v>13</v>
      </c>
    </row>
    <row r="1786" spans="1:11" x14ac:dyDescent="0.25">
      <c r="A1786" t="s">
        <v>5</v>
      </c>
      <c r="B1786" t="str">
        <f t="shared" si="33"/>
        <v>13281</v>
      </c>
      <c r="C1786" t="str">
        <f>"004"</f>
        <v>004</v>
      </c>
      <c r="D1786">
        <v>1999</v>
      </c>
      <c r="E1786">
        <v>17752700</v>
      </c>
      <c r="F1786">
        <v>7987400</v>
      </c>
      <c r="G1786" t="s">
        <v>11</v>
      </c>
      <c r="H1786" t="s">
        <v>38</v>
      </c>
      <c r="I1786" t="s">
        <v>13</v>
      </c>
      <c r="J1786" t="s">
        <v>13</v>
      </c>
    </row>
    <row r="1787" spans="1:11" x14ac:dyDescent="0.25">
      <c r="A1787" t="s">
        <v>5</v>
      </c>
      <c r="B1787" t="str">
        <f t="shared" si="33"/>
        <v>13281</v>
      </c>
      <c r="C1787" t="str">
        <f>"005"</f>
        <v>005</v>
      </c>
      <c r="D1787">
        <v>2010</v>
      </c>
      <c r="E1787">
        <v>12513400</v>
      </c>
      <c r="F1787">
        <v>2244200</v>
      </c>
      <c r="G1787" t="s">
        <v>11</v>
      </c>
      <c r="H1787" t="s">
        <v>38</v>
      </c>
      <c r="I1787" t="s">
        <v>13</v>
      </c>
      <c r="J1787" t="s">
        <v>13</v>
      </c>
    </row>
    <row r="1788" spans="1:11" x14ac:dyDescent="0.25">
      <c r="A1788" t="s">
        <v>5</v>
      </c>
      <c r="B1788" t="str">
        <f t="shared" si="33"/>
        <v>13281</v>
      </c>
      <c r="C1788" t="str">
        <f>"006"</f>
        <v>006</v>
      </c>
      <c r="D1788">
        <v>2015</v>
      </c>
      <c r="E1788">
        <v>1109600</v>
      </c>
      <c r="F1788">
        <v>1099600</v>
      </c>
      <c r="G1788" t="s">
        <v>11</v>
      </c>
      <c r="H1788" t="s">
        <v>38</v>
      </c>
      <c r="I1788" t="s">
        <v>13</v>
      </c>
      <c r="J1788" t="s">
        <v>13</v>
      </c>
    </row>
    <row r="1789" spans="1:11" x14ac:dyDescent="0.25">
      <c r="A1789" t="s">
        <v>5</v>
      </c>
      <c r="B1789" t="str">
        <f t="shared" si="33"/>
        <v>13281</v>
      </c>
      <c r="C1789" t="str">
        <f>"007"</f>
        <v>007</v>
      </c>
      <c r="D1789">
        <v>2015</v>
      </c>
      <c r="E1789">
        <v>25308200</v>
      </c>
      <c r="F1789">
        <v>24196400</v>
      </c>
      <c r="G1789" t="s">
        <v>11</v>
      </c>
      <c r="H1789" t="s">
        <v>38</v>
      </c>
      <c r="I1789" t="s">
        <v>13</v>
      </c>
      <c r="J1789" t="s">
        <v>13</v>
      </c>
    </row>
    <row r="1790" spans="1:11" x14ac:dyDescent="0.25">
      <c r="A1790" t="s">
        <v>5</v>
      </c>
      <c r="B1790" t="str">
        <f t="shared" si="33"/>
        <v>13281</v>
      </c>
      <c r="C1790" t="str">
        <f>"008"</f>
        <v>008</v>
      </c>
      <c r="D1790">
        <v>2018</v>
      </c>
      <c r="E1790">
        <v>7364300</v>
      </c>
      <c r="F1790">
        <v>-12300</v>
      </c>
      <c r="G1790" t="s">
        <v>49</v>
      </c>
      <c r="H1790" t="s">
        <v>38</v>
      </c>
      <c r="I1790" t="s">
        <v>13</v>
      </c>
      <c r="J1790" t="s">
        <v>13</v>
      </c>
    </row>
    <row r="1791" spans="1:11" x14ac:dyDescent="0.25">
      <c r="A1791" t="s">
        <v>39</v>
      </c>
      <c r="B1791" t="s">
        <v>13</v>
      </c>
      <c r="C1791" t="s">
        <v>7</v>
      </c>
      <c r="D1791" t="s">
        <v>8</v>
      </c>
      <c r="E1791">
        <v>86055700</v>
      </c>
      <c r="F1791">
        <v>57441100</v>
      </c>
      <c r="G1791" t="s">
        <v>11</v>
      </c>
      <c r="H1791">
        <v>1233724300</v>
      </c>
      <c r="I1791" t="s">
        <v>13</v>
      </c>
      <c r="J1791" t="s">
        <v>13</v>
      </c>
      <c r="K1791">
        <v>4.66</v>
      </c>
    </row>
    <row r="1793" spans="1:11" x14ac:dyDescent="0.25">
      <c r="A1793" t="s">
        <v>389</v>
      </c>
      <c r="B1793" t="str">
        <f>"37182"</f>
        <v>37182</v>
      </c>
      <c r="C1793" t="str">
        <f>"003"</f>
        <v>003</v>
      </c>
      <c r="D1793">
        <v>2006</v>
      </c>
      <c r="E1793">
        <v>10028200</v>
      </c>
      <c r="F1793">
        <v>7614800</v>
      </c>
      <c r="G1793" t="s">
        <v>11</v>
      </c>
      <c r="H1793" t="s">
        <v>38</v>
      </c>
      <c r="I1793" t="s">
        <v>13</v>
      </c>
      <c r="J1793" t="s">
        <v>13</v>
      </c>
    </row>
    <row r="1794" spans="1:11" x14ac:dyDescent="0.25">
      <c r="A1794" t="s">
        <v>5</v>
      </c>
      <c r="B1794" t="str">
        <f>"37182"</f>
        <v>37182</v>
      </c>
      <c r="C1794" t="str">
        <f>"004"</f>
        <v>004</v>
      </c>
      <c r="D1794">
        <v>2015</v>
      </c>
      <c r="E1794">
        <v>23069800</v>
      </c>
      <c r="F1794">
        <v>14014300</v>
      </c>
      <c r="G1794" t="s">
        <v>11</v>
      </c>
      <c r="H1794" t="s">
        <v>38</v>
      </c>
      <c r="I1794" t="s">
        <v>13</v>
      </c>
      <c r="J1794" t="s">
        <v>13</v>
      </c>
    </row>
    <row r="1795" spans="1:11" x14ac:dyDescent="0.25">
      <c r="A1795" t="s">
        <v>39</v>
      </c>
      <c r="B1795" t="s">
        <v>13</v>
      </c>
      <c r="C1795" t="s">
        <v>7</v>
      </c>
      <c r="D1795" t="s">
        <v>8</v>
      </c>
      <c r="E1795">
        <v>33098000</v>
      </c>
      <c r="F1795">
        <v>21629100</v>
      </c>
      <c r="G1795" t="s">
        <v>11</v>
      </c>
      <c r="H1795">
        <v>116130000</v>
      </c>
      <c r="I1795" t="s">
        <v>13</v>
      </c>
      <c r="J1795" t="s">
        <v>13</v>
      </c>
      <c r="K1795">
        <v>18.62</v>
      </c>
    </row>
    <row r="1797" spans="1:11" x14ac:dyDescent="0.25">
      <c r="A1797" t="s">
        <v>390</v>
      </c>
      <c r="B1797" t="str">
        <f>"61181"</f>
        <v>61181</v>
      </c>
      <c r="C1797" t="str">
        <f>"001"</f>
        <v>001</v>
      </c>
      <c r="D1797">
        <v>2009</v>
      </c>
      <c r="E1797">
        <v>8400</v>
      </c>
      <c r="F1797">
        <v>2800</v>
      </c>
      <c r="G1797" t="s">
        <v>11</v>
      </c>
      <c r="H1797" t="s">
        <v>38</v>
      </c>
      <c r="I1797" t="s">
        <v>13</v>
      </c>
      <c r="J1797" t="s">
        <v>13</v>
      </c>
    </row>
    <row r="1798" spans="1:11" x14ac:dyDescent="0.25">
      <c r="A1798" t="s">
        <v>39</v>
      </c>
      <c r="B1798" t="s">
        <v>13</v>
      </c>
      <c r="C1798" t="s">
        <v>7</v>
      </c>
      <c r="D1798" t="s">
        <v>8</v>
      </c>
      <c r="E1798">
        <v>8400</v>
      </c>
      <c r="F1798">
        <v>2800</v>
      </c>
      <c r="G1798" t="s">
        <v>11</v>
      </c>
      <c r="H1798">
        <v>59158100</v>
      </c>
      <c r="I1798" t="s">
        <v>13</v>
      </c>
      <c r="J1798" t="s">
        <v>13</v>
      </c>
      <c r="K1798">
        <v>0</v>
      </c>
    </row>
    <row r="1800" spans="1:11" x14ac:dyDescent="0.25">
      <c r="A1800" t="s">
        <v>391</v>
      </c>
      <c r="B1800" t="str">
        <f>"15281"</f>
        <v>15281</v>
      </c>
      <c r="C1800" t="str">
        <f>"001"</f>
        <v>001</v>
      </c>
      <c r="D1800">
        <v>1991</v>
      </c>
      <c r="E1800">
        <v>44534700</v>
      </c>
      <c r="F1800">
        <v>34900500</v>
      </c>
      <c r="G1800" t="s">
        <v>11</v>
      </c>
      <c r="H1800" t="s">
        <v>38</v>
      </c>
      <c r="I1800" t="s">
        <v>13</v>
      </c>
      <c r="J1800" t="s">
        <v>13</v>
      </c>
    </row>
    <row r="1801" spans="1:11" x14ac:dyDescent="0.25">
      <c r="A1801" t="s">
        <v>5</v>
      </c>
      <c r="B1801" t="str">
        <f>"15281"</f>
        <v>15281</v>
      </c>
      <c r="C1801" t="str">
        <f>"002"</f>
        <v>002</v>
      </c>
      <c r="D1801">
        <v>1994</v>
      </c>
      <c r="E1801">
        <v>73143200</v>
      </c>
      <c r="F1801">
        <v>57020200</v>
      </c>
      <c r="G1801" t="s">
        <v>11</v>
      </c>
      <c r="H1801" t="s">
        <v>38</v>
      </c>
      <c r="I1801" t="s">
        <v>13</v>
      </c>
      <c r="J1801" t="s">
        <v>13</v>
      </c>
    </row>
    <row r="1802" spans="1:11" x14ac:dyDescent="0.25">
      <c r="A1802" t="s">
        <v>5</v>
      </c>
      <c r="B1802" t="str">
        <f>"15281"</f>
        <v>15281</v>
      </c>
      <c r="C1802" t="str">
        <f>"003"</f>
        <v>003</v>
      </c>
      <c r="D1802">
        <v>2008</v>
      </c>
      <c r="E1802">
        <v>2980700</v>
      </c>
      <c r="F1802">
        <v>2063800</v>
      </c>
      <c r="G1802" t="s">
        <v>11</v>
      </c>
      <c r="H1802" t="s">
        <v>38</v>
      </c>
      <c r="I1802" t="s">
        <v>13</v>
      </c>
      <c r="J1802" t="s">
        <v>13</v>
      </c>
    </row>
    <row r="1803" spans="1:11" x14ac:dyDescent="0.25">
      <c r="A1803" t="s">
        <v>5</v>
      </c>
      <c r="B1803" t="str">
        <f>"15281"</f>
        <v>15281</v>
      </c>
      <c r="C1803" t="str">
        <f>"004"</f>
        <v>004</v>
      </c>
      <c r="D1803">
        <v>2013</v>
      </c>
      <c r="E1803">
        <v>5989000</v>
      </c>
      <c r="F1803">
        <v>5573100</v>
      </c>
      <c r="G1803" t="s">
        <v>11</v>
      </c>
      <c r="H1803" t="s">
        <v>38</v>
      </c>
      <c r="I1803" t="s">
        <v>13</v>
      </c>
      <c r="J1803" t="s">
        <v>13</v>
      </c>
    </row>
    <row r="1804" spans="1:11" x14ac:dyDescent="0.25">
      <c r="A1804" t="s">
        <v>39</v>
      </c>
      <c r="B1804" t="s">
        <v>13</v>
      </c>
      <c r="C1804" t="s">
        <v>7</v>
      </c>
      <c r="D1804" t="s">
        <v>8</v>
      </c>
      <c r="E1804">
        <v>126647600</v>
      </c>
      <c r="F1804">
        <v>99557600</v>
      </c>
      <c r="G1804" t="s">
        <v>11</v>
      </c>
      <c r="H1804">
        <v>957729900</v>
      </c>
      <c r="I1804" t="s">
        <v>13</v>
      </c>
      <c r="J1804" t="s">
        <v>13</v>
      </c>
      <c r="K1804">
        <v>10.4</v>
      </c>
    </row>
    <row r="1806" spans="1:11" x14ac:dyDescent="0.25">
      <c r="A1806" t="s">
        <v>392</v>
      </c>
      <c r="B1806" t="str">
        <f>"51181"</f>
        <v>51181</v>
      </c>
      <c r="C1806" t="str">
        <f>"004"</f>
        <v>004</v>
      </c>
      <c r="D1806">
        <v>2016</v>
      </c>
      <c r="E1806">
        <v>72375100</v>
      </c>
      <c r="F1806">
        <v>17051500</v>
      </c>
      <c r="G1806" t="s">
        <v>11</v>
      </c>
      <c r="H1806" t="s">
        <v>38</v>
      </c>
      <c r="I1806" t="s">
        <v>13</v>
      </c>
      <c r="J1806" t="s">
        <v>13</v>
      </c>
    </row>
    <row r="1807" spans="1:11" x14ac:dyDescent="0.25">
      <c r="A1807" t="s">
        <v>39</v>
      </c>
      <c r="B1807" t="s">
        <v>13</v>
      </c>
      <c r="C1807" t="s">
        <v>7</v>
      </c>
      <c r="D1807" t="s">
        <v>8</v>
      </c>
      <c r="E1807">
        <v>72375100</v>
      </c>
      <c r="F1807">
        <v>17051500</v>
      </c>
      <c r="G1807" t="s">
        <v>11</v>
      </c>
      <c r="H1807">
        <v>599324900</v>
      </c>
      <c r="I1807" t="s">
        <v>13</v>
      </c>
      <c r="J1807" t="s">
        <v>13</v>
      </c>
      <c r="K1807">
        <v>2.85</v>
      </c>
    </row>
    <row r="1809" spans="1:11" x14ac:dyDescent="0.25">
      <c r="A1809" t="s">
        <v>393</v>
      </c>
      <c r="B1809" t="str">
        <f>"05178"</f>
        <v>05178</v>
      </c>
      <c r="C1809" t="str">
        <f>"001"</f>
        <v>001</v>
      </c>
      <c r="D1809">
        <v>2004</v>
      </c>
      <c r="E1809">
        <v>56761000</v>
      </c>
      <c r="F1809">
        <v>46290300</v>
      </c>
      <c r="G1809" t="s">
        <v>11</v>
      </c>
      <c r="H1809" t="s">
        <v>38</v>
      </c>
      <c r="I1809" t="s">
        <v>13</v>
      </c>
      <c r="J1809" t="s">
        <v>13</v>
      </c>
    </row>
    <row r="1810" spans="1:11" x14ac:dyDescent="0.25">
      <c r="A1810" t="s">
        <v>5</v>
      </c>
      <c r="B1810" t="str">
        <f>"05178"</f>
        <v>05178</v>
      </c>
      <c r="C1810" t="str">
        <f>"002"</f>
        <v>002</v>
      </c>
      <c r="D1810">
        <v>2006</v>
      </c>
      <c r="E1810">
        <v>25701300</v>
      </c>
      <c r="F1810">
        <v>15175100</v>
      </c>
      <c r="G1810" t="s">
        <v>11</v>
      </c>
      <c r="H1810" t="s">
        <v>38</v>
      </c>
      <c r="I1810" t="s">
        <v>13</v>
      </c>
      <c r="J1810" t="s">
        <v>13</v>
      </c>
    </row>
    <row r="1811" spans="1:11" x14ac:dyDescent="0.25">
      <c r="A1811" t="s">
        <v>5</v>
      </c>
      <c r="B1811" t="str">
        <f>"05178"</f>
        <v>05178</v>
      </c>
      <c r="C1811" t="str">
        <f>"004"</f>
        <v>004</v>
      </c>
      <c r="D1811">
        <v>2014</v>
      </c>
      <c r="E1811">
        <v>68607800</v>
      </c>
      <c r="F1811">
        <v>34599100</v>
      </c>
      <c r="G1811" t="s">
        <v>11</v>
      </c>
      <c r="H1811" t="s">
        <v>38</v>
      </c>
      <c r="I1811" t="s">
        <v>13</v>
      </c>
      <c r="J1811" t="s">
        <v>13</v>
      </c>
    </row>
    <row r="1812" spans="1:11" x14ac:dyDescent="0.25">
      <c r="A1812" t="s">
        <v>39</v>
      </c>
      <c r="B1812" t="s">
        <v>13</v>
      </c>
      <c r="C1812" t="s">
        <v>7</v>
      </c>
      <c r="D1812" t="s">
        <v>8</v>
      </c>
      <c r="E1812">
        <v>151070100</v>
      </c>
      <c r="F1812">
        <v>96064500</v>
      </c>
      <c r="G1812" t="s">
        <v>11</v>
      </c>
      <c r="H1812">
        <v>1416046200</v>
      </c>
      <c r="I1812" t="s">
        <v>13</v>
      </c>
      <c r="J1812" t="s">
        <v>13</v>
      </c>
      <c r="K1812">
        <v>6.78</v>
      </c>
    </row>
    <row r="1814" spans="1:11" x14ac:dyDescent="0.25">
      <c r="A1814" t="s">
        <v>394</v>
      </c>
      <c r="B1814" t="str">
        <f t="shared" ref="B1814:B1819" si="34">"13282"</f>
        <v>13282</v>
      </c>
      <c r="C1814" t="str">
        <f>"006"</f>
        <v>006</v>
      </c>
      <c r="D1814">
        <v>1997</v>
      </c>
      <c r="E1814">
        <v>7009400</v>
      </c>
      <c r="F1814">
        <v>6891800</v>
      </c>
      <c r="G1814" t="s">
        <v>11</v>
      </c>
      <c r="H1814" t="s">
        <v>38</v>
      </c>
      <c r="I1814" t="s">
        <v>13</v>
      </c>
      <c r="J1814" t="s">
        <v>13</v>
      </c>
    </row>
    <row r="1815" spans="1:11" x14ac:dyDescent="0.25">
      <c r="A1815" t="s">
        <v>5</v>
      </c>
      <c r="B1815" t="str">
        <f t="shared" si="34"/>
        <v>13282</v>
      </c>
      <c r="C1815" t="str">
        <f>"008"</f>
        <v>008</v>
      </c>
      <c r="D1815">
        <v>2002</v>
      </c>
      <c r="E1815">
        <v>114751900</v>
      </c>
      <c r="F1815">
        <v>92472900</v>
      </c>
      <c r="G1815" t="s">
        <v>11</v>
      </c>
      <c r="H1815" t="s">
        <v>38</v>
      </c>
      <c r="I1815" t="s">
        <v>13</v>
      </c>
      <c r="J1815" t="s">
        <v>13</v>
      </c>
    </row>
    <row r="1816" spans="1:11" x14ac:dyDescent="0.25">
      <c r="A1816" t="s">
        <v>5</v>
      </c>
      <c r="B1816" t="str">
        <f t="shared" si="34"/>
        <v>13282</v>
      </c>
      <c r="C1816" t="str">
        <f>"009"</f>
        <v>009</v>
      </c>
      <c r="D1816">
        <v>2007</v>
      </c>
      <c r="E1816">
        <v>91421800</v>
      </c>
      <c r="F1816">
        <v>79126900</v>
      </c>
      <c r="G1816" t="s">
        <v>11</v>
      </c>
      <c r="H1816" t="s">
        <v>38</v>
      </c>
      <c r="I1816" t="s">
        <v>13</v>
      </c>
      <c r="J1816" t="s">
        <v>13</v>
      </c>
    </row>
    <row r="1817" spans="1:11" x14ac:dyDescent="0.25">
      <c r="A1817" t="s">
        <v>5</v>
      </c>
      <c r="B1817" t="str">
        <f t="shared" si="34"/>
        <v>13282</v>
      </c>
      <c r="C1817" t="str">
        <f>"011"</f>
        <v>011</v>
      </c>
      <c r="D1817">
        <v>2015</v>
      </c>
      <c r="E1817">
        <v>56851800</v>
      </c>
      <c r="F1817">
        <v>24352500</v>
      </c>
      <c r="G1817" t="s">
        <v>11</v>
      </c>
      <c r="H1817" t="s">
        <v>38</v>
      </c>
      <c r="I1817" t="s">
        <v>13</v>
      </c>
      <c r="J1817" t="s">
        <v>13</v>
      </c>
    </row>
    <row r="1818" spans="1:11" x14ac:dyDescent="0.25">
      <c r="A1818" t="s">
        <v>5</v>
      </c>
      <c r="B1818" t="str">
        <f t="shared" si="34"/>
        <v>13282</v>
      </c>
      <c r="C1818" t="str">
        <f>"012"</f>
        <v>012</v>
      </c>
      <c r="D1818">
        <v>2016</v>
      </c>
      <c r="E1818">
        <v>13502000</v>
      </c>
      <c r="F1818">
        <v>9727500</v>
      </c>
      <c r="G1818" t="s">
        <v>11</v>
      </c>
      <c r="H1818" t="s">
        <v>38</v>
      </c>
      <c r="I1818" t="s">
        <v>13</v>
      </c>
      <c r="J1818" t="s">
        <v>13</v>
      </c>
    </row>
    <row r="1819" spans="1:11" x14ac:dyDescent="0.25">
      <c r="A1819" t="s">
        <v>5</v>
      </c>
      <c r="B1819" t="str">
        <f t="shared" si="34"/>
        <v>13282</v>
      </c>
      <c r="C1819" t="str">
        <f>"013"</f>
        <v>013</v>
      </c>
      <c r="D1819">
        <v>2017</v>
      </c>
      <c r="E1819">
        <v>17600000</v>
      </c>
      <c r="F1819">
        <v>16981800</v>
      </c>
      <c r="G1819" t="s">
        <v>11</v>
      </c>
      <c r="H1819" t="s">
        <v>38</v>
      </c>
      <c r="I1819" t="s">
        <v>13</v>
      </c>
      <c r="J1819" t="s">
        <v>13</v>
      </c>
    </row>
    <row r="1820" spans="1:11" x14ac:dyDescent="0.25">
      <c r="A1820" t="s">
        <v>39</v>
      </c>
      <c r="B1820" t="s">
        <v>13</v>
      </c>
      <c r="C1820" t="s">
        <v>7</v>
      </c>
      <c r="D1820" t="s">
        <v>8</v>
      </c>
      <c r="E1820">
        <v>301136900</v>
      </c>
      <c r="F1820">
        <v>229553400</v>
      </c>
      <c r="G1820" t="s">
        <v>11</v>
      </c>
      <c r="H1820">
        <v>3634094300</v>
      </c>
      <c r="I1820" t="s">
        <v>13</v>
      </c>
      <c r="J1820" t="s">
        <v>13</v>
      </c>
      <c r="K1820">
        <v>6.32</v>
      </c>
    </row>
    <row r="1822" spans="1:11" x14ac:dyDescent="0.25">
      <c r="A1822" t="s">
        <v>395</v>
      </c>
      <c r="B1822" t="str">
        <f t="shared" ref="B1822:B1827" si="35">"16281"</f>
        <v>16281</v>
      </c>
      <c r="C1822" t="str">
        <f>"007"</f>
        <v>007</v>
      </c>
      <c r="D1822">
        <v>1996</v>
      </c>
      <c r="E1822">
        <v>19364000</v>
      </c>
      <c r="F1822">
        <v>11964500</v>
      </c>
      <c r="G1822" t="s">
        <v>11</v>
      </c>
      <c r="H1822" t="s">
        <v>38</v>
      </c>
      <c r="I1822" t="s">
        <v>13</v>
      </c>
      <c r="J1822" t="s">
        <v>13</v>
      </c>
    </row>
    <row r="1823" spans="1:11" x14ac:dyDescent="0.25">
      <c r="A1823" t="s">
        <v>5</v>
      </c>
      <c r="B1823" t="str">
        <f t="shared" si="35"/>
        <v>16281</v>
      </c>
      <c r="C1823" t="str">
        <f>"008"</f>
        <v>008</v>
      </c>
      <c r="D1823">
        <v>1997</v>
      </c>
      <c r="E1823">
        <v>23279300</v>
      </c>
      <c r="F1823">
        <v>21396600</v>
      </c>
      <c r="G1823" t="s">
        <v>11</v>
      </c>
      <c r="H1823" t="s">
        <v>38</v>
      </c>
      <c r="I1823" t="s">
        <v>13</v>
      </c>
      <c r="J1823" t="s">
        <v>13</v>
      </c>
    </row>
    <row r="1824" spans="1:11" x14ac:dyDescent="0.25">
      <c r="A1824" t="s">
        <v>5</v>
      </c>
      <c r="B1824" t="str">
        <f t="shared" si="35"/>
        <v>16281</v>
      </c>
      <c r="C1824" t="str">
        <f>"009"</f>
        <v>009</v>
      </c>
      <c r="D1824">
        <v>2002</v>
      </c>
      <c r="E1824">
        <v>26450100</v>
      </c>
      <c r="F1824">
        <v>18274500</v>
      </c>
      <c r="G1824" t="s">
        <v>11</v>
      </c>
      <c r="H1824" t="s">
        <v>38</v>
      </c>
      <c r="I1824" t="s">
        <v>13</v>
      </c>
      <c r="J1824" t="s">
        <v>13</v>
      </c>
    </row>
    <row r="1825" spans="1:11" x14ac:dyDescent="0.25">
      <c r="A1825" t="s">
        <v>5</v>
      </c>
      <c r="B1825" t="str">
        <f t="shared" si="35"/>
        <v>16281</v>
      </c>
      <c r="C1825" t="str">
        <f>"011"</f>
        <v>011</v>
      </c>
      <c r="D1825">
        <v>2008</v>
      </c>
      <c r="E1825">
        <v>10082100</v>
      </c>
      <c r="F1825">
        <v>7695100</v>
      </c>
      <c r="G1825" t="s">
        <v>11</v>
      </c>
      <c r="H1825" t="s">
        <v>38</v>
      </c>
      <c r="I1825" t="s">
        <v>13</v>
      </c>
      <c r="J1825" t="s">
        <v>13</v>
      </c>
    </row>
    <row r="1826" spans="1:11" x14ac:dyDescent="0.25">
      <c r="A1826" t="s">
        <v>5</v>
      </c>
      <c r="B1826" t="str">
        <f t="shared" si="35"/>
        <v>16281</v>
      </c>
      <c r="C1826" t="str">
        <f>"012"</f>
        <v>012</v>
      </c>
      <c r="D1826">
        <v>2012</v>
      </c>
      <c r="E1826">
        <v>0</v>
      </c>
      <c r="F1826">
        <v>0</v>
      </c>
      <c r="G1826" t="s">
        <v>11</v>
      </c>
      <c r="H1826" t="s">
        <v>38</v>
      </c>
      <c r="I1826" t="s">
        <v>13</v>
      </c>
      <c r="J1826" t="s">
        <v>13</v>
      </c>
    </row>
    <row r="1827" spans="1:11" x14ac:dyDescent="0.25">
      <c r="A1827" t="s">
        <v>5</v>
      </c>
      <c r="B1827" t="str">
        <f t="shared" si="35"/>
        <v>16281</v>
      </c>
      <c r="C1827" t="str">
        <f>"013"</f>
        <v>013</v>
      </c>
      <c r="D1827">
        <v>2014</v>
      </c>
      <c r="E1827">
        <v>8529700</v>
      </c>
      <c r="F1827">
        <v>6129300</v>
      </c>
      <c r="G1827" t="s">
        <v>11</v>
      </c>
      <c r="H1827" t="s">
        <v>38</v>
      </c>
      <c r="I1827" t="s">
        <v>13</v>
      </c>
      <c r="J1827" t="s">
        <v>13</v>
      </c>
    </row>
    <row r="1828" spans="1:11" x14ac:dyDescent="0.25">
      <c r="A1828" t="s">
        <v>39</v>
      </c>
      <c r="B1828" t="s">
        <v>13</v>
      </c>
      <c r="C1828" t="s">
        <v>7</v>
      </c>
      <c r="D1828" t="s">
        <v>8</v>
      </c>
      <c r="E1828">
        <v>87705200</v>
      </c>
      <c r="F1828">
        <v>65460000</v>
      </c>
      <c r="G1828" t="s">
        <v>11</v>
      </c>
      <c r="H1828">
        <v>1769188200</v>
      </c>
      <c r="I1828" t="s">
        <v>13</v>
      </c>
      <c r="J1828" t="s">
        <v>13</v>
      </c>
      <c r="K1828">
        <v>3.7</v>
      </c>
    </row>
    <row r="1830" spans="1:11" x14ac:dyDescent="0.25">
      <c r="A1830" t="s">
        <v>396</v>
      </c>
      <c r="B1830" t="str">
        <f>"42181"</f>
        <v>42181</v>
      </c>
      <c r="C1830" t="str">
        <f>"001"</f>
        <v>001</v>
      </c>
      <c r="D1830">
        <v>2000</v>
      </c>
      <c r="E1830">
        <v>2351700</v>
      </c>
      <c r="F1830">
        <v>902465</v>
      </c>
      <c r="G1830" t="s">
        <v>11</v>
      </c>
      <c r="H1830" t="s">
        <v>38</v>
      </c>
      <c r="I1830" t="s">
        <v>13</v>
      </c>
      <c r="J1830" t="s">
        <v>13</v>
      </c>
    </row>
    <row r="1831" spans="1:11" x14ac:dyDescent="0.25">
      <c r="A1831" t="s">
        <v>39</v>
      </c>
      <c r="B1831" t="s">
        <v>13</v>
      </c>
      <c r="C1831" t="s">
        <v>7</v>
      </c>
      <c r="D1831" t="s">
        <v>8</v>
      </c>
      <c r="E1831">
        <v>2351700</v>
      </c>
      <c r="F1831">
        <v>902465</v>
      </c>
      <c r="G1831" t="s">
        <v>11</v>
      </c>
      <c r="H1831">
        <v>21945300</v>
      </c>
      <c r="I1831" t="s">
        <v>13</v>
      </c>
      <c r="J1831" t="s">
        <v>13</v>
      </c>
      <c r="K1831">
        <v>4.1100000000000003</v>
      </c>
    </row>
    <row r="1833" spans="1:11" x14ac:dyDescent="0.25">
      <c r="A1833" t="s">
        <v>397</v>
      </c>
      <c r="B1833" t="str">
        <f>"67181"</f>
        <v>67181</v>
      </c>
      <c r="C1833" t="str">
        <f>"006"</f>
        <v>006</v>
      </c>
      <c r="D1833">
        <v>2013</v>
      </c>
      <c r="E1833">
        <v>64659100</v>
      </c>
      <c r="F1833">
        <v>40555500</v>
      </c>
      <c r="G1833" t="s">
        <v>11</v>
      </c>
      <c r="H1833" t="s">
        <v>38</v>
      </c>
      <c r="I1833" t="s">
        <v>13</v>
      </c>
      <c r="J1833" t="s">
        <v>13</v>
      </c>
    </row>
    <row r="1834" spans="1:11" x14ac:dyDescent="0.25">
      <c r="A1834" t="s">
        <v>5</v>
      </c>
      <c r="B1834" t="str">
        <f>"67181"</f>
        <v>67181</v>
      </c>
      <c r="C1834" t="str">
        <f>"007"</f>
        <v>007</v>
      </c>
      <c r="D1834">
        <v>2018</v>
      </c>
      <c r="E1834">
        <v>232800</v>
      </c>
      <c r="F1834">
        <v>-7800</v>
      </c>
      <c r="G1834" t="s">
        <v>49</v>
      </c>
      <c r="H1834" t="s">
        <v>38</v>
      </c>
      <c r="I1834" t="s">
        <v>13</v>
      </c>
      <c r="J1834" t="s">
        <v>13</v>
      </c>
    </row>
    <row r="1835" spans="1:11" x14ac:dyDescent="0.25">
      <c r="A1835" t="s">
        <v>39</v>
      </c>
      <c r="B1835" t="s">
        <v>13</v>
      </c>
      <c r="C1835" t="s">
        <v>7</v>
      </c>
      <c r="D1835" t="s">
        <v>8</v>
      </c>
      <c r="E1835">
        <v>64891900</v>
      </c>
      <c r="F1835">
        <v>40555500</v>
      </c>
      <c r="G1835" t="s">
        <v>11</v>
      </c>
      <c r="H1835">
        <v>1429991200</v>
      </c>
      <c r="I1835" t="s">
        <v>13</v>
      </c>
      <c r="J1835" t="s">
        <v>13</v>
      </c>
      <c r="K1835">
        <v>2.84</v>
      </c>
    </row>
    <row r="1837" spans="1:11" x14ac:dyDescent="0.25">
      <c r="A1837" t="s">
        <v>398</v>
      </c>
      <c r="B1837" t="str">
        <f>"27186"</f>
        <v>27186</v>
      </c>
      <c r="C1837" t="str">
        <f>"003"</f>
        <v>003</v>
      </c>
      <c r="D1837">
        <v>1997</v>
      </c>
      <c r="E1837">
        <v>3249700</v>
      </c>
      <c r="F1837">
        <v>3175700</v>
      </c>
      <c r="G1837" t="s">
        <v>11</v>
      </c>
      <c r="H1837" t="s">
        <v>38</v>
      </c>
      <c r="I1837" t="s">
        <v>13</v>
      </c>
      <c r="J1837" t="s">
        <v>13</v>
      </c>
    </row>
    <row r="1838" spans="1:11" x14ac:dyDescent="0.25">
      <c r="A1838" t="s">
        <v>5</v>
      </c>
      <c r="B1838" t="str">
        <f>"27186"</f>
        <v>27186</v>
      </c>
      <c r="C1838" t="str">
        <f>"004"</f>
        <v>004</v>
      </c>
      <c r="D1838">
        <v>1999</v>
      </c>
      <c r="E1838">
        <v>838100</v>
      </c>
      <c r="F1838">
        <v>439300</v>
      </c>
      <c r="G1838" t="s">
        <v>11</v>
      </c>
      <c r="H1838" t="s">
        <v>38</v>
      </c>
      <c r="I1838" t="s">
        <v>13</v>
      </c>
      <c r="J1838" t="s">
        <v>13</v>
      </c>
    </row>
    <row r="1839" spans="1:11" x14ac:dyDescent="0.25">
      <c r="A1839" t="s">
        <v>39</v>
      </c>
      <c r="B1839" t="s">
        <v>13</v>
      </c>
      <c r="C1839" t="s">
        <v>7</v>
      </c>
      <c r="D1839" t="s">
        <v>8</v>
      </c>
      <c r="E1839">
        <v>4087800</v>
      </c>
      <c r="F1839">
        <v>3615000</v>
      </c>
      <c r="G1839" t="s">
        <v>11</v>
      </c>
      <c r="H1839">
        <v>14446400</v>
      </c>
      <c r="I1839" t="s">
        <v>13</v>
      </c>
      <c r="J1839" t="s">
        <v>13</v>
      </c>
      <c r="K1839">
        <v>25.02</v>
      </c>
    </row>
    <row r="1841" spans="1:11" x14ac:dyDescent="0.25">
      <c r="A1841" t="s">
        <v>399</v>
      </c>
      <c r="B1841" t="str">
        <f>"10286"</f>
        <v>10286</v>
      </c>
      <c r="C1841" t="str">
        <f>"004"</f>
        <v>004</v>
      </c>
      <c r="D1841">
        <v>1994</v>
      </c>
      <c r="E1841">
        <v>6358400</v>
      </c>
      <c r="F1841">
        <v>5722400</v>
      </c>
      <c r="G1841" t="s">
        <v>11</v>
      </c>
      <c r="H1841" t="s">
        <v>38</v>
      </c>
      <c r="I1841" t="s">
        <v>13</v>
      </c>
      <c r="J1841" t="s">
        <v>13</v>
      </c>
    </row>
    <row r="1842" spans="1:11" x14ac:dyDescent="0.25">
      <c r="A1842" t="s">
        <v>5</v>
      </c>
      <c r="B1842" t="str">
        <f>"10286"</f>
        <v>10286</v>
      </c>
      <c r="C1842" t="str">
        <f>"005"</f>
        <v>005</v>
      </c>
      <c r="D1842">
        <v>1999</v>
      </c>
      <c r="E1842">
        <v>8460600</v>
      </c>
      <c r="F1842">
        <v>8175200</v>
      </c>
      <c r="G1842" t="s">
        <v>11</v>
      </c>
      <c r="H1842" t="s">
        <v>38</v>
      </c>
      <c r="I1842" t="s">
        <v>13</v>
      </c>
      <c r="J1842" t="s">
        <v>13</v>
      </c>
    </row>
    <row r="1843" spans="1:11" x14ac:dyDescent="0.25">
      <c r="A1843" t="s">
        <v>5</v>
      </c>
      <c r="B1843" t="str">
        <f>"10286"</f>
        <v>10286</v>
      </c>
      <c r="C1843" t="str">
        <f>"006"</f>
        <v>006</v>
      </c>
      <c r="D1843">
        <v>2000</v>
      </c>
      <c r="E1843">
        <v>6559400</v>
      </c>
      <c r="F1843">
        <v>4977400</v>
      </c>
      <c r="G1843" t="s">
        <v>11</v>
      </c>
      <c r="H1843" t="s">
        <v>38</v>
      </c>
      <c r="I1843" t="s">
        <v>13</v>
      </c>
      <c r="J1843" t="s">
        <v>13</v>
      </c>
    </row>
    <row r="1844" spans="1:11" x14ac:dyDescent="0.25">
      <c r="A1844" t="s">
        <v>39</v>
      </c>
      <c r="B1844" t="s">
        <v>13</v>
      </c>
      <c r="C1844" t="s">
        <v>7</v>
      </c>
      <c r="D1844" t="s">
        <v>8</v>
      </c>
      <c r="E1844">
        <v>21378400</v>
      </c>
      <c r="F1844">
        <v>18875000</v>
      </c>
      <c r="G1844" t="s">
        <v>11</v>
      </c>
      <c r="H1844">
        <v>99041400</v>
      </c>
      <c r="I1844" t="s">
        <v>13</v>
      </c>
      <c r="J1844" t="s">
        <v>13</v>
      </c>
      <c r="K1844">
        <v>19.059999999999999</v>
      </c>
    </row>
    <row r="1846" spans="1:11" x14ac:dyDescent="0.25">
      <c r="A1846" t="s">
        <v>400</v>
      </c>
      <c r="B1846" t="str">
        <f>"58186"</f>
        <v>58186</v>
      </c>
      <c r="C1846" t="str">
        <f>"001"</f>
        <v>001</v>
      </c>
      <c r="D1846">
        <v>1996</v>
      </c>
      <c r="E1846">
        <v>2129900</v>
      </c>
      <c r="F1846">
        <v>2005000</v>
      </c>
      <c r="G1846" t="s">
        <v>11</v>
      </c>
      <c r="H1846" t="s">
        <v>38</v>
      </c>
      <c r="I1846" t="s">
        <v>13</v>
      </c>
      <c r="J1846" t="s">
        <v>13</v>
      </c>
    </row>
    <row r="1847" spans="1:11" x14ac:dyDescent="0.25">
      <c r="A1847" t="s">
        <v>5</v>
      </c>
      <c r="B1847" t="str">
        <f>"58186"</f>
        <v>58186</v>
      </c>
      <c r="C1847" t="str">
        <f>"002"</f>
        <v>002</v>
      </c>
      <c r="D1847">
        <v>2014</v>
      </c>
      <c r="E1847">
        <v>1303500</v>
      </c>
      <c r="F1847">
        <v>665600</v>
      </c>
      <c r="G1847" t="s">
        <v>11</v>
      </c>
      <c r="H1847" t="s">
        <v>38</v>
      </c>
      <c r="I1847" t="s">
        <v>13</v>
      </c>
      <c r="J1847" t="s">
        <v>13</v>
      </c>
    </row>
    <row r="1848" spans="1:11" x14ac:dyDescent="0.25">
      <c r="A1848" t="s">
        <v>39</v>
      </c>
      <c r="B1848" t="s">
        <v>13</v>
      </c>
      <c r="C1848" t="s">
        <v>7</v>
      </c>
      <c r="D1848" t="s">
        <v>8</v>
      </c>
      <c r="E1848">
        <v>3433400</v>
      </c>
      <c r="F1848">
        <v>2670600</v>
      </c>
      <c r="G1848" t="s">
        <v>11</v>
      </c>
      <c r="H1848">
        <v>21978900</v>
      </c>
      <c r="I1848" t="s">
        <v>13</v>
      </c>
      <c r="J1848" t="s">
        <v>13</v>
      </c>
      <c r="K1848">
        <v>12.15</v>
      </c>
    </row>
    <row r="1850" spans="1:11" x14ac:dyDescent="0.25">
      <c r="A1850" t="s">
        <v>401</v>
      </c>
      <c r="B1850" t="str">
        <f>"41286"</f>
        <v>41286</v>
      </c>
      <c r="C1850" t="str">
        <f>"008"</f>
        <v>008</v>
      </c>
      <c r="D1850">
        <v>2015</v>
      </c>
      <c r="E1850">
        <v>53436600</v>
      </c>
      <c r="F1850">
        <v>13495900</v>
      </c>
      <c r="G1850" t="s">
        <v>11</v>
      </c>
      <c r="H1850" t="s">
        <v>38</v>
      </c>
      <c r="I1850" t="s">
        <v>13</v>
      </c>
      <c r="J1850" t="s">
        <v>13</v>
      </c>
    </row>
    <row r="1851" spans="1:11" x14ac:dyDescent="0.25">
      <c r="A1851" t="s">
        <v>5</v>
      </c>
      <c r="B1851" t="str">
        <f>"41286"</f>
        <v>41286</v>
      </c>
      <c r="C1851" t="str">
        <f>"009"</f>
        <v>009</v>
      </c>
      <c r="D1851">
        <v>2018</v>
      </c>
      <c r="E1851">
        <v>49736300</v>
      </c>
      <c r="F1851">
        <v>4487200</v>
      </c>
      <c r="G1851" t="s">
        <v>11</v>
      </c>
      <c r="H1851" t="s">
        <v>38</v>
      </c>
      <c r="I1851" t="s">
        <v>13</v>
      </c>
      <c r="J1851" t="s">
        <v>13</v>
      </c>
    </row>
    <row r="1852" spans="1:11" x14ac:dyDescent="0.25">
      <c r="A1852" t="s">
        <v>5</v>
      </c>
      <c r="B1852" t="str">
        <f>"41286"</f>
        <v>41286</v>
      </c>
      <c r="C1852" t="str">
        <f>"010"</f>
        <v>010</v>
      </c>
      <c r="D1852">
        <v>2018</v>
      </c>
      <c r="E1852">
        <v>7486200</v>
      </c>
      <c r="F1852">
        <v>5828700</v>
      </c>
      <c r="G1852" t="s">
        <v>11</v>
      </c>
      <c r="H1852" t="s">
        <v>38</v>
      </c>
      <c r="I1852" t="s">
        <v>13</v>
      </c>
      <c r="J1852" t="s">
        <v>13</v>
      </c>
    </row>
    <row r="1853" spans="1:11" x14ac:dyDescent="0.25">
      <c r="A1853" t="s">
        <v>39</v>
      </c>
      <c r="B1853" t="s">
        <v>13</v>
      </c>
      <c r="C1853" t="s">
        <v>7</v>
      </c>
      <c r="D1853" t="s">
        <v>8</v>
      </c>
      <c r="E1853">
        <v>110659100</v>
      </c>
      <c r="F1853">
        <v>23811800</v>
      </c>
      <c r="G1853" t="s">
        <v>11</v>
      </c>
      <c r="H1853">
        <v>716267500</v>
      </c>
      <c r="I1853" t="s">
        <v>13</v>
      </c>
      <c r="J1853" t="s">
        <v>13</v>
      </c>
      <c r="K1853">
        <v>3.32</v>
      </c>
    </row>
    <row r="1855" spans="1:11" x14ac:dyDescent="0.25">
      <c r="A1855" t="s">
        <v>402</v>
      </c>
      <c r="B1855" t="str">
        <f>"35286"</f>
        <v>35286</v>
      </c>
      <c r="C1855" t="str">
        <f>"001"</f>
        <v>001</v>
      </c>
      <c r="D1855">
        <v>1995</v>
      </c>
      <c r="E1855">
        <v>5889600</v>
      </c>
      <c r="F1855">
        <v>5117200</v>
      </c>
      <c r="G1855" t="s">
        <v>11</v>
      </c>
      <c r="H1855" t="s">
        <v>38</v>
      </c>
      <c r="I1855" t="s">
        <v>13</v>
      </c>
      <c r="J1855" t="s">
        <v>13</v>
      </c>
    </row>
    <row r="1856" spans="1:11" x14ac:dyDescent="0.25">
      <c r="A1856" t="s">
        <v>5</v>
      </c>
      <c r="B1856" t="str">
        <f>"35286"</f>
        <v>35286</v>
      </c>
      <c r="C1856" t="str">
        <f>"002"</f>
        <v>002</v>
      </c>
      <c r="D1856">
        <v>1997</v>
      </c>
      <c r="E1856">
        <v>18442500</v>
      </c>
      <c r="F1856">
        <v>10156600</v>
      </c>
      <c r="G1856" t="s">
        <v>11</v>
      </c>
      <c r="H1856" t="s">
        <v>38</v>
      </c>
      <c r="I1856" t="s">
        <v>13</v>
      </c>
      <c r="J1856" t="s">
        <v>13</v>
      </c>
    </row>
    <row r="1857" spans="1:11" x14ac:dyDescent="0.25">
      <c r="A1857" t="s">
        <v>5</v>
      </c>
      <c r="B1857" t="str">
        <f>"35286"</f>
        <v>35286</v>
      </c>
      <c r="C1857" t="str">
        <f>"003"</f>
        <v>003</v>
      </c>
      <c r="D1857">
        <v>2008</v>
      </c>
      <c r="E1857">
        <v>2233800</v>
      </c>
      <c r="F1857">
        <v>2055600</v>
      </c>
      <c r="G1857" t="s">
        <v>11</v>
      </c>
      <c r="H1857" t="s">
        <v>38</v>
      </c>
      <c r="I1857" t="s">
        <v>13</v>
      </c>
      <c r="J1857" t="s">
        <v>13</v>
      </c>
    </row>
    <row r="1858" spans="1:11" x14ac:dyDescent="0.25">
      <c r="A1858" t="s">
        <v>5</v>
      </c>
      <c r="B1858" t="str">
        <f>"35286"</f>
        <v>35286</v>
      </c>
      <c r="C1858" t="str">
        <f>"004"</f>
        <v>004</v>
      </c>
      <c r="D1858">
        <v>2013</v>
      </c>
      <c r="E1858">
        <v>6263200</v>
      </c>
      <c r="F1858">
        <v>4211000</v>
      </c>
      <c r="G1858" t="s">
        <v>11</v>
      </c>
      <c r="H1858" t="s">
        <v>38</v>
      </c>
      <c r="I1858" t="s">
        <v>13</v>
      </c>
      <c r="J1858" t="s">
        <v>13</v>
      </c>
    </row>
    <row r="1859" spans="1:11" x14ac:dyDescent="0.25">
      <c r="A1859" t="s">
        <v>5</v>
      </c>
      <c r="B1859" t="str">
        <f>"35286"</f>
        <v>35286</v>
      </c>
      <c r="C1859" t="str">
        <f>"005"</f>
        <v>005</v>
      </c>
      <c r="D1859">
        <v>2015</v>
      </c>
      <c r="E1859">
        <v>670700</v>
      </c>
      <c r="F1859">
        <v>60500</v>
      </c>
      <c r="G1859" t="s">
        <v>11</v>
      </c>
      <c r="H1859" t="s">
        <v>38</v>
      </c>
      <c r="I1859" t="s">
        <v>13</v>
      </c>
      <c r="J1859" t="s">
        <v>13</v>
      </c>
    </row>
    <row r="1860" spans="1:11" x14ac:dyDescent="0.25">
      <c r="A1860" t="s">
        <v>39</v>
      </c>
      <c r="B1860" t="s">
        <v>13</v>
      </c>
      <c r="C1860" t="s">
        <v>7</v>
      </c>
      <c r="D1860" t="s">
        <v>8</v>
      </c>
      <c r="E1860">
        <v>33499800</v>
      </c>
      <c r="F1860">
        <v>21600900</v>
      </c>
      <c r="G1860" t="s">
        <v>11</v>
      </c>
      <c r="H1860">
        <v>232009300</v>
      </c>
      <c r="I1860" t="s">
        <v>13</v>
      </c>
      <c r="J1860" t="s">
        <v>13</v>
      </c>
      <c r="K1860">
        <v>9.31</v>
      </c>
    </row>
    <row r="1862" spans="1:11" x14ac:dyDescent="0.25">
      <c r="A1862" t="s">
        <v>403</v>
      </c>
      <c r="B1862" t="str">
        <f>"61186"</f>
        <v>61186</v>
      </c>
      <c r="C1862" t="str">
        <f>"001"</f>
        <v>001</v>
      </c>
      <c r="D1862">
        <v>1997</v>
      </c>
      <c r="E1862">
        <v>4951000</v>
      </c>
      <c r="F1862">
        <v>2947600</v>
      </c>
      <c r="G1862" t="s">
        <v>11</v>
      </c>
      <c r="H1862" t="s">
        <v>38</v>
      </c>
      <c r="I1862" t="s">
        <v>13</v>
      </c>
      <c r="J1862" t="s">
        <v>13</v>
      </c>
    </row>
    <row r="1863" spans="1:11" x14ac:dyDescent="0.25">
      <c r="A1863" t="s">
        <v>39</v>
      </c>
      <c r="B1863" t="s">
        <v>13</v>
      </c>
      <c r="C1863" t="s">
        <v>7</v>
      </c>
      <c r="D1863" t="s">
        <v>8</v>
      </c>
      <c r="E1863">
        <v>4951000</v>
      </c>
      <c r="F1863">
        <v>2947600</v>
      </c>
      <c r="G1863" t="s">
        <v>11</v>
      </c>
      <c r="H1863">
        <v>139811400</v>
      </c>
      <c r="I1863" t="s">
        <v>13</v>
      </c>
      <c r="J1863" t="s">
        <v>13</v>
      </c>
      <c r="K1863">
        <v>2.11</v>
      </c>
    </row>
    <row r="1865" spans="1:11" x14ac:dyDescent="0.25">
      <c r="A1865" t="s">
        <v>404</v>
      </c>
      <c r="B1865" t="str">
        <f>"03186"</f>
        <v>03186</v>
      </c>
      <c r="C1865" t="str">
        <f>"003"</f>
        <v>003</v>
      </c>
      <c r="D1865">
        <v>2009</v>
      </c>
      <c r="E1865">
        <v>121600</v>
      </c>
      <c r="F1865">
        <v>18900</v>
      </c>
      <c r="G1865" t="s">
        <v>11</v>
      </c>
      <c r="H1865" t="s">
        <v>38</v>
      </c>
      <c r="I1865" t="s">
        <v>13</v>
      </c>
      <c r="J1865" t="s">
        <v>13</v>
      </c>
    </row>
    <row r="1866" spans="1:11" x14ac:dyDescent="0.25">
      <c r="A1866" t="s">
        <v>5</v>
      </c>
      <c r="B1866" t="str">
        <f>"48168"</f>
        <v>48168</v>
      </c>
      <c r="C1866" t="str">
        <f>"003"</f>
        <v>003</v>
      </c>
      <c r="D1866">
        <v>2009</v>
      </c>
      <c r="E1866">
        <v>21609300</v>
      </c>
      <c r="F1866">
        <v>17386800</v>
      </c>
      <c r="G1866" t="s">
        <v>11</v>
      </c>
      <c r="H1866" t="s">
        <v>38</v>
      </c>
      <c r="I1866" t="s">
        <v>13</v>
      </c>
      <c r="J1866" t="s">
        <v>13</v>
      </c>
    </row>
    <row r="1867" spans="1:11" x14ac:dyDescent="0.25">
      <c r="A1867" t="s">
        <v>39</v>
      </c>
      <c r="B1867" t="s">
        <v>13</v>
      </c>
      <c r="C1867" t="s">
        <v>7</v>
      </c>
      <c r="D1867" t="s">
        <v>8</v>
      </c>
      <c r="E1867">
        <v>21730900</v>
      </c>
      <c r="F1867">
        <v>17405700</v>
      </c>
      <c r="G1867" t="s">
        <v>11</v>
      </c>
      <c r="H1867">
        <v>98295500</v>
      </c>
      <c r="I1867" t="s">
        <v>13</v>
      </c>
      <c r="J1867" t="s">
        <v>13</v>
      </c>
      <c r="K1867">
        <v>17.71</v>
      </c>
    </row>
    <row r="1869" spans="1:11" x14ac:dyDescent="0.25">
      <c r="A1869" t="s">
        <v>405</v>
      </c>
      <c r="B1869" t="str">
        <f>"30186"</f>
        <v>30186</v>
      </c>
      <c r="C1869" t="str">
        <f>"001"</f>
        <v>001</v>
      </c>
      <c r="D1869">
        <v>2007</v>
      </c>
      <c r="E1869">
        <v>53298400</v>
      </c>
      <c r="F1869">
        <v>9254000</v>
      </c>
      <c r="G1869" t="s">
        <v>11</v>
      </c>
      <c r="H1869" t="s">
        <v>38</v>
      </c>
      <c r="I1869" t="s">
        <v>13</v>
      </c>
      <c r="J1869" t="s">
        <v>13</v>
      </c>
    </row>
    <row r="1870" spans="1:11" x14ac:dyDescent="0.25">
      <c r="A1870" t="s">
        <v>39</v>
      </c>
      <c r="B1870" t="s">
        <v>13</v>
      </c>
      <c r="C1870" t="s">
        <v>7</v>
      </c>
      <c r="D1870" t="s">
        <v>8</v>
      </c>
      <c r="E1870">
        <v>53298400</v>
      </c>
      <c r="F1870">
        <v>9254000</v>
      </c>
      <c r="G1870" t="s">
        <v>11</v>
      </c>
      <c r="H1870">
        <v>881056200</v>
      </c>
      <c r="I1870" t="s">
        <v>13</v>
      </c>
      <c r="J1870" t="s">
        <v>13</v>
      </c>
      <c r="K1870">
        <v>1.05</v>
      </c>
    </row>
    <row r="1872" spans="1:11" x14ac:dyDescent="0.25">
      <c r="A1872" t="s">
        <v>406</v>
      </c>
      <c r="B1872" t="str">
        <f t="shared" ref="B1872:B1880" si="36">"36286"</f>
        <v>36286</v>
      </c>
      <c r="C1872" t="str">
        <f>"003"</f>
        <v>003</v>
      </c>
      <c r="D1872">
        <v>1992</v>
      </c>
      <c r="E1872">
        <v>2797600</v>
      </c>
      <c r="F1872">
        <v>492100</v>
      </c>
      <c r="G1872" t="s">
        <v>11</v>
      </c>
      <c r="H1872" t="s">
        <v>38</v>
      </c>
      <c r="I1872" t="s">
        <v>13</v>
      </c>
      <c r="J1872" t="s">
        <v>13</v>
      </c>
    </row>
    <row r="1873" spans="1:11" x14ac:dyDescent="0.25">
      <c r="A1873" t="s">
        <v>5</v>
      </c>
      <c r="B1873" t="str">
        <f t="shared" si="36"/>
        <v>36286</v>
      </c>
      <c r="C1873" t="str">
        <f>"004"</f>
        <v>004</v>
      </c>
      <c r="D1873">
        <v>1994</v>
      </c>
      <c r="E1873">
        <v>2904600</v>
      </c>
      <c r="F1873">
        <v>1757700</v>
      </c>
      <c r="G1873" t="s">
        <v>11</v>
      </c>
      <c r="H1873" t="s">
        <v>38</v>
      </c>
      <c r="I1873" t="s">
        <v>13</v>
      </c>
      <c r="J1873" t="s">
        <v>13</v>
      </c>
    </row>
    <row r="1874" spans="1:11" x14ac:dyDescent="0.25">
      <c r="A1874" t="s">
        <v>5</v>
      </c>
      <c r="B1874" t="str">
        <f t="shared" si="36"/>
        <v>36286</v>
      </c>
      <c r="C1874" t="str">
        <f>"006"</f>
        <v>006</v>
      </c>
      <c r="D1874">
        <v>2000</v>
      </c>
      <c r="E1874">
        <v>1163000</v>
      </c>
      <c r="F1874">
        <v>1163000</v>
      </c>
      <c r="G1874" t="s">
        <v>11</v>
      </c>
      <c r="H1874" t="s">
        <v>38</v>
      </c>
      <c r="I1874" t="s">
        <v>13</v>
      </c>
      <c r="J1874" t="s">
        <v>13</v>
      </c>
    </row>
    <row r="1875" spans="1:11" x14ac:dyDescent="0.25">
      <c r="A1875" t="s">
        <v>5</v>
      </c>
      <c r="B1875" t="str">
        <f t="shared" si="36"/>
        <v>36286</v>
      </c>
      <c r="C1875" t="str">
        <f>"007"</f>
        <v>007</v>
      </c>
      <c r="D1875">
        <v>2001</v>
      </c>
      <c r="E1875">
        <v>6074800</v>
      </c>
      <c r="F1875">
        <v>6074800</v>
      </c>
      <c r="G1875" t="s">
        <v>11</v>
      </c>
      <c r="H1875" t="s">
        <v>38</v>
      </c>
      <c r="I1875" t="s">
        <v>13</v>
      </c>
      <c r="J1875" t="s">
        <v>13</v>
      </c>
    </row>
    <row r="1876" spans="1:11" x14ac:dyDescent="0.25">
      <c r="A1876" t="s">
        <v>5</v>
      </c>
      <c r="B1876" t="str">
        <f t="shared" si="36"/>
        <v>36286</v>
      </c>
      <c r="C1876" t="str">
        <f>"008"</f>
        <v>008</v>
      </c>
      <c r="D1876">
        <v>2002</v>
      </c>
      <c r="E1876">
        <v>7172600</v>
      </c>
      <c r="F1876">
        <v>7172600</v>
      </c>
      <c r="G1876" t="s">
        <v>11</v>
      </c>
      <c r="H1876" t="s">
        <v>38</v>
      </c>
      <c r="I1876" t="s">
        <v>13</v>
      </c>
      <c r="J1876" t="s">
        <v>13</v>
      </c>
    </row>
    <row r="1877" spans="1:11" x14ac:dyDescent="0.25">
      <c r="A1877" t="s">
        <v>5</v>
      </c>
      <c r="B1877" t="str">
        <f t="shared" si="36"/>
        <v>36286</v>
      </c>
      <c r="C1877" t="str">
        <f>"009"</f>
        <v>009</v>
      </c>
      <c r="D1877">
        <v>2003</v>
      </c>
      <c r="E1877">
        <v>9140900</v>
      </c>
      <c r="F1877">
        <v>9130100</v>
      </c>
      <c r="G1877" t="s">
        <v>11</v>
      </c>
      <c r="H1877" t="s">
        <v>38</v>
      </c>
      <c r="I1877" t="s">
        <v>13</v>
      </c>
      <c r="J1877" t="s">
        <v>13</v>
      </c>
    </row>
    <row r="1878" spans="1:11" x14ac:dyDescent="0.25">
      <c r="A1878" t="s">
        <v>5</v>
      </c>
      <c r="B1878" t="str">
        <f t="shared" si="36"/>
        <v>36286</v>
      </c>
      <c r="C1878" t="str">
        <f>"010"</f>
        <v>010</v>
      </c>
      <c r="D1878">
        <v>2014</v>
      </c>
      <c r="E1878">
        <v>4112500</v>
      </c>
      <c r="F1878">
        <v>2041800</v>
      </c>
      <c r="G1878" t="s">
        <v>11</v>
      </c>
      <c r="H1878" t="s">
        <v>38</v>
      </c>
      <c r="I1878" t="s">
        <v>13</v>
      </c>
      <c r="J1878" t="s">
        <v>13</v>
      </c>
    </row>
    <row r="1879" spans="1:11" x14ac:dyDescent="0.25">
      <c r="A1879" t="s">
        <v>5</v>
      </c>
      <c r="B1879" t="str">
        <f t="shared" si="36"/>
        <v>36286</v>
      </c>
      <c r="C1879" t="str">
        <f>"011"</f>
        <v>011</v>
      </c>
      <c r="D1879">
        <v>2016</v>
      </c>
      <c r="E1879">
        <v>2057400</v>
      </c>
      <c r="F1879">
        <v>1197000</v>
      </c>
      <c r="G1879" t="s">
        <v>11</v>
      </c>
      <c r="H1879" t="s">
        <v>38</v>
      </c>
      <c r="I1879" t="s">
        <v>13</v>
      </c>
      <c r="J1879" t="s">
        <v>13</v>
      </c>
    </row>
    <row r="1880" spans="1:11" x14ac:dyDescent="0.25">
      <c r="A1880" t="s">
        <v>5</v>
      </c>
      <c r="B1880" t="str">
        <f t="shared" si="36"/>
        <v>36286</v>
      </c>
      <c r="C1880" t="str">
        <f>"012"</f>
        <v>012</v>
      </c>
      <c r="D1880">
        <v>2018</v>
      </c>
      <c r="E1880">
        <v>109800</v>
      </c>
      <c r="F1880">
        <v>-271100</v>
      </c>
      <c r="G1880" t="s">
        <v>49</v>
      </c>
      <c r="H1880" t="s">
        <v>38</v>
      </c>
      <c r="I1880" t="s">
        <v>13</v>
      </c>
      <c r="J1880" t="s">
        <v>13</v>
      </c>
    </row>
    <row r="1881" spans="1:11" x14ac:dyDescent="0.25">
      <c r="A1881" t="s">
        <v>39</v>
      </c>
      <c r="B1881" t="s">
        <v>13</v>
      </c>
      <c r="C1881" t="s">
        <v>7</v>
      </c>
      <c r="D1881" t="s">
        <v>8</v>
      </c>
      <c r="E1881">
        <v>35533200</v>
      </c>
      <c r="F1881">
        <v>29029100</v>
      </c>
      <c r="G1881" t="s">
        <v>11</v>
      </c>
      <c r="H1881">
        <v>525096800</v>
      </c>
      <c r="I1881" t="s">
        <v>13</v>
      </c>
      <c r="J1881" t="s">
        <v>13</v>
      </c>
      <c r="K1881">
        <v>5.53</v>
      </c>
    </row>
    <row r="1883" spans="1:11" x14ac:dyDescent="0.25">
      <c r="A1883" t="s">
        <v>407</v>
      </c>
      <c r="B1883" t="str">
        <f>"51186"</f>
        <v>51186</v>
      </c>
      <c r="C1883" t="str">
        <f>"003"</f>
        <v>003</v>
      </c>
      <c r="D1883">
        <v>2001</v>
      </c>
      <c r="E1883">
        <v>22140400</v>
      </c>
      <c r="F1883">
        <v>18655200</v>
      </c>
      <c r="G1883" t="s">
        <v>11</v>
      </c>
      <c r="H1883" t="s">
        <v>38</v>
      </c>
      <c r="I1883" t="s">
        <v>13</v>
      </c>
      <c r="J1883" t="s">
        <v>13</v>
      </c>
    </row>
    <row r="1884" spans="1:11" x14ac:dyDescent="0.25">
      <c r="A1884" t="s">
        <v>5</v>
      </c>
      <c r="B1884" t="str">
        <f>"51186"</f>
        <v>51186</v>
      </c>
      <c r="C1884" t="str">
        <f>"004"</f>
        <v>004</v>
      </c>
      <c r="D1884">
        <v>2006</v>
      </c>
      <c r="E1884">
        <v>35004800</v>
      </c>
      <c r="F1884">
        <v>3072100</v>
      </c>
      <c r="G1884" t="s">
        <v>11</v>
      </c>
      <c r="H1884" t="s">
        <v>38</v>
      </c>
      <c r="I1884" t="s">
        <v>13</v>
      </c>
      <c r="J1884" t="s">
        <v>13</v>
      </c>
    </row>
    <row r="1885" spans="1:11" x14ac:dyDescent="0.25">
      <c r="A1885" t="s">
        <v>5</v>
      </c>
      <c r="B1885" t="str">
        <f>"51186"</f>
        <v>51186</v>
      </c>
      <c r="C1885" t="str">
        <f>"005"</f>
        <v>005</v>
      </c>
      <c r="D1885">
        <v>2016</v>
      </c>
      <c r="E1885">
        <v>4401800</v>
      </c>
      <c r="F1885">
        <v>3937100</v>
      </c>
      <c r="G1885" t="s">
        <v>11</v>
      </c>
      <c r="H1885" t="s">
        <v>38</v>
      </c>
      <c r="I1885" t="s">
        <v>13</v>
      </c>
      <c r="J1885" t="s">
        <v>13</v>
      </c>
    </row>
    <row r="1886" spans="1:11" x14ac:dyDescent="0.25">
      <c r="A1886" t="s">
        <v>39</v>
      </c>
      <c r="B1886" t="s">
        <v>13</v>
      </c>
      <c r="C1886" t="s">
        <v>7</v>
      </c>
      <c r="D1886" t="s">
        <v>8</v>
      </c>
      <c r="E1886">
        <v>61547000</v>
      </c>
      <c r="F1886">
        <v>25664400</v>
      </c>
      <c r="G1886" t="s">
        <v>11</v>
      </c>
      <c r="H1886">
        <v>359379800</v>
      </c>
      <c r="I1886" t="s">
        <v>13</v>
      </c>
      <c r="J1886" t="s">
        <v>13</v>
      </c>
      <c r="K1886">
        <v>7.14</v>
      </c>
    </row>
    <row r="1888" spans="1:11" x14ac:dyDescent="0.25">
      <c r="A1888" t="s">
        <v>408</v>
      </c>
      <c r="B1888" t="str">
        <f>"37186"</f>
        <v>37186</v>
      </c>
      <c r="C1888" t="str">
        <f>"001"</f>
        <v>001</v>
      </c>
      <c r="D1888">
        <v>1998</v>
      </c>
      <c r="E1888">
        <v>414300</v>
      </c>
      <c r="F1888">
        <v>218300</v>
      </c>
      <c r="G1888" t="s">
        <v>11</v>
      </c>
      <c r="H1888" t="s">
        <v>38</v>
      </c>
      <c r="I1888" t="s">
        <v>13</v>
      </c>
      <c r="J1888" t="s">
        <v>13</v>
      </c>
    </row>
    <row r="1889" spans="1:11" x14ac:dyDescent="0.25">
      <c r="A1889" t="s">
        <v>5</v>
      </c>
      <c r="B1889" t="str">
        <f>"10186"</f>
        <v>10186</v>
      </c>
      <c r="C1889" t="str">
        <f>"001"</f>
        <v>001</v>
      </c>
      <c r="D1889">
        <v>1998</v>
      </c>
      <c r="E1889">
        <v>1088600</v>
      </c>
      <c r="F1889">
        <v>969100</v>
      </c>
      <c r="G1889" t="s">
        <v>11</v>
      </c>
      <c r="H1889" t="s">
        <v>38</v>
      </c>
      <c r="I1889" t="s">
        <v>13</v>
      </c>
      <c r="J1889" t="s">
        <v>13</v>
      </c>
    </row>
    <row r="1890" spans="1:11" x14ac:dyDescent="0.25">
      <c r="A1890" t="s">
        <v>39</v>
      </c>
      <c r="B1890" t="s">
        <v>13</v>
      </c>
      <c r="C1890" t="s">
        <v>7</v>
      </c>
      <c r="D1890" t="s">
        <v>8</v>
      </c>
      <c r="E1890">
        <v>1502900</v>
      </c>
      <c r="F1890">
        <v>1187400</v>
      </c>
      <c r="G1890" t="s">
        <v>11</v>
      </c>
      <c r="H1890">
        <v>14575200</v>
      </c>
      <c r="I1890" t="s">
        <v>13</v>
      </c>
      <c r="J1890" t="s">
        <v>13</v>
      </c>
      <c r="K1890">
        <v>8.15</v>
      </c>
    </row>
    <row r="1892" spans="1:11" x14ac:dyDescent="0.25">
      <c r="A1892" t="s">
        <v>409</v>
      </c>
      <c r="B1892" t="str">
        <f>"36186"</f>
        <v>36186</v>
      </c>
      <c r="C1892" t="str">
        <f>"002"</f>
        <v>002</v>
      </c>
      <c r="D1892">
        <v>2017</v>
      </c>
      <c r="E1892">
        <v>3406800</v>
      </c>
      <c r="F1892">
        <v>76600</v>
      </c>
      <c r="G1892" t="s">
        <v>11</v>
      </c>
      <c r="H1892" t="s">
        <v>38</v>
      </c>
      <c r="I1892" t="s">
        <v>13</v>
      </c>
      <c r="J1892" t="s">
        <v>13</v>
      </c>
    </row>
    <row r="1893" spans="1:11" x14ac:dyDescent="0.25">
      <c r="A1893" t="s">
        <v>39</v>
      </c>
      <c r="B1893" t="s">
        <v>13</v>
      </c>
      <c r="C1893" t="s">
        <v>7</v>
      </c>
      <c r="D1893" t="s">
        <v>8</v>
      </c>
      <c r="E1893">
        <v>3406800</v>
      </c>
      <c r="F1893">
        <v>76600</v>
      </c>
      <c r="G1893" t="s">
        <v>11</v>
      </c>
      <c r="H1893">
        <v>57534200</v>
      </c>
      <c r="I1893" t="s">
        <v>13</v>
      </c>
      <c r="J1893" t="s">
        <v>13</v>
      </c>
      <c r="K1893">
        <v>0.13</v>
      </c>
    </row>
    <row r="1895" spans="1:11" x14ac:dyDescent="0.25">
      <c r="A1895" t="s">
        <v>410</v>
      </c>
      <c r="B1895" t="str">
        <f>"13286"</f>
        <v>13286</v>
      </c>
      <c r="C1895" t="str">
        <f>"004"</f>
        <v>004</v>
      </c>
      <c r="D1895">
        <v>1996</v>
      </c>
      <c r="E1895">
        <v>42394800</v>
      </c>
      <c r="F1895">
        <v>33552400</v>
      </c>
      <c r="G1895" t="s">
        <v>11</v>
      </c>
      <c r="H1895" t="s">
        <v>38</v>
      </c>
      <c r="I1895" t="s">
        <v>13</v>
      </c>
      <c r="J1895" t="s">
        <v>13</v>
      </c>
    </row>
    <row r="1896" spans="1:11" x14ac:dyDescent="0.25">
      <c r="A1896" t="s">
        <v>5</v>
      </c>
      <c r="B1896" t="str">
        <f>"13286"</f>
        <v>13286</v>
      </c>
      <c r="C1896" t="str">
        <f>"006"</f>
        <v>006</v>
      </c>
      <c r="D1896">
        <v>2000</v>
      </c>
      <c r="E1896">
        <v>69351600</v>
      </c>
      <c r="F1896">
        <v>68876400</v>
      </c>
      <c r="G1896" t="s">
        <v>11</v>
      </c>
      <c r="H1896" t="s">
        <v>38</v>
      </c>
      <c r="I1896" t="s">
        <v>13</v>
      </c>
      <c r="J1896" t="s">
        <v>13</v>
      </c>
    </row>
    <row r="1897" spans="1:11" x14ac:dyDescent="0.25">
      <c r="A1897" t="s">
        <v>5</v>
      </c>
      <c r="B1897" t="str">
        <f>"13286"</f>
        <v>13286</v>
      </c>
      <c r="C1897" t="str">
        <f>"008"</f>
        <v>008</v>
      </c>
      <c r="D1897">
        <v>2017</v>
      </c>
      <c r="E1897">
        <v>29164700</v>
      </c>
      <c r="F1897">
        <v>0</v>
      </c>
      <c r="G1897" t="s">
        <v>11</v>
      </c>
      <c r="H1897" t="s">
        <v>38</v>
      </c>
      <c r="I1897" t="s">
        <v>13</v>
      </c>
      <c r="J1897" t="s">
        <v>13</v>
      </c>
    </row>
    <row r="1898" spans="1:11" x14ac:dyDescent="0.25">
      <c r="A1898" t="s">
        <v>5</v>
      </c>
      <c r="B1898" t="str">
        <f>"13286"</f>
        <v>13286</v>
      </c>
      <c r="C1898" t="str">
        <f>"009"</f>
        <v>009</v>
      </c>
      <c r="D1898">
        <v>2017</v>
      </c>
      <c r="E1898">
        <v>6019000</v>
      </c>
      <c r="F1898">
        <v>399900</v>
      </c>
      <c r="G1898" t="s">
        <v>11</v>
      </c>
      <c r="H1898" t="s">
        <v>38</v>
      </c>
      <c r="I1898" t="s">
        <v>13</v>
      </c>
      <c r="J1898" t="s">
        <v>13</v>
      </c>
    </row>
    <row r="1899" spans="1:11" x14ac:dyDescent="0.25">
      <c r="A1899" t="s">
        <v>39</v>
      </c>
      <c r="B1899" t="s">
        <v>13</v>
      </c>
      <c r="C1899" t="s">
        <v>7</v>
      </c>
      <c r="D1899" t="s">
        <v>8</v>
      </c>
      <c r="E1899">
        <v>146930100</v>
      </c>
      <c r="F1899">
        <v>102828700</v>
      </c>
      <c r="G1899" t="s">
        <v>11</v>
      </c>
      <c r="H1899">
        <v>3072163900</v>
      </c>
      <c r="I1899" t="s">
        <v>13</v>
      </c>
      <c r="J1899" t="s">
        <v>13</v>
      </c>
      <c r="K1899">
        <v>3.35</v>
      </c>
    </row>
    <row r="1901" spans="1:11" x14ac:dyDescent="0.25">
      <c r="A1901" t="s">
        <v>411</v>
      </c>
      <c r="B1901" t="str">
        <f>"71186"</f>
        <v>71186</v>
      </c>
      <c r="C1901" t="str">
        <f>"001"</f>
        <v>001</v>
      </c>
      <c r="D1901">
        <v>2006</v>
      </c>
      <c r="E1901">
        <v>3409500</v>
      </c>
      <c r="F1901">
        <v>772200</v>
      </c>
      <c r="G1901" t="s">
        <v>11</v>
      </c>
      <c r="H1901" t="s">
        <v>38</v>
      </c>
      <c r="I1901" t="s">
        <v>13</v>
      </c>
      <c r="J1901" t="s">
        <v>13</v>
      </c>
    </row>
    <row r="1902" spans="1:11" x14ac:dyDescent="0.25">
      <c r="A1902" t="s">
        <v>39</v>
      </c>
      <c r="B1902" t="s">
        <v>13</v>
      </c>
      <c r="C1902" t="s">
        <v>7</v>
      </c>
      <c r="D1902" t="s">
        <v>8</v>
      </c>
      <c r="E1902">
        <v>3409500</v>
      </c>
      <c r="F1902">
        <v>772200</v>
      </c>
      <c r="G1902" t="s">
        <v>11</v>
      </c>
      <c r="H1902">
        <v>30175600</v>
      </c>
      <c r="I1902" t="s">
        <v>13</v>
      </c>
      <c r="J1902" t="s">
        <v>13</v>
      </c>
      <c r="K1902">
        <v>2.56</v>
      </c>
    </row>
    <row r="1904" spans="1:11" x14ac:dyDescent="0.25">
      <c r="A1904" t="s">
        <v>412</v>
      </c>
      <c r="B1904" t="str">
        <f>"52186"</f>
        <v>52186</v>
      </c>
      <c r="C1904" t="str">
        <f>"003"</f>
        <v>003</v>
      </c>
      <c r="D1904">
        <v>1995</v>
      </c>
      <c r="E1904">
        <v>1102400</v>
      </c>
      <c r="F1904">
        <v>441500</v>
      </c>
      <c r="G1904" t="s">
        <v>11</v>
      </c>
      <c r="H1904" t="s">
        <v>38</v>
      </c>
      <c r="I1904" t="s">
        <v>13</v>
      </c>
      <c r="J1904" t="s">
        <v>13</v>
      </c>
    </row>
    <row r="1905" spans="1:11" x14ac:dyDescent="0.25">
      <c r="A1905" t="s">
        <v>5</v>
      </c>
      <c r="B1905" t="str">
        <f>"62186"</f>
        <v>62186</v>
      </c>
      <c r="C1905" t="str">
        <f>"004"</f>
        <v>004</v>
      </c>
      <c r="D1905">
        <v>2007</v>
      </c>
      <c r="E1905">
        <v>3525400</v>
      </c>
      <c r="F1905">
        <v>3205900</v>
      </c>
      <c r="G1905" t="s">
        <v>11</v>
      </c>
      <c r="H1905" t="s">
        <v>38</v>
      </c>
      <c r="I1905" t="s">
        <v>13</v>
      </c>
      <c r="J1905" t="s">
        <v>13</v>
      </c>
    </row>
    <row r="1906" spans="1:11" x14ac:dyDescent="0.25">
      <c r="A1906" t="s">
        <v>39</v>
      </c>
      <c r="B1906" t="s">
        <v>13</v>
      </c>
      <c r="C1906" t="s">
        <v>7</v>
      </c>
      <c r="D1906" t="s">
        <v>8</v>
      </c>
      <c r="E1906">
        <v>4627800</v>
      </c>
      <c r="F1906">
        <v>3647400</v>
      </c>
      <c r="G1906" t="s">
        <v>11</v>
      </c>
      <c r="H1906">
        <v>23806700</v>
      </c>
      <c r="I1906" t="s">
        <v>13</v>
      </c>
      <c r="J1906" t="s">
        <v>13</v>
      </c>
      <c r="K1906">
        <v>15.32</v>
      </c>
    </row>
    <row r="1908" spans="1:11" x14ac:dyDescent="0.25">
      <c r="A1908" t="s">
        <v>413</v>
      </c>
      <c r="B1908" t="str">
        <f>"62286"</f>
        <v>62286</v>
      </c>
      <c r="C1908" t="str">
        <f>"002"</f>
        <v>002</v>
      </c>
      <c r="D1908">
        <v>1994</v>
      </c>
      <c r="E1908">
        <v>2165400</v>
      </c>
      <c r="F1908">
        <v>1809900</v>
      </c>
      <c r="G1908" t="s">
        <v>11</v>
      </c>
      <c r="H1908" t="s">
        <v>38</v>
      </c>
      <c r="I1908" t="s">
        <v>13</v>
      </c>
      <c r="J1908" t="s">
        <v>13</v>
      </c>
    </row>
    <row r="1909" spans="1:11" x14ac:dyDescent="0.25">
      <c r="A1909" t="s">
        <v>5</v>
      </c>
      <c r="B1909" t="str">
        <f>"62286"</f>
        <v>62286</v>
      </c>
      <c r="C1909" t="str">
        <f>"003"</f>
        <v>003</v>
      </c>
      <c r="D1909">
        <v>1995</v>
      </c>
      <c r="E1909">
        <v>19137100</v>
      </c>
      <c r="F1909">
        <v>15326500</v>
      </c>
      <c r="G1909" t="s">
        <v>11</v>
      </c>
      <c r="H1909" t="s">
        <v>38</v>
      </c>
      <c r="I1909" t="s">
        <v>13</v>
      </c>
      <c r="J1909" t="s">
        <v>13</v>
      </c>
    </row>
    <row r="1910" spans="1:11" x14ac:dyDescent="0.25">
      <c r="A1910" t="s">
        <v>5</v>
      </c>
      <c r="B1910" t="str">
        <f>"62286"</f>
        <v>62286</v>
      </c>
      <c r="C1910" t="str">
        <f>"004"</f>
        <v>004</v>
      </c>
      <c r="D1910">
        <v>1999</v>
      </c>
      <c r="E1910">
        <v>3935200</v>
      </c>
      <c r="F1910">
        <v>3642200</v>
      </c>
      <c r="G1910" t="s">
        <v>11</v>
      </c>
      <c r="H1910" t="s">
        <v>38</v>
      </c>
      <c r="I1910" t="s">
        <v>13</v>
      </c>
      <c r="J1910" t="s">
        <v>13</v>
      </c>
    </row>
    <row r="1911" spans="1:11" x14ac:dyDescent="0.25">
      <c r="A1911" t="s">
        <v>5</v>
      </c>
      <c r="B1911" t="str">
        <f>"62286"</f>
        <v>62286</v>
      </c>
      <c r="C1911" t="str">
        <f>"005"</f>
        <v>005</v>
      </c>
      <c r="D1911">
        <v>2006</v>
      </c>
      <c r="E1911">
        <v>2207700</v>
      </c>
      <c r="F1911">
        <v>1928100</v>
      </c>
      <c r="G1911" t="s">
        <v>11</v>
      </c>
      <c r="H1911" t="s">
        <v>38</v>
      </c>
      <c r="I1911" t="s">
        <v>13</v>
      </c>
      <c r="J1911" t="s">
        <v>13</v>
      </c>
    </row>
    <row r="1912" spans="1:11" x14ac:dyDescent="0.25">
      <c r="A1912" t="s">
        <v>5</v>
      </c>
      <c r="B1912" t="str">
        <f>"62286"</f>
        <v>62286</v>
      </c>
      <c r="C1912" t="str">
        <f>"006"</f>
        <v>006</v>
      </c>
      <c r="D1912">
        <v>2015</v>
      </c>
      <c r="E1912">
        <v>20254600</v>
      </c>
      <c r="F1912">
        <v>7230300</v>
      </c>
      <c r="G1912" t="s">
        <v>11</v>
      </c>
      <c r="H1912" t="s">
        <v>38</v>
      </c>
      <c r="I1912" t="s">
        <v>13</v>
      </c>
      <c r="J1912" t="s">
        <v>13</v>
      </c>
    </row>
    <row r="1913" spans="1:11" x14ac:dyDescent="0.25">
      <c r="A1913" t="s">
        <v>39</v>
      </c>
      <c r="B1913" t="s">
        <v>13</v>
      </c>
      <c r="C1913" t="s">
        <v>7</v>
      </c>
      <c r="D1913" t="s">
        <v>8</v>
      </c>
      <c r="E1913">
        <v>47700000</v>
      </c>
      <c r="F1913">
        <v>29937000</v>
      </c>
      <c r="G1913" t="s">
        <v>11</v>
      </c>
      <c r="H1913">
        <v>296923700</v>
      </c>
      <c r="I1913" t="s">
        <v>13</v>
      </c>
      <c r="J1913" t="s">
        <v>13</v>
      </c>
      <c r="K1913">
        <v>10.08</v>
      </c>
    </row>
    <row r="1915" spans="1:11" x14ac:dyDescent="0.25">
      <c r="A1915" t="s">
        <v>414</v>
      </c>
      <c r="B1915" t="str">
        <f>"67191"</f>
        <v>67191</v>
      </c>
      <c r="C1915" t="str">
        <f>"001"</f>
        <v>001</v>
      </c>
      <c r="D1915">
        <v>2006</v>
      </c>
      <c r="E1915">
        <v>57519600</v>
      </c>
      <c r="F1915">
        <v>32951300</v>
      </c>
      <c r="G1915" t="s">
        <v>11</v>
      </c>
      <c r="H1915" t="s">
        <v>38</v>
      </c>
      <c r="I1915" t="s">
        <v>13</v>
      </c>
      <c r="J1915" t="s">
        <v>13</v>
      </c>
    </row>
    <row r="1916" spans="1:11" x14ac:dyDescent="0.25">
      <c r="A1916" t="s">
        <v>39</v>
      </c>
      <c r="B1916" t="s">
        <v>13</v>
      </c>
      <c r="C1916" t="s">
        <v>7</v>
      </c>
      <c r="D1916" t="s">
        <v>8</v>
      </c>
      <c r="E1916">
        <v>57519600</v>
      </c>
      <c r="F1916">
        <v>32951300</v>
      </c>
      <c r="G1916" t="s">
        <v>11</v>
      </c>
      <c r="H1916">
        <v>414820300</v>
      </c>
      <c r="I1916" t="s">
        <v>13</v>
      </c>
      <c r="J1916" t="s">
        <v>13</v>
      </c>
      <c r="K1916">
        <v>7.94</v>
      </c>
    </row>
    <row r="1918" spans="1:11" x14ac:dyDescent="0.25">
      <c r="A1918" t="s">
        <v>415</v>
      </c>
      <c r="B1918" t="str">
        <f>"64191"</f>
        <v>64191</v>
      </c>
      <c r="C1918" t="str">
        <f>"001"</f>
        <v>001</v>
      </c>
      <c r="D1918">
        <v>2011</v>
      </c>
      <c r="E1918">
        <v>8317800</v>
      </c>
      <c r="F1918">
        <v>1353900</v>
      </c>
      <c r="G1918" t="s">
        <v>11</v>
      </c>
      <c r="H1918" t="s">
        <v>38</v>
      </c>
      <c r="I1918" t="s">
        <v>13</v>
      </c>
      <c r="J1918" t="s">
        <v>13</v>
      </c>
    </row>
    <row r="1919" spans="1:11" x14ac:dyDescent="0.25">
      <c r="A1919" t="s">
        <v>39</v>
      </c>
      <c r="B1919" t="s">
        <v>13</v>
      </c>
      <c r="C1919" t="s">
        <v>7</v>
      </c>
      <c r="D1919" t="s">
        <v>8</v>
      </c>
      <c r="E1919">
        <v>8317800</v>
      </c>
      <c r="F1919">
        <v>1353900</v>
      </c>
      <c r="G1919" t="s">
        <v>11</v>
      </c>
      <c r="H1919">
        <v>240272300</v>
      </c>
      <c r="I1919" t="s">
        <v>13</v>
      </c>
      <c r="J1919" t="s">
        <v>13</v>
      </c>
      <c r="K1919">
        <v>0.56000000000000005</v>
      </c>
    </row>
    <row r="1921" spans="1:11" x14ac:dyDescent="0.25">
      <c r="A1921" t="s">
        <v>416</v>
      </c>
      <c r="B1921" t="str">
        <f>"41185"</f>
        <v>41185</v>
      </c>
      <c r="C1921" t="str">
        <f>"001"</f>
        <v>001</v>
      </c>
      <c r="D1921">
        <v>1998</v>
      </c>
      <c r="E1921">
        <v>47014000</v>
      </c>
      <c r="F1921">
        <v>38900600</v>
      </c>
      <c r="G1921" t="s">
        <v>11</v>
      </c>
      <c r="H1921" t="s">
        <v>38</v>
      </c>
      <c r="I1921" t="s">
        <v>13</v>
      </c>
      <c r="J1921" t="s">
        <v>13</v>
      </c>
    </row>
    <row r="1922" spans="1:11" x14ac:dyDescent="0.25">
      <c r="A1922" t="s">
        <v>39</v>
      </c>
      <c r="B1922" t="s">
        <v>13</v>
      </c>
      <c r="C1922" t="s">
        <v>7</v>
      </c>
      <c r="D1922" t="s">
        <v>8</v>
      </c>
      <c r="E1922">
        <v>47014000</v>
      </c>
      <c r="F1922">
        <v>38900600</v>
      </c>
      <c r="G1922" t="s">
        <v>11</v>
      </c>
      <c r="H1922">
        <v>56142500</v>
      </c>
      <c r="I1922" t="s">
        <v>13</v>
      </c>
      <c r="J1922" t="s">
        <v>13</v>
      </c>
      <c r="K1922">
        <v>69.290000000000006</v>
      </c>
    </row>
    <row r="1924" spans="1:11" x14ac:dyDescent="0.25">
      <c r="A1924" t="s">
        <v>417</v>
      </c>
      <c r="B1924" t="str">
        <f>"04291"</f>
        <v>04291</v>
      </c>
      <c r="C1924" t="str">
        <f>"002"</f>
        <v>002</v>
      </c>
      <c r="D1924">
        <v>1995</v>
      </c>
      <c r="E1924">
        <v>18902900</v>
      </c>
      <c r="F1924">
        <v>9761700</v>
      </c>
      <c r="G1924" t="s">
        <v>11</v>
      </c>
      <c r="H1924" t="s">
        <v>38</v>
      </c>
      <c r="I1924" t="s">
        <v>13</v>
      </c>
      <c r="J1924" t="s">
        <v>13</v>
      </c>
    </row>
    <row r="1925" spans="1:11" x14ac:dyDescent="0.25">
      <c r="A1925" t="s">
        <v>5</v>
      </c>
      <c r="B1925" t="str">
        <f>"04291"</f>
        <v>04291</v>
      </c>
      <c r="C1925" t="str">
        <f>"003"</f>
        <v>003</v>
      </c>
      <c r="D1925">
        <v>2015</v>
      </c>
      <c r="E1925">
        <v>10757900</v>
      </c>
      <c r="F1925">
        <v>1010100</v>
      </c>
      <c r="G1925" t="s">
        <v>11</v>
      </c>
      <c r="H1925" t="s">
        <v>38</v>
      </c>
      <c r="I1925" t="s">
        <v>13</v>
      </c>
      <c r="J1925" t="s">
        <v>13</v>
      </c>
    </row>
    <row r="1926" spans="1:11" x14ac:dyDescent="0.25">
      <c r="A1926" t="s">
        <v>39</v>
      </c>
      <c r="B1926" t="s">
        <v>13</v>
      </c>
      <c r="C1926" t="s">
        <v>7</v>
      </c>
      <c r="D1926" t="s">
        <v>8</v>
      </c>
      <c r="E1926">
        <v>29660800</v>
      </c>
      <c r="F1926">
        <v>10771800</v>
      </c>
      <c r="G1926" t="s">
        <v>11</v>
      </c>
      <c r="H1926">
        <v>132071800</v>
      </c>
      <c r="I1926" t="s">
        <v>13</v>
      </c>
      <c r="J1926" t="s">
        <v>13</v>
      </c>
      <c r="K1926">
        <v>8.16</v>
      </c>
    </row>
    <row r="1928" spans="1:11" x14ac:dyDescent="0.25">
      <c r="A1928" t="s">
        <v>418</v>
      </c>
      <c r="B1928" t="str">
        <f>"51191"</f>
        <v>51191</v>
      </c>
      <c r="C1928" t="str">
        <f>"002"</f>
        <v>002</v>
      </c>
      <c r="D1928">
        <v>2000</v>
      </c>
      <c r="E1928">
        <v>52245100</v>
      </c>
      <c r="F1928">
        <v>38457600</v>
      </c>
      <c r="G1928" t="s">
        <v>11</v>
      </c>
      <c r="H1928" t="s">
        <v>38</v>
      </c>
      <c r="I1928" t="s">
        <v>13</v>
      </c>
      <c r="J1928" t="s">
        <v>13</v>
      </c>
    </row>
    <row r="1929" spans="1:11" x14ac:dyDescent="0.25">
      <c r="A1929" t="s">
        <v>39</v>
      </c>
      <c r="B1929" t="s">
        <v>13</v>
      </c>
      <c r="C1929" t="s">
        <v>7</v>
      </c>
      <c r="D1929" t="s">
        <v>8</v>
      </c>
      <c r="E1929">
        <v>52245100</v>
      </c>
      <c r="F1929">
        <v>38457600</v>
      </c>
      <c r="G1929" t="s">
        <v>11</v>
      </c>
      <c r="H1929">
        <v>522308700</v>
      </c>
      <c r="I1929" t="s">
        <v>13</v>
      </c>
      <c r="J1929" t="s">
        <v>13</v>
      </c>
      <c r="K1929">
        <v>7.36</v>
      </c>
    </row>
    <row r="1931" spans="1:11" x14ac:dyDescent="0.25">
      <c r="A1931" t="s">
        <v>419</v>
      </c>
      <c r="B1931" t="str">
        <f>"28290"</f>
        <v>28290</v>
      </c>
      <c r="C1931" t="str">
        <f>"002"</f>
        <v>002</v>
      </c>
      <c r="D1931">
        <v>2011</v>
      </c>
      <c r="E1931">
        <v>9300700</v>
      </c>
      <c r="F1931">
        <v>2142700</v>
      </c>
      <c r="G1931" t="s">
        <v>11</v>
      </c>
      <c r="H1931" t="s">
        <v>38</v>
      </c>
      <c r="I1931" t="s">
        <v>13</v>
      </c>
      <c r="J1931" t="s">
        <v>13</v>
      </c>
    </row>
    <row r="1932" spans="1:11" x14ac:dyDescent="0.25">
      <c r="A1932" t="s">
        <v>5</v>
      </c>
      <c r="B1932" t="str">
        <f>"28290"</f>
        <v>28290</v>
      </c>
      <c r="C1932" t="str">
        <f>"003"</f>
        <v>003</v>
      </c>
      <c r="D1932">
        <v>2012</v>
      </c>
      <c r="E1932">
        <v>5311000</v>
      </c>
      <c r="F1932">
        <v>3727900</v>
      </c>
      <c r="G1932" t="s">
        <v>11</v>
      </c>
      <c r="H1932" t="s">
        <v>38</v>
      </c>
      <c r="I1932" t="s">
        <v>13</v>
      </c>
      <c r="J1932" t="s">
        <v>13</v>
      </c>
    </row>
    <row r="1933" spans="1:11" x14ac:dyDescent="0.25">
      <c r="A1933" t="s">
        <v>5</v>
      </c>
      <c r="B1933" t="str">
        <f>"28290"</f>
        <v>28290</v>
      </c>
      <c r="C1933" t="str">
        <f>"004"</f>
        <v>004</v>
      </c>
      <c r="D1933">
        <v>2014</v>
      </c>
      <c r="E1933">
        <v>3402600</v>
      </c>
      <c r="F1933">
        <v>1082500</v>
      </c>
      <c r="G1933" t="s">
        <v>11</v>
      </c>
      <c r="H1933" t="s">
        <v>38</v>
      </c>
      <c r="I1933" t="s">
        <v>13</v>
      </c>
      <c r="J1933" t="s">
        <v>13</v>
      </c>
    </row>
    <row r="1934" spans="1:11" x14ac:dyDescent="0.25">
      <c r="A1934" t="s">
        <v>39</v>
      </c>
      <c r="B1934" t="s">
        <v>13</v>
      </c>
      <c r="C1934" t="s">
        <v>7</v>
      </c>
      <c r="D1934" t="s">
        <v>8</v>
      </c>
      <c r="E1934">
        <v>18014300</v>
      </c>
      <c r="F1934">
        <v>6953100</v>
      </c>
      <c r="G1934" t="s">
        <v>11</v>
      </c>
      <c r="H1934">
        <v>234179200</v>
      </c>
      <c r="I1934" t="s">
        <v>13</v>
      </c>
      <c r="J1934" t="s">
        <v>13</v>
      </c>
      <c r="K1934">
        <v>2.97</v>
      </c>
    </row>
    <row r="1936" spans="1:11" x14ac:dyDescent="0.25">
      <c r="A1936" t="s">
        <v>420</v>
      </c>
      <c r="B1936" t="str">
        <f>"28291"</f>
        <v>28291</v>
      </c>
      <c r="C1936" t="str">
        <f>"004"</f>
        <v>004</v>
      </c>
      <c r="D1936">
        <v>2005</v>
      </c>
      <c r="E1936">
        <v>36776800</v>
      </c>
      <c r="F1936">
        <v>35729200</v>
      </c>
      <c r="G1936" t="s">
        <v>11</v>
      </c>
      <c r="H1936" t="s">
        <v>38</v>
      </c>
      <c r="I1936" t="s">
        <v>13</v>
      </c>
      <c r="J1936" t="s">
        <v>13</v>
      </c>
    </row>
    <row r="1937" spans="1:11" x14ac:dyDescent="0.25">
      <c r="A1937" t="s">
        <v>5</v>
      </c>
      <c r="B1937" t="str">
        <f>"28291"</f>
        <v>28291</v>
      </c>
      <c r="C1937" t="str">
        <f>"005"</f>
        <v>005</v>
      </c>
      <c r="D1937">
        <v>2005</v>
      </c>
      <c r="E1937">
        <v>61476100</v>
      </c>
      <c r="F1937">
        <v>21845100</v>
      </c>
      <c r="G1937" t="s">
        <v>11</v>
      </c>
      <c r="H1937" t="s">
        <v>38</v>
      </c>
      <c r="I1937" t="s">
        <v>13</v>
      </c>
      <c r="J1937" t="s">
        <v>13</v>
      </c>
    </row>
    <row r="1938" spans="1:11" x14ac:dyDescent="0.25">
      <c r="A1938" t="s">
        <v>5</v>
      </c>
      <c r="B1938" t="str">
        <f>"28291"</f>
        <v>28291</v>
      </c>
      <c r="C1938" t="str">
        <f>"006"</f>
        <v>006</v>
      </c>
      <c r="D1938">
        <v>2005</v>
      </c>
      <c r="E1938">
        <v>3424100</v>
      </c>
      <c r="F1938">
        <v>3198300</v>
      </c>
      <c r="G1938" t="s">
        <v>11</v>
      </c>
      <c r="H1938" t="s">
        <v>38</v>
      </c>
      <c r="I1938" t="s">
        <v>13</v>
      </c>
      <c r="J1938" t="s">
        <v>13</v>
      </c>
    </row>
    <row r="1939" spans="1:11" x14ac:dyDescent="0.25">
      <c r="A1939" t="s">
        <v>5</v>
      </c>
      <c r="B1939" t="str">
        <f>"28291"</f>
        <v>28291</v>
      </c>
      <c r="C1939" t="str">
        <f>"007"</f>
        <v>007</v>
      </c>
      <c r="D1939">
        <v>2016</v>
      </c>
      <c r="E1939">
        <v>44816000</v>
      </c>
      <c r="F1939">
        <v>2372400</v>
      </c>
      <c r="G1939" t="s">
        <v>11</v>
      </c>
      <c r="H1939" t="s">
        <v>38</v>
      </c>
      <c r="I1939" t="s">
        <v>13</v>
      </c>
      <c r="J1939" t="s">
        <v>13</v>
      </c>
    </row>
    <row r="1940" spans="1:11" x14ac:dyDescent="0.25">
      <c r="A1940" t="s">
        <v>39</v>
      </c>
      <c r="B1940" t="s">
        <v>13</v>
      </c>
      <c r="C1940" t="s">
        <v>7</v>
      </c>
      <c r="D1940" t="s">
        <v>8</v>
      </c>
      <c r="E1940">
        <v>146493000</v>
      </c>
      <c r="F1940">
        <v>63145000</v>
      </c>
      <c r="G1940" t="s">
        <v>11</v>
      </c>
      <c r="H1940">
        <v>1573528400</v>
      </c>
      <c r="I1940" t="s">
        <v>13</v>
      </c>
      <c r="J1940" t="s">
        <v>13</v>
      </c>
      <c r="K1940">
        <v>4.01</v>
      </c>
    </row>
    <row r="1942" spans="1:11" x14ac:dyDescent="0.25">
      <c r="A1942" t="s">
        <v>421</v>
      </c>
      <c r="B1942" t="str">
        <f t="shared" ref="B1942:B1954" si="37">"67291"</f>
        <v>67291</v>
      </c>
      <c r="C1942" t="str">
        <f>"011"</f>
        <v>011</v>
      </c>
      <c r="D1942">
        <v>1997</v>
      </c>
      <c r="E1942">
        <v>93383900</v>
      </c>
      <c r="F1942">
        <v>55859300</v>
      </c>
      <c r="G1942" t="s">
        <v>11</v>
      </c>
      <c r="H1942" t="s">
        <v>38</v>
      </c>
      <c r="I1942" t="s">
        <v>13</v>
      </c>
      <c r="J1942" t="s">
        <v>13</v>
      </c>
    </row>
    <row r="1943" spans="1:11" x14ac:dyDescent="0.25">
      <c r="A1943" t="s">
        <v>5</v>
      </c>
      <c r="B1943" t="str">
        <f t="shared" si="37"/>
        <v>67291</v>
      </c>
      <c r="C1943" t="str">
        <f>"012"</f>
        <v>012</v>
      </c>
      <c r="D1943">
        <v>2001</v>
      </c>
      <c r="E1943">
        <v>18914500</v>
      </c>
      <c r="F1943">
        <v>18806800</v>
      </c>
      <c r="G1943" t="s">
        <v>11</v>
      </c>
      <c r="H1943" t="s">
        <v>38</v>
      </c>
      <c r="I1943" t="s">
        <v>13</v>
      </c>
      <c r="J1943" t="s">
        <v>13</v>
      </c>
    </row>
    <row r="1944" spans="1:11" x14ac:dyDescent="0.25">
      <c r="A1944" t="s">
        <v>5</v>
      </c>
      <c r="B1944" t="str">
        <f t="shared" si="37"/>
        <v>67291</v>
      </c>
      <c r="C1944" t="str">
        <f>"013"</f>
        <v>013</v>
      </c>
      <c r="D1944">
        <v>2003</v>
      </c>
      <c r="E1944">
        <v>4438400</v>
      </c>
      <c r="F1944">
        <v>3956600</v>
      </c>
      <c r="G1944" t="s">
        <v>11</v>
      </c>
      <c r="H1944" t="s">
        <v>38</v>
      </c>
      <c r="I1944" t="s">
        <v>13</v>
      </c>
      <c r="J1944" t="s">
        <v>13</v>
      </c>
    </row>
    <row r="1945" spans="1:11" x14ac:dyDescent="0.25">
      <c r="A1945" t="s">
        <v>5</v>
      </c>
      <c r="B1945" t="str">
        <f t="shared" si="37"/>
        <v>67291</v>
      </c>
      <c r="C1945" t="str">
        <f>"014"</f>
        <v>014</v>
      </c>
      <c r="D1945">
        <v>2003</v>
      </c>
      <c r="E1945">
        <v>98685600</v>
      </c>
      <c r="F1945">
        <v>88795800</v>
      </c>
      <c r="G1945" t="s">
        <v>11</v>
      </c>
      <c r="H1945" t="s">
        <v>38</v>
      </c>
      <c r="I1945" t="s">
        <v>13</v>
      </c>
      <c r="J1945" t="s">
        <v>13</v>
      </c>
    </row>
    <row r="1946" spans="1:11" x14ac:dyDescent="0.25">
      <c r="A1946" t="s">
        <v>5</v>
      </c>
      <c r="B1946" t="str">
        <f t="shared" si="37"/>
        <v>67291</v>
      </c>
      <c r="C1946" t="str">
        <f>"017"</f>
        <v>017</v>
      </c>
      <c r="D1946">
        <v>2007</v>
      </c>
      <c r="E1946">
        <v>89609400</v>
      </c>
      <c r="F1946">
        <v>32280400</v>
      </c>
      <c r="G1946" t="s">
        <v>11</v>
      </c>
      <c r="H1946" t="s">
        <v>38</v>
      </c>
      <c r="I1946" t="s">
        <v>13</v>
      </c>
      <c r="J1946" t="s">
        <v>13</v>
      </c>
    </row>
    <row r="1947" spans="1:11" x14ac:dyDescent="0.25">
      <c r="A1947" t="s">
        <v>5</v>
      </c>
      <c r="B1947" t="str">
        <f t="shared" si="37"/>
        <v>67291</v>
      </c>
      <c r="C1947" t="str">
        <f>"018"</f>
        <v>018</v>
      </c>
      <c r="D1947">
        <v>2009</v>
      </c>
      <c r="E1947">
        <v>6432900</v>
      </c>
      <c r="F1947">
        <v>5728600</v>
      </c>
      <c r="G1947" t="s">
        <v>11</v>
      </c>
      <c r="H1947" t="s">
        <v>38</v>
      </c>
      <c r="I1947" t="s">
        <v>13</v>
      </c>
      <c r="J1947" t="s">
        <v>13</v>
      </c>
    </row>
    <row r="1948" spans="1:11" x14ac:dyDescent="0.25">
      <c r="A1948" t="s">
        <v>5</v>
      </c>
      <c r="B1948" t="str">
        <f t="shared" si="37"/>
        <v>67291</v>
      </c>
      <c r="C1948" t="str">
        <f>"019"</f>
        <v>019</v>
      </c>
      <c r="D1948">
        <v>2010</v>
      </c>
      <c r="E1948">
        <v>31633000</v>
      </c>
      <c r="F1948">
        <v>18006600</v>
      </c>
      <c r="G1948" t="s">
        <v>11</v>
      </c>
      <c r="H1948" t="s">
        <v>38</v>
      </c>
      <c r="I1948" t="s">
        <v>13</v>
      </c>
      <c r="J1948" t="s">
        <v>13</v>
      </c>
    </row>
    <row r="1949" spans="1:11" x14ac:dyDescent="0.25">
      <c r="A1949" t="s">
        <v>5</v>
      </c>
      <c r="B1949" t="str">
        <f t="shared" si="37"/>
        <v>67291</v>
      </c>
      <c r="C1949" t="str">
        <f>"020"</f>
        <v>020</v>
      </c>
      <c r="D1949">
        <v>2010</v>
      </c>
      <c r="E1949">
        <v>14810800</v>
      </c>
      <c r="F1949">
        <v>691200</v>
      </c>
      <c r="G1949" t="s">
        <v>11</v>
      </c>
      <c r="H1949" t="s">
        <v>38</v>
      </c>
      <c r="I1949" t="s">
        <v>13</v>
      </c>
      <c r="J1949" t="s">
        <v>13</v>
      </c>
    </row>
    <row r="1950" spans="1:11" x14ac:dyDescent="0.25">
      <c r="A1950" t="s">
        <v>5</v>
      </c>
      <c r="B1950" t="str">
        <f t="shared" si="37"/>
        <v>67291</v>
      </c>
      <c r="C1950" t="str">
        <f>"021"</f>
        <v>021</v>
      </c>
      <c r="D1950">
        <v>2012</v>
      </c>
      <c r="E1950">
        <v>33068600</v>
      </c>
      <c r="F1950">
        <v>21724700</v>
      </c>
      <c r="G1950" t="s">
        <v>11</v>
      </c>
      <c r="H1950" t="s">
        <v>38</v>
      </c>
      <c r="I1950" t="s">
        <v>13</v>
      </c>
      <c r="J1950" t="s">
        <v>13</v>
      </c>
    </row>
    <row r="1951" spans="1:11" x14ac:dyDescent="0.25">
      <c r="A1951" t="s">
        <v>5</v>
      </c>
      <c r="B1951" t="str">
        <f t="shared" si="37"/>
        <v>67291</v>
      </c>
      <c r="C1951" t="str">
        <f>"022"</f>
        <v>022</v>
      </c>
      <c r="D1951">
        <v>2013</v>
      </c>
      <c r="E1951">
        <v>71416100</v>
      </c>
      <c r="F1951">
        <v>33015600</v>
      </c>
      <c r="G1951" t="s">
        <v>11</v>
      </c>
      <c r="H1951" t="s">
        <v>38</v>
      </c>
      <c r="I1951" t="s">
        <v>13</v>
      </c>
      <c r="J1951" t="s">
        <v>13</v>
      </c>
    </row>
    <row r="1952" spans="1:11" x14ac:dyDescent="0.25">
      <c r="A1952" t="s">
        <v>5</v>
      </c>
      <c r="B1952" t="str">
        <f t="shared" si="37"/>
        <v>67291</v>
      </c>
      <c r="C1952" t="str">
        <f>"023"</f>
        <v>023</v>
      </c>
      <c r="D1952">
        <v>2014</v>
      </c>
      <c r="E1952">
        <v>12016000</v>
      </c>
      <c r="F1952">
        <v>7715400</v>
      </c>
      <c r="G1952" t="s">
        <v>11</v>
      </c>
      <c r="H1952" t="s">
        <v>38</v>
      </c>
      <c r="I1952" t="s">
        <v>13</v>
      </c>
      <c r="J1952" t="s">
        <v>13</v>
      </c>
    </row>
    <row r="1953" spans="1:11" x14ac:dyDescent="0.25">
      <c r="A1953" t="s">
        <v>5</v>
      </c>
      <c r="B1953" t="str">
        <f t="shared" si="37"/>
        <v>67291</v>
      </c>
      <c r="C1953" t="str">
        <f>"024"</f>
        <v>024</v>
      </c>
      <c r="D1953">
        <v>2018</v>
      </c>
      <c r="E1953">
        <v>9953300</v>
      </c>
      <c r="F1953">
        <v>-391900</v>
      </c>
      <c r="G1953" t="s">
        <v>49</v>
      </c>
      <c r="H1953" t="s">
        <v>38</v>
      </c>
      <c r="I1953" t="s">
        <v>13</v>
      </c>
      <c r="J1953" t="s">
        <v>13</v>
      </c>
    </row>
    <row r="1954" spans="1:11" x14ac:dyDescent="0.25">
      <c r="A1954" t="s">
        <v>5</v>
      </c>
      <c r="B1954" t="str">
        <f t="shared" si="37"/>
        <v>67291</v>
      </c>
      <c r="C1954" t="str">
        <f>"025"</f>
        <v>025</v>
      </c>
      <c r="D1954">
        <v>2015</v>
      </c>
      <c r="E1954">
        <v>19909300</v>
      </c>
      <c r="F1954">
        <v>13682700</v>
      </c>
      <c r="G1954" t="s">
        <v>11</v>
      </c>
      <c r="H1954" t="s">
        <v>38</v>
      </c>
      <c r="I1954" t="s">
        <v>13</v>
      </c>
      <c r="J1954" t="s">
        <v>13</v>
      </c>
    </row>
    <row r="1955" spans="1:11" x14ac:dyDescent="0.25">
      <c r="A1955" t="s">
        <v>39</v>
      </c>
      <c r="B1955" t="s">
        <v>13</v>
      </c>
      <c r="C1955" t="s">
        <v>7</v>
      </c>
      <c r="D1955" t="s">
        <v>8</v>
      </c>
      <c r="E1955">
        <v>504271800</v>
      </c>
      <c r="F1955">
        <v>300263700</v>
      </c>
      <c r="G1955" t="s">
        <v>11</v>
      </c>
      <c r="H1955">
        <v>6749416700</v>
      </c>
      <c r="I1955" t="s">
        <v>13</v>
      </c>
      <c r="J1955" t="s">
        <v>13</v>
      </c>
      <c r="K1955">
        <v>4.45</v>
      </c>
    </row>
    <row r="1957" spans="1:11" x14ac:dyDescent="0.25">
      <c r="A1957" t="s">
        <v>422</v>
      </c>
      <c r="B1957" t="str">
        <f t="shared" ref="B1957:B1964" si="38">"13191"</f>
        <v>13191</v>
      </c>
      <c r="C1957" t="str">
        <f>"002"</f>
        <v>002</v>
      </c>
      <c r="D1957">
        <v>2000</v>
      </c>
      <c r="E1957">
        <v>20477100</v>
      </c>
      <c r="F1957">
        <v>20378300</v>
      </c>
      <c r="G1957" t="s">
        <v>11</v>
      </c>
      <c r="H1957" t="s">
        <v>38</v>
      </c>
      <c r="I1957" t="s">
        <v>13</v>
      </c>
      <c r="J1957" t="s">
        <v>13</v>
      </c>
    </row>
    <row r="1958" spans="1:11" x14ac:dyDescent="0.25">
      <c r="A1958" t="s">
        <v>5</v>
      </c>
      <c r="B1958" t="str">
        <f t="shared" si="38"/>
        <v>13191</v>
      </c>
      <c r="C1958" t="str">
        <f>"003"</f>
        <v>003</v>
      </c>
      <c r="D1958">
        <v>2000</v>
      </c>
      <c r="E1958">
        <v>40691900</v>
      </c>
      <c r="F1958">
        <v>40057200</v>
      </c>
      <c r="G1958" t="s">
        <v>11</v>
      </c>
      <c r="H1958" t="s">
        <v>38</v>
      </c>
      <c r="I1958" t="s">
        <v>13</v>
      </c>
      <c r="J1958" t="s">
        <v>13</v>
      </c>
    </row>
    <row r="1959" spans="1:11" x14ac:dyDescent="0.25">
      <c r="A1959" t="s">
        <v>5</v>
      </c>
      <c r="B1959" t="str">
        <f t="shared" si="38"/>
        <v>13191</v>
      </c>
      <c r="C1959" t="str">
        <f>"004"</f>
        <v>004</v>
      </c>
      <c r="D1959">
        <v>2003</v>
      </c>
      <c r="E1959">
        <v>5642400</v>
      </c>
      <c r="F1959">
        <v>4965000</v>
      </c>
      <c r="G1959" t="s">
        <v>11</v>
      </c>
      <c r="H1959" t="s">
        <v>38</v>
      </c>
      <c r="I1959" t="s">
        <v>13</v>
      </c>
      <c r="J1959" t="s">
        <v>13</v>
      </c>
    </row>
    <row r="1960" spans="1:11" x14ac:dyDescent="0.25">
      <c r="A1960" t="s">
        <v>5</v>
      </c>
      <c r="B1960" t="str">
        <f t="shared" si="38"/>
        <v>13191</v>
      </c>
      <c r="C1960" t="str">
        <f>"005"</f>
        <v>005</v>
      </c>
      <c r="D1960">
        <v>2005</v>
      </c>
      <c r="E1960">
        <v>50837500</v>
      </c>
      <c r="F1960">
        <v>23294300</v>
      </c>
      <c r="G1960" t="s">
        <v>11</v>
      </c>
      <c r="H1960" t="s">
        <v>38</v>
      </c>
      <c r="I1960" t="s">
        <v>13</v>
      </c>
      <c r="J1960" t="s">
        <v>13</v>
      </c>
    </row>
    <row r="1961" spans="1:11" x14ac:dyDescent="0.25">
      <c r="A1961" t="s">
        <v>5</v>
      </c>
      <c r="B1961" t="str">
        <f t="shared" si="38"/>
        <v>13191</v>
      </c>
      <c r="C1961" t="str">
        <f>"006"</f>
        <v>006</v>
      </c>
      <c r="D1961">
        <v>2015</v>
      </c>
      <c r="E1961">
        <v>56905600</v>
      </c>
      <c r="F1961">
        <v>45144500</v>
      </c>
      <c r="G1961" t="s">
        <v>11</v>
      </c>
      <c r="H1961" t="s">
        <v>38</v>
      </c>
      <c r="I1961" t="s">
        <v>13</v>
      </c>
      <c r="J1961" t="s">
        <v>13</v>
      </c>
    </row>
    <row r="1962" spans="1:11" x14ac:dyDescent="0.25">
      <c r="A1962" t="s">
        <v>5</v>
      </c>
      <c r="B1962" t="str">
        <f t="shared" si="38"/>
        <v>13191</v>
      </c>
      <c r="C1962" t="str">
        <f>"007"</f>
        <v>007</v>
      </c>
      <c r="D1962">
        <v>2016</v>
      </c>
      <c r="E1962">
        <v>9421800</v>
      </c>
      <c r="F1962">
        <v>4976100</v>
      </c>
      <c r="G1962" t="s">
        <v>11</v>
      </c>
      <c r="H1962" t="s">
        <v>38</v>
      </c>
      <c r="I1962" t="s">
        <v>13</v>
      </c>
      <c r="J1962" t="s">
        <v>13</v>
      </c>
    </row>
    <row r="1963" spans="1:11" x14ac:dyDescent="0.25">
      <c r="A1963" t="s">
        <v>5</v>
      </c>
      <c r="B1963" t="str">
        <f t="shared" si="38"/>
        <v>13191</v>
      </c>
      <c r="C1963" t="str">
        <f>"008"</f>
        <v>008</v>
      </c>
      <c r="D1963">
        <v>2018</v>
      </c>
      <c r="E1963">
        <v>18413400</v>
      </c>
      <c r="F1963">
        <v>2428000</v>
      </c>
      <c r="G1963" t="s">
        <v>11</v>
      </c>
      <c r="H1963" t="s">
        <v>38</v>
      </c>
      <c r="I1963" t="s">
        <v>13</v>
      </c>
      <c r="J1963" t="s">
        <v>13</v>
      </c>
    </row>
    <row r="1964" spans="1:11" x14ac:dyDescent="0.25">
      <c r="A1964" t="s">
        <v>5</v>
      </c>
      <c r="B1964" t="str">
        <f t="shared" si="38"/>
        <v>13191</v>
      </c>
      <c r="C1964" t="str">
        <f>"009"</f>
        <v>009</v>
      </c>
      <c r="D1964">
        <v>2018</v>
      </c>
      <c r="E1964">
        <v>958500</v>
      </c>
      <c r="F1964">
        <v>-188500</v>
      </c>
      <c r="G1964" t="s">
        <v>49</v>
      </c>
      <c r="H1964" t="s">
        <v>38</v>
      </c>
      <c r="I1964" t="s">
        <v>13</v>
      </c>
      <c r="J1964" t="s">
        <v>13</v>
      </c>
    </row>
    <row r="1965" spans="1:11" x14ac:dyDescent="0.25">
      <c r="A1965" t="s">
        <v>39</v>
      </c>
      <c r="B1965" t="s">
        <v>13</v>
      </c>
      <c r="C1965" t="s">
        <v>7</v>
      </c>
      <c r="D1965" t="s">
        <v>8</v>
      </c>
      <c r="E1965">
        <v>203348200</v>
      </c>
      <c r="F1965">
        <v>141243400</v>
      </c>
      <c r="G1965" t="s">
        <v>11</v>
      </c>
      <c r="H1965">
        <v>2070712600</v>
      </c>
      <c r="I1965" t="s">
        <v>13</v>
      </c>
      <c r="J1965" t="s">
        <v>13</v>
      </c>
      <c r="K1965">
        <v>6.82</v>
      </c>
    </row>
    <row r="1967" spans="1:11" x14ac:dyDescent="0.25">
      <c r="A1967" t="s">
        <v>423</v>
      </c>
      <c r="B1967" t="str">
        <f t="shared" ref="B1967:B1972" si="39">"68291"</f>
        <v>68291</v>
      </c>
      <c r="C1967" t="str">
        <f>"003"</f>
        <v>003</v>
      </c>
      <c r="D1967">
        <v>2000</v>
      </c>
      <c r="E1967">
        <v>17795400</v>
      </c>
      <c r="F1967">
        <v>15882900</v>
      </c>
      <c r="G1967" t="s">
        <v>11</v>
      </c>
      <c r="H1967" t="s">
        <v>38</v>
      </c>
      <c r="I1967" t="s">
        <v>13</v>
      </c>
      <c r="J1967" t="s">
        <v>13</v>
      </c>
    </row>
    <row r="1968" spans="1:11" x14ac:dyDescent="0.25">
      <c r="A1968" t="s">
        <v>5</v>
      </c>
      <c r="B1968" t="str">
        <f t="shared" si="39"/>
        <v>68291</v>
      </c>
      <c r="C1968" t="str">
        <f>"004"</f>
        <v>004</v>
      </c>
      <c r="D1968">
        <v>2000</v>
      </c>
      <c r="E1968">
        <v>30662200</v>
      </c>
      <c r="F1968">
        <v>27760600</v>
      </c>
      <c r="G1968" t="s">
        <v>11</v>
      </c>
      <c r="H1968" t="s">
        <v>38</v>
      </c>
      <c r="I1968" t="s">
        <v>13</v>
      </c>
      <c r="J1968" t="s">
        <v>13</v>
      </c>
    </row>
    <row r="1969" spans="1:11" x14ac:dyDescent="0.25">
      <c r="A1969" t="s">
        <v>5</v>
      </c>
      <c r="B1969" t="str">
        <f t="shared" si="39"/>
        <v>68291</v>
      </c>
      <c r="C1969" t="str">
        <f>"006"</f>
        <v>006</v>
      </c>
      <c r="D1969">
        <v>2000</v>
      </c>
      <c r="E1969">
        <v>35452000</v>
      </c>
      <c r="F1969">
        <v>24545400</v>
      </c>
      <c r="G1969" t="s">
        <v>11</v>
      </c>
      <c r="H1969" t="s">
        <v>38</v>
      </c>
      <c r="I1969" t="s">
        <v>13</v>
      </c>
      <c r="J1969" t="s">
        <v>13</v>
      </c>
    </row>
    <row r="1970" spans="1:11" x14ac:dyDescent="0.25">
      <c r="A1970" t="s">
        <v>5</v>
      </c>
      <c r="B1970" t="str">
        <f t="shared" si="39"/>
        <v>68291</v>
      </c>
      <c r="C1970" t="str">
        <f>"008"</f>
        <v>008</v>
      </c>
      <c r="D1970">
        <v>2001</v>
      </c>
      <c r="E1970">
        <v>8460100</v>
      </c>
      <c r="F1970">
        <v>6687500</v>
      </c>
      <c r="G1970" t="s">
        <v>11</v>
      </c>
      <c r="H1970" t="s">
        <v>38</v>
      </c>
      <c r="I1970" t="s">
        <v>13</v>
      </c>
      <c r="J1970" t="s">
        <v>13</v>
      </c>
    </row>
    <row r="1971" spans="1:11" x14ac:dyDescent="0.25">
      <c r="A1971" t="s">
        <v>5</v>
      </c>
      <c r="B1971" t="str">
        <f t="shared" si="39"/>
        <v>68291</v>
      </c>
      <c r="C1971" t="str">
        <f>"009"</f>
        <v>009</v>
      </c>
      <c r="D1971">
        <v>2001</v>
      </c>
      <c r="E1971">
        <v>1098300</v>
      </c>
      <c r="F1971">
        <v>-1109800</v>
      </c>
      <c r="G1971" t="s">
        <v>49</v>
      </c>
      <c r="H1971" t="s">
        <v>38</v>
      </c>
      <c r="I1971" t="s">
        <v>13</v>
      </c>
      <c r="J1971" t="s">
        <v>13</v>
      </c>
    </row>
    <row r="1972" spans="1:11" x14ac:dyDescent="0.25">
      <c r="A1972" t="s">
        <v>5</v>
      </c>
      <c r="B1972" t="str">
        <f t="shared" si="39"/>
        <v>68291</v>
      </c>
      <c r="C1972" t="str">
        <f>"010"</f>
        <v>010</v>
      </c>
      <c r="D1972">
        <v>2001</v>
      </c>
      <c r="E1972">
        <v>3353400</v>
      </c>
      <c r="F1972">
        <v>3071600</v>
      </c>
      <c r="G1972" t="s">
        <v>11</v>
      </c>
      <c r="H1972" t="s">
        <v>38</v>
      </c>
      <c r="I1972" t="s">
        <v>13</v>
      </c>
      <c r="J1972" t="s">
        <v>13</v>
      </c>
    </row>
    <row r="1973" spans="1:11" x14ac:dyDescent="0.25">
      <c r="A1973" t="s">
        <v>39</v>
      </c>
      <c r="B1973" t="s">
        <v>13</v>
      </c>
      <c r="C1973" t="s">
        <v>7</v>
      </c>
      <c r="D1973" t="s">
        <v>8</v>
      </c>
      <c r="E1973">
        <v>96821400</v>
      </c>
      <c r="F1973">
        <v>77948000</v>
      </c>
      <c r="G1973" t="s">
        <v>11</v>
      </c>
      <c r="H1973">
        <v>451855500</v>
      </c>
      <c r="I1973" t="s">
        <v>13</v>
      </c>
      <c r="J1973" t="s">
        <v>13</v>
      </c>
      <c r="K1973">
        <v>17.25</v>
      </c>
    </row>
    <row r="1975" spans="1:11" x14ac:dyDescent="0.25">
      <c r="A1975" t="s">
        <v>424</v>
      </c>
      <c r="B1975" t="str">
        <f>"14292"</f>
        <v>14292</v>
      </c>
      <c r="C1975" t="str">
        <f>"001"</f>
        <v>001</v>
      </c>
      <c r="D1975">
        <v>1987</v>
      </c>
      <c r="E1975">
        <v>12605900</v>
      </c>
      <c r="F1975">
        <v>11747400</v>
      </c>
      <c r="G1975" t="s">
        <v>11</v>
      </c>
      <c r="H1975" t="s">
        <v>38</v>
      </c>
      <c r="I1975" t="s">
        <v>13</v>
      </c>
      <c r="J1975" t="s">
        <v>13</v>
      </c>
    </row>
    <row r="1976" spans="1:11" x14ac:dyDescent="0.25">
      <c r="A1976" t="s">
        <v>5</v>
      </c>
      <c r="B1976" t="str">
        <f>"20292"</f>
        <v>20292</v>
      </c>
      <c r="C1976" t="str">
        <f>"003"</f>
        <v>003</v>
      </c>
      <c r="D1976">
        <v>2005</v>
      </c>
      <c r="E1976">
        <v>13357700</v>
      </c>
      <c r="F1976">
        <v>3094000</v>
      </c>
      <c r="G1976" t="s">
        <v>11</v>
      </c>
      <c r="H1976" t="s">
        <v>38</v>
      </c>
      <c r="I1976" t="s">
        <v>13</v>
      </c>
      <c r="J1976" t="s">
        <v>13</v>
      </c>
    </row>
    <row r="1977" spans="1:11" x14ac:dyDescent="0.25">
      <c r="A1977" t="s">
        <v>5</v>
      </c>
      <c r="B1977" t="str">
        <f>"14292"</f>
        <v>14292</v>
      </c>
      <c r="C1977" t="str">
        <f>"003"</f>
        <v>003</v>
      </c>
      <c r="D1977">
        <v>2005</v>
      </c>
      <c r="E1977">
        <v>8448100</v>
      </c>
      <c r="F1977">
        <v>1409300</v>
      </c>
      <c r="G1977" t="s">
        <v>11</v>
      </c>
      <c r="H1977" t="s">
        <v>38</v>
      </c>
      <c r="I1977" t="s">
        <v>13</v>
      </c>
      <c r="J1977" t="s">
        <v>13</v>
      </c>
    </row>
    <row r="1978" spans="1:11" x14ac:dyDescent="0.25">
      <c r="A1978" t="s">
        <v>5</v>
      </c>
      <c r="B1978" t="str">
        <f>"14292"</f>
        <v>14292</v>
      </c>
      <c r="C1978" t="str">
        <f>"005"</f>
        <v>005</v>
      </c>
      <c r="D1978">
        <v>2008</v>
      </c>
      <c r="E1978">
        <v>18121800</v>
      </c>
      <c r="F1978">
        <v>16171500</v>
      </c>
      <c r="G1978" t="s">
        <v>11</v>
      </c>
      <c r="H1978" t="s">
        <v>38</v>
      </c>
      <c r="I1978" t="s">
        <v>13</v>
      </c>
      <c r="J1978" t="s">
        <v>13</v>
      </c>
    </row>
    <row r="1979" spans="1:11" x14ac:dyDescent="0.25">
      <c r="A1979" t="s">
        <v>5</v>
      </c>
      <c r="B1979" t="str">
        <f>"20292"</f>
        <v>20292</v>
      </c>
      <c r="C1979" t="str">
        <f>"006"</f>
        <v>006</v>
      </c>
      <c r="D1979">
        <v>2012</v>
      </c>
      <c r="E1979">
        <v>7323800</v>
      </c>
      <c r="F1979">
        <v>-1830800</v>
      </c>
      <c r="G1979" t="s">
        <v>49</v>
      </c>
      <c r="H1979" t="s">
        <v>38</v>
      </c>
      <c r="I1979" t="s">
        <v>13</v>
      </c>
      <c r="J1979" t="s">
        <v>13</v>
      </c>
    </row>
    <row r="1980" spans="1:11" x14ac:dyDescent="0.25">
      <c r="A1980" t="s">
        <v>5</v>
      </c>
      <c r="B1980" t="str">
        <f>"14292"</f>
        <v>14292</v>
      </c>
      <c r="C1980" t="str">
        <f>"006"</f>
        <v>006</v>
      </c>
      <c r="D1980">
        <v>2012</v>
      </c>
      <c r="E1980">
        <v>10398000</v>
      </c>
      <c r="F1980">
        <v>5217400</v>
      </c>
      <c r="G1980" t="s">
        <v>11</v>
      </c>
      <c r="H1980" t="s">
        <v>38</v>
      </c>
      <c r="I1980" t="s">
        <v>13</v>
      </c>
      <c r="J1980" t="s">
        <v>13</v>
      </c>
    </row>
    <row r="1981" spans="1:11" x14ac:dyDescent="0.25">
      <c r="A1981" t="s">
        <v>5</v>
      </c>
      <c r="B1981" t="str">
        <f>"14292"</f>
        <v>14292</v>
      </c>
      <c r="C1981" t="str">
        <f>"007"</f>
        <v>007</v>
      </c>
      <c r="D1981">
        <v>2017</v>
      </c>
      <c r="E1981">
        <v>2215600</v>
      </c>
      <c r="F1981">
        <v>2193500</v>
      </c>
      <c r="G1981" t="s">
        <v>11</v>
      </c>
      <c r="H1981" t="s">
        <v>38</v>
      </c>
      <c r="I1981" t="s">
        <v>13</v>
      </c>
      <c r="J1981" t="s">
        <v>13</v>
      </c>
    </row>
    <row r="1982" spans="1:11" x14ac:dyDescent="0.25">
      <c r="A1982" t="s">
        <v>5</v>
      </c>
      <c r="B1982" t="str">
        <f>"20292"</f>
        <v>20292</v>
      </c>
      <c r="C1982" t="str">
        <f>"008"</f>
        <v>008</v>
      </c>
      <c r="D1982">
        <v>2018</v>
      </c>
      <c r="E1982">
        <v>7413400</v>
      </c>
      <c r="F1982">
        <v>2365500</v>
      </c>
      <c r="G1982" t="s">
        <v>11</v>
      </c>
      <c r="H1982" t="s">
        <v>38</v>
      </c>
      <c r="I1982" t="s">
        <v>13</v>
      </c>
      <c r="J1982" t="s">
        <v>13</v>
      </c>
    </row>
    <row r="1983" spans="1:11" x14ac:dyDescent="0.25">
      <c r="A1983" t="s">
        <v>39</v>
      </c>
      <c r="B1983" t="s">
        <v>13</v>
      </c>
      <c r="C1983" t="s">
        <v>7</v>
      </c>
      <c r="D1983" t="s">
        <v>8</v>
      </c>
      <c r="E1983">
        <v>79884300</v>
      </c>
      <c r="F1983">
        <v>42198600</v>
      </c>
      <c r="G1983" t="s">
        <v>11</v>
      </c>
      <c r="H1983">
        <v>475520800</v>
      </c>
      <c r="I1983" t="s">
        <v>13</v>
      </c>
      <c r="J1983" t="s">
        <v>13</v>
      </c>
      <c r="K1983">
        <v>8.8699999999999992</v>
      </c>
    </row>
    <row r="1985" spans="1:11" x14ac:dyDescent="0.25">
      <c r="A1985" t="s">
        <v>425</v>
      </c>
      <c r="B1985" t="str">
        <f t="shared" ref="B1985:B1993" si="40">"37291"</f>
        <v>37291</v>
      </c>
      <c r="C1985" t="str">
        <f>"003"</f>
        <v>003</v>
      </c>
      <c r="D1985">
        <v>1994</v>
      </c>
      <c r="E1985">
        <v>143102900</v>
      </c>
      <c r="F1985">
        <v>100284200</v>
      </c>
      <c r="G1985" t="s">
        <v>11</v>
      </c>
      <c r="H1985" t="s">
        <v>38</v>
      </c>
      <c r="I1985" t="s">
        <v>13</v>
      </c>
      <c r="J1985" t="s">
        <v>13</v>
      </c>
    </row>
    <row r="1986" spans="1:11" x14ac:dyDescent="0.25">
      <c r="A1986" t="s">
        <v>5</v>
      </c>
      <c r="B1986" t="str">
        <f t="shared" si="40"/>
        <v>37291</v>
      </c>
      <c r="C1986" t="str">
        <f>"005"</f>
        <v>005</v>
      </c>
      <c r="D1986">
        <v>1997</v>
      </c>
      <c r="E1986">
        <v>34453200</v>
      </c>
      <c r="F1986">
        <v>34353200</v>
      </c>
      <c r="G1986" t="s">
        <v>11</v>
      </c>
      <c r="H1986" t="s">
        <v>38</v>
      </c>
      <c r="I1986" t="s">
        <v>13</v>
      </c>
      <c r="J1986" t="s">
        <v>13</v>
      </c>
    </row>
    <row r="1987" spans="1:11" x14ac:dyDescent="0.25">
      <c r="A1987" t="s">
        <v>5</v>
      </c>
      <c r="B1987" t="str">
        <f t="shared" si="40"/>
        <v>37291</v>
      </c>
      <c r="C1987" t="str">
        <f>"006"</f>
        <v>006</v>
      </c>
      <c r="D1987">
        <v>2005</v>
      </c>
      <c r="E1987">
        <v>185917600</v>
      </c>
      <c r="F1987">
        <v>105076800</v>
      </c>
      <c r="G1987" t="s">
        <v>11</v>
      </c>
      <c r="H1987" t="s">
        <v>38</v>
      </c>
      <c r="I1987" t="s">
        <v>13</v>
      </c>
      <c r="J1987" t="s">
        <v>13</v>
      </c>
    </row>
    <row r="1988" spans="1:11" x14ac:dyDescent="0.25">
      <c r="A1988" t="s">
        <v>5</v>
      </c>
      <c r="B1988" t="str">
        <f t="shared" si="40"/>
        <v>37291</v>
      </c>
      <c r="C1988" t="str">
        <f>"007"</f>
        <v>007</v>
      </c>
      <c r="D1988">
        <v>2006</v>
      </c>
      <c r="E1988">
        <v>68348900</v>
      </c>
      <c r="F1988">
        <v>38823000</v>
      </c>
      <c r="G1988" t="s">
        <v>11</v>
      </c>
      <c r="H1988" t="s">
        <v>38</v>
      </c>
      <c r="I1988" t="s">
        <v>13</v>
      </c>
      <c r="J1988" t="s">
        <v>13</v>
      </c>
    </row>
    <row r="1989" spans="1:11" x14ac:dyDescent="0.25">
      <c r="A1989" t="s">
        <v>5</v>
      </c>
      <c r="B1989" t="str">
        <f t="shared" si="40"/>
        <v>37291</v>
      </c>
      <c r="C1989" t="str">
        <f>"008"</f>
        <v>008</v>
      </c>
      <c r="D1989">
        <v>2012</v>
      </c>
      <c r="E1989">
        <v>44493800</v>
      </c>
      <c r="F1989">
        <v>9084900</v>
      </c>
      <c r="G1989" t="s">
        <v>11</v>
      </c>
      <c r="H1989" t="s">
        <v>38</v>
      </c>
      <c r="I1989" t="s">
        <v>13</v>
      </c>
      <c r="J1989" t="s">
        <v>13</v>
      </c>
    </row>
    <row r="1990" spans="1:11" x14ac:dyDescent="0.25">
      <c r="A1990" t="s">
        <v>5</v>
      </c>
      <c r="B1990" t="str">
        <f t="shared" si="40"/>
        <v>37291</v>
      </c>
      <c r="C1990" t="str">
        <f>"009"</f>
        <v>009</v>
      </c>
      <c r="D1990">
        <v>2012</v>
      </c>
      <c r="E1990">
        <v>2174900</v>
      </c>
      <c r="F1990">
        <v>942500</v>
      </c>
      <c r="G1990" t="s">
        <v>11</v>
      </c>
      <c r="H1990" t="s">
        <v>38</v>
      </c>
      <c r="I1990" t="s">
        <v>13</v>
      </c>
      <c r="J1990" t="s">
        <v>13</v>
      </c>
    </row>
    <row r="1991" spans="1:11" x14ac:dyDescent="0.25">
      <c r="A1991" t="s">
        <v>5</v>
      </c>
      <c r="B1991" t="str">
        <f t="shared" si="40"/>
        <v>37291</v>
      </c>
      <c r="C1991" t="str">
        <f>"010"</f>
        <v>010</v>
      </c>
      <c r="D1991">
        <v>2013</v>
      </c>
      <c r="E1991">
        <v>56367200</v>
      </c>
      <c r="F1991">
        <v>10654200</v>
      </c>
      <c r="G1991" t="s">
        <v>11</v>
      </c>
      <c r="H1991" t="s">
        <v>38</v>
      </c>
      <c r="I1991" t="s">
        <v>13</v>
      </c>
      <c r="J1991" t="s">
        <v>13</v>
      </c>
    </row>
    <row r="1992" spans="1:11" x14ac:dyDescent="0.25">
      <c r="A1992" t="s">
        <v>5</v>
      </c>
      <c r="B1992" t="str">
        <f t="shared" si="40"/>
        <v>37291</v>
      </c>
      <c r="C1992" t="str">
        <f>"011"</f>
        <v>011</v>
      </c>
      <c r="D1992">
        <v>2017</v>
      </c>
      <c r="E1992">
        <v>61254900</v>
      </c>
      <c r="F1992">
        <v>59868500</v>
      </c>
      <c r="G1992" t="s">
        <v>11</v>
      </c>
      <c r="H1992" t="s">
        <v>38</v>
      </c>
      <c r="I1992" t="s">
        <v>13</v>
      </c>
      <c r="J1992" t="s">
        <v>13</v>
      </c>
    </row>
    <row r="1993" spans="1:11" x14ac:dyDescent="0.25">
      <c r="A1993" t="s">
        <v>5</v>
      </c>
      <c r="B1993" t="str">
        <f t="shared" si="40"/>
        <v>37291</v>
      </c>
      <c r="C1993" t="str">
        <f>"012"</f>
        <v>012</v>
      </c>
      <c r="D1993">
        <v>2017</v>
      </c>
      <c r="E1993">
        <v>24348300</v>
      </c>
      <c r="F1993">
        <v>-7936700</v>
      </c>
      <c r="G1993" t="s">
        <v>49</v>
      </c>
      <c r="H1993" t="s">
        <v>38</v>
      </c>
      <c r="I1993" t="s">
        <v>13</v>
      </c>
      <c r="J1993" t="s">
        <v>13</v>
      </c>
    </row>
    <row r="1994" spans="1:11" x14ac:dyDescent="0.25">
      <c r="A1994" t="s">
        <v>39</v>
      </c>
      <c r="B1994" t="s">
        <v>13</v>
      </c>
      <c r="C1994" t="s">
        <v>7</v>
      </c>
      <c r="D1994" t="s">
        <v>8</v>
      </c>
      <c r="E1994">
        <v>620461700</v>
      </c>
      <c r="F1994">
        <v>359087300</v>
      </c>
      <c r="G1994" t="s">
        <v>11</v>
      </c>
      <c r="H1994">
        <v>3075863100</v>
      </c>
      <c r="I1994" t="s">
        <v>13</v>
      </c>
      <c r="J1994" t="s">
        <v>13</v>
      </c>
      <c r="K1994">
        <v>11.67</v>
      </c>
    </row>
    <row r="1996" spans="1:11" x14ac:dyDescent="0.25">
      <c r="A1996" t="s">
        <v>426</v>
      </c>
      <c r="B1996" t="str">
        <f>"69291"</f>
        <v>69291</v>
      </c>
      <c r="C1996" t="str">
        <f>"001"</f>
        <v>001</v>
      </c>
      <c r="D1996">
        <v>1995</v>
      </c>
      <c r="E1996">
        <v>27341500</v>
      </c>
      <c r="F1996">
        <v>23203600</v>
      </c>
      <c r="G1996" t="s">
        <v>11</v>
      </c>
      <c r="H1996" t="s">
        <v>38</v>
      </c>
      <c r="I1996" t="s">
        <v>13</v>
      </c>
      <c r="J1996" t="s">
        <v>13</v>
      </c>
    </row>
    <row r="1997" spans="1:11" x14ac:dyDescent="0.25">
      <c r="A1997" t="s">
        <v>5</v>
      </c>
      <c r="B1997" t="str">
        <f>"69291"</f>
        <v>69291</v>
      </c>
      <c r="C1997" t="str">
        <f>"002"</f>
        <v>002</v>
      </c>
      <c r="D1997">
        <v>1996</v>
      </c>
      <c r="E1997">
        <v>7575800</v>
      </c>
      <c r="F1997">
        <v>6785400</v>
      </c>
      <c r="G1997" t="s">
        <v>11</v>
      </c>
      <c r="H1997" t="s">
        <v>38</v>
      </c>
      <c r="I1997" t="s">
        <v>13</v>
      </c>
      <c r="J1997" t="s">
        <v>13</v>
      </c>
    </row>
    <row r="1998" spans="1:11" x14ac:dyDescent="0.25">
      <c r="A1998" t="s">
        <v>39</v>
      </c>
      <c r="B1998" t="s">
        <v>13</v>
      </c>
      <c r="C1998" t="s">
        <v>7</v>
      </c>
      <c r="D1998" t="s">
        <v>8</v>
      </c>
      <c r="E1998">
        <v>34917300</v>
      </c>
      <c r="F1998">
        <v>29989000</v>
      </c>
      <c r="G1998" t="s">
        <v>11</v>
      </c>
      <c r="H1998">
        <v>110178800</v>
      </c>
      <c r="I1998" t="s">
        <v>13</v>
      </c>
      <c r="J1998" t="s">
        <v>13</v>
      </c>
      <c r="K1998">
        <v>27.22</v>
      </c>
    </row>
    <row r="2000" spans="1:11" x14ac:dyDescent="0.25">
      <c r="A2000" t="s">
        <v>427</v>
      </c>
      <c r="B2000" t="str">
        <f t="shared" ref="B2000:B2006" si="41">"40291"</f>
        <v>40291</v>
      </c>
      <c r="C2000" t="str">
        <f>"006"</f>
        <v>006</v>
      </c>
      <c r="D2000">
        <v>2010</v>
      </c>
      <c r="E2000">
        <v>131158500</v>
      </c>
      <c r="F2000">
        <v>104390100</v>
      </c>
      <c r="G2000" t="s">
        <v>11</v>
      </c>
      <c r="H2000" t="s">
        <v>38</v>
      </c>
      <c r="I2000" t="s">
        <v>13</v>
      </c>
      <c r="J2000" t="s">
        <v>13</v>
      </c>
    </row>
    <row r="2001" spans="1:11" x14ac:dyDescent="0.25">
      <c r="A2001" t="s">
        <v>5</v>
      </c>
      <c r="B2001" t="str">
        <f t="shared" si="41"/>
        <v>40291</v>
      </c>
      <c r="C2001" t="str">
        <f>"007"</f>
        <v>007</v>
      </c>
      <c r="D2001">
        <v>2013</v>
      </c>
      <c r="E2001">
        <v>169482700</v>
      </c>
      <c r="F2001">
        <v>148667700</v>
      </c>
      <c r="G2001" t="s">
        <v>11</v>
      </c>
      <c r="H2001" t="s">
        <v>38</v>
      </c>
      <c r="I2001" t="s">
        <v>13</v>
      </c>
      <c r="J2001" t="s">
        <v>13</v>
      </c>
    </row>
    <row r="2002" spans="1:11" x14ac:dyDescent="0.25">
      <c r="A2002" t="s">
        <v>5</v>
      </c>
      <c r="B2002" t="str">
        <f t="shared" si="41"/>
        <v>40291</v>
      </c>
      <c r="C2002" t="str">
        <f>"008"</f>
        <v>008</v>
      </c>
      <c r="D2002">
        <v>2014</v>
      </c>
      <c r="E2002">
        <v>50998300</v>
      </c>
      <c r="F2002">
        <v>29274700</v>
      </c>
      <c r="G2002" t="s">
        <v>11</v>
      </c>
      <c r="H2002" t="s">
        <v>38</v>
      </c>
      <c r="I2002" t="s">
        <v>13</v>
      </c>
      <c r="J2002" t="s">
        <v>13</v>
      </c>
    </row>
    <row r="2003" spans="1:11" x14ac:dyDescent="0.25">
      <c r="A2003" t="s">
        <v>5</v>
      </c>
      <c r="B2003" t="str">
        <f t="shared" si="41"/>
        <v>40291</v>
      </c>
      <c r="C2003" t="str">
        <f>"009"</f>
        <v>009</v>
      </c>
      <c r="D2003">
        <v>2015</v>
      </c>
      <c r="E2003">
        <v>16584700</v>
      </c>
      <c r="F2003">
        <v>11456500</v>
      </c>
      <c r="G2003" t="s">
        <v>11</v>
      </c>
      <c r="H2003" t="s">
        <v>38</v>
      </c>
      <c r="I2003" t="s">
        <v>13</v>
      </c>
      <c r="J2003" t="s">
        <v>13</v>
      </c>
    </row>
    <row r="2004" spans="1:11" x14ac:dyDescent="0.25">
      <c r="A2004" t="s">
        <v>5</v>
      </c>
      <c r="B2004" t="str">
        <f t="shared" si="41"/>
        <v>40291</v>
      </c>
      <c r="C2004" t="str">
        <f>"010"</f>
        <v>010</v>
      </c>
      <c r="D2004">
        <v>2015</v>
      </c>
      <c r="E2004">
        <v>60368700</v>
      </c>
      <c r="F2004">
        <v>56398300</v>
      </c>
      <c r="G2004" t="s">
        <v>11</v>
      </c>
      <c r="H2004" t="s">
        <v>38</v>
      </c>
      <c r="I2004" t="s">
        <v>13</v>
      </c>
      <c r="J2004" t="s">
        <v>13</v>
      </c>
    </row>
    <row r="2005" spans="1:11" x14ac:dyDescent="0.25">
      <c r="A2005" t="s">
        <v>5</v>
      </c>
      <c r="B2005" t="str">
        <f t="shared" si="41"/>
        <v>40291</v>
      </c>
      <c r="C2005" t="str">
        <f>"011"</f>
        <v>011</v>
      </c>
      <c r="D2005">
        <v>2015</v>
      </c>
      <c r="E2005">
        <v>37491500</v>
      </c>
      <c r="F2005">
        <v>26328100</v>
      </c>
      <c r="G2005" t="s">
        <v>11</v>
      </c>
      <c r="H2005" t="s">
        <v>38</v>
      </c>
      <c r="I2005" t="s">
        <v>13</v>
      </c>
      <c r="J2005" t="s">
        <v>13</v>
      </c>
    </row>
    <row r="2006" spans="1:11" x14ac:dyDescent="0.25">
      <c r="A2006" t="s">
        <v>5</v>
      </c>
      <c r="B2006" t="str">
        <f t="shared" si="41"/>
        <v>40291</v>
      </c>
      <c r="C2006" t="str">
        <f>"012"</f>
        <v>012</v>
      </c>
      <c r="D2006">
        <v>2018</v>
      </c>
      <c r="E2006">
        <v>36050900</v>
      </c>
      <c r="F2006">
        <v>509700</v>
      </c>
      <c r="G2006" t="s">
        <v>11</v>
      </c>
      <c r="H2006" t="s">
        <v>38</v>
      </c>
      <c r="I2006" t="s">
        <v>13</v>
      </c>
      <c r="J2006" t="s">
        <v>13</v>
      </c>
    </row>
    <row r="2007" spans="1:11" x14ac:dyDescent="0.25">
      <c r="A2007" t="s">
        <v>39</v>
      </c>
      <c r="B2007" t="s">
        <v>13</v>
      </c>
      <c r="C2007" t="s">
        <v>7</v>
      </c>
      <c r="D2007" t="s">
        <v>8</v>
      </c>
      <c r="E2007">
        <v>502135300</v>
      </c>
      <c r="F2007">
        <v>377025100</v>
      </c>
      <c r="G2007" t="s">
        <v>11</v>
      </c>
      <c r="H2007">
        <v>6543192600</v>
      </c>
      <c r="I2007" t="s">
        <v>13</v>
      </c>
      <c r="J2007" t="s">
        <v>13</v>
      </c>
      <c r="K2007">
        <v>5.76</v>
      </c>
    </row>
    <row r="2009" spans="1:11" x14ac:dyDescent="0.25">
      <c r="A2009" t="s">
        <v>428</v>
      </c>
      <c r="B2009" t="str">
        <f>"12191"</f>
        <v>12191</v>
      </c>
      <c r="C2009" t="str">
        <f>"002"</f>
        <v>002</v>
      </c>
      <c r="D2009">
        <v>1997</v>
      </c>
      <c r="E2009">
        <v>2870700</v>
      </c>
      <c r="F2009">
        <v>2080600</v>
      </c>
      <c r="G2009" t="s">
        <v>11</v>
      </c>
      <c r="H2009" t="s">
        <v>38</v>
      </c>
      <c r="I2009" t="s">
        <v>13</v>
      </c>
      <c r="J2009" t="s">
        <v>13</v>
      </c>
    </row>
    <row r="2010" spans="1:11" x14ac:dyDescent="0.25">
      <c r="A2010" t="s">
        <v>39</v>
      </c>
      <c r="B2010" t="s">
        <v>13</v>
      </c>
      <c r="C2010" t="s">
        <v>7</v>
      </c>
      <c r="D2010" t="s">
        <v>8</v>
      </c>
      <c r="E2010">
        <v>2870700</v>
      </c>
      <c r="F2010">
        <v>2080600</v>
      </c>
      <c r="G2010" t="s">
        <v>11</v>
      </c>
      <c r="H2010">
        <v>22225900</v>
      </c>
      <c r="I2010" t="s">
        <v>13</v>
      </c>
      <c r="J2010" t="s">
        <v>13</v>
      </c>
      <c r="K2010">
        <v>9.36</v>
      </c>
    </row>
    <row r="2012" spans="1:11" x14ac:dyDescent="0.25">
      <c r="A2012" t="s">
        <v>429</v>
      </c>
      <c r="B2012" t="str">
        <f>"07191"</f>
        <v>07191</v>
      </c>
      <c r="C2012" t="str">
        <f>"002"</f>
        <v>002</v>
      </c>
      <c r="D2012">
        <v>2005</v>
      </c>
      <c r="E2012">
        <v>3863100</v>
      </c>
      <c r="F2012">
        <v>639900</v>
      </c>
      <c r="G2012" t="s">
        <v>11</v>
      </c>
      <c r="H2012" t="s">
        <v>38</v>
      </c>
      <c r="I2012" t="s">
        <v>13</v>
      </c>
      <c r="J2012" t="s">
        <v>13</v>
      </c>
    </row>
    <row r="2013" spans="1:11" x14ac:dyDescent="0.25">
      <c r="A2013" t="s">
        <v>39</v>
      </c>
      <c r="B2013" t="s">
        <v>13</v>
      </c>
      <c r="C2013" t="s">
        <v>7</v>
      </c>
      <c r="D2013" t="s">
        <v>8</v>
      </c>
      <c r="E2013">
        <v>3863100</v>
      </c>
      <c r="F2013">
        <v>639900</v>
      </c>
      <c r="G2013" t="s">
        <v>11</v>
      </c>
      <c r="H2013">
        <v>32420300</v>
      </c>
      <c r="I2013" t="s">
        <v>13</v>
      </c>
      <c r="J2013" t="s">
        <v>13</v>
      </c>
      <c r="K2013">
        <v>1.97</v>
      </c>
    </row>
    <row r="2015" spans="1:11" x14ac:dyDescent="0.25">
      <c r="A2015" t="s">
        <v>430</v>
      </c>
      <c r="B2015" t="str">
        <f t="shared" ref="B2015:B2025" si="42">"40292"</f>
        <v>40292</v>
      </c>
      <c r="C2015" t="str">
        <f>"005"</f>
        <v>005</v>
      </c>
      <c r="D2015">
        <v>2001</v>
      </c>
      <c r="E2015">
        <v>47633100</v>
      </c>
      <c r="F2015">
        <v>29109100</v>
      </c>
      <c r="G2015" t="s">
        <v>11</v>
      </c>
      <c r="H2015" t="s">
        <v>38</v>
      </c>
      <c r="I2015" t="s">
        <v>13</v>
      </c>
      <c r="J2015" t="s">
        <v>13</v>
      </c>
    </row>
    <row r="2016" spans="1:11" x14ac:dyDescent="0.25">
      <c r="A2016" t="s">
        <v>5</v>
      </c>
      <c r="B2016" t="str">
        <f t="shared" si="42"/>
        <v>40292</v>
      </c>
      <c r="C2016" t="str">
        <f>"006"</f>
        <v>006</v>
      </c>
      <c r="D2016">
        <v>2004</v>
      </c>
      <c r="E2016">
        <v>21241700</v>
      </c>
      <c r="F2016">
        <v>19911100</v>
      </c>
      <c r="G2016" t="s">
        <v>11</v>
      </c>
      <c r="H2016" t="s">
        <v>38</v>
      </c>
      <c r="I2016" t="s">
        <v>13</v>
      </c>
      <c r="J2016" t="s">
        <v>13</v>
      </c>
    </row>
    <row r="2017" spans="1:11" x14ac:dyDescent="0.25">
      <c r="A2017" t="s">
        <v>5</v>
      </c>
      <c r="B2017" t="str">
        <f t="shared" si="42"/>
        <v>40292</v>
      </c>
      <c r="C2017" t="str">
        <f>"007"</f>
        <v>007</v>
      </c>
      <c r="D2017">
        <v>2004</v>
      </c>
      <c r="E2017">
        <v>89042200</v>
      </c>
      <c r="F2017">
        <v>73127800</v>
      </c>
      <c r="G2017" t="s">
        <v>11</v>
      </c>
      <c r="H2017" t="s">
        <v>38</v>
      </c>
      <c r="I2017" t="s">
        <v>13</v>
      </c>
      <c r="J2017" t="s">
        <v>13</v>
      </c>
    </row>
    <row r="2018" spans="1:11" x14ac:dyDescent="0.25">
      <c r="A2018" t="s">
        <v>5</v>
      </c>
      <c r="B2018" t="str">
        <f t="shared" si="42"/>
        <v>40292</v>
      </c>
      <c r="C2018" t="str">
        <f>"009"</f>
        <v>009</v>
      </c>
      <c r="D2018">
        <v>2006</v>
      </c>
      <c r="E2018">
        <v>12999500</v>
      </c>
      <c r="F2018">
        <v>10699900</v>
      </c>
      <c r="G2018" t="s">
        <v>11</v>
      </c>
      <c r="H2018" t="s">
        <v>38</v>
      </c>
      <c r="I2018" t="s">
        <v>13</v>
      </c>
      <c r="J2018" t="s">
        <v>13</v>
      </c>
    </row>
    <row r="2019" spans="1:11" x14ac:dyDescent="0.25">
      <c r="A2019" t="s">
        <v>5</v>
      </c>
      <c r="B2019" t="str">
        <f t="shared" si="42"/>
        <v>40292</v>
      </c>
      <c r="C2019" t="str">
        <f>"010"</f>
        <v>010</v>
      </c>
      <c r="D2019">
        <v>2008</v>
      </c>
      <c r="E2019">
        <v>13192800</v>
      </c>
      <c r="F2019">
        <v>9729200</v>
      </c>
      <c r="G2019" t="s">
        <v>11</v>
      </c>
      <c r="H2019" t="s">
        <v>38</v>
      </c>
      <c r="I2019" t="s">
        <v>13</v>
      </c>
      <c r="J2019" t="s">
        <v>13</v>
      </c>
    </row>
    <row r="2020" spans="1:11" x14ac:dyDescent="0.25">
      <c r="A2020" t="s">
        <v>5</v>
      </c>
      <c r="B2020" t="str">
        <f t="shared" si="42"/>
        <v>40292</v>
      </c>
      <c r="C2020" t="str">
        <f>"011"</f>
        <v>011</v>
      </c>
      <c r="D2020">
        <v>2010</v>
      </c>
      <c r="E2020">
        <v>17042300</v>
      </c>
      <c r="F2020">
        <v>12364300</v>
      </c>
      <c r="G2020" t="s">
        <v>11</v>
      </c>
      <c r="H2020" t="s">
        <v>38</v>
      </c>
      <c r="I2020" t="s">
        <v>13</v>
      </c>
      <c r="J2020" t="s">
        <v>13</v>
      </c>
    </row>
    <row r="2021" spans="1:11" x14ac:dyDescent="0.25">
      <c r="A2021" t="s">
        <v>5</v>
      </c>
      <c r="B2021" t="str">
        <f t="shared" si="42"/>
        <v>40292</v>
      </c>
      <c r="C2021" t="str">
        <f>"012"</f>
        <v>012</v>
      </c>
      <c r="D2021">
        <v>2011</v>
      </c>
      <c r="E2021">
        <v>0</v>
      </c>
      <c r="F2021">
        <v>-232900</v>
      </c>
      <c r="G2021" t="s">
        <v>49</v>
      </c>
      <c r="H2021" t="s">
        <v>38</v>
      </c>
      <c r="I2021" t="s">
        <v>13</v>
      </c>
      <c r="J2021" t="s">
        <v>13</v>
      </c>
    </row>
    <row r="2022" spans="1:11" x14ac:dyDescent="0.25">
      <c r="A2022" t="s">
        <v>5</v>
      </c>
      <c r="B2022" t="str">
        <f t="shared" si="42"/>
        <v>40292</v>
      </c>
      <c r="C2022" t="str">
        <f>"013"</f>
        <v>013</v>
      </c>
      <c r="D2022">
        <v>2011</v>
      </c>
      <c r="E2022">
        <v>814100</v>
      </c>
      <c r="F2022">
        <v>276700</v>
      </c>
      <c r="G2022" t="s">
        <v>11</v>
      </c>
      <c r="H2022" t="s">
        <v>38</v>
      </c>
      <c r="I2022" t="s">
        <v>13</v>
      </c>
      <c r="J2022" t="s">
        <v>13</v>
      </c>
    </row>
    <row r="2023" spans="1:11" x14ac:dyDescent="0.25">
      <c r="A2023" t="s">
        <v>5</v>
      </c>
      <c r="B2023" t="str">
        <f t="shared" si="42"/>
        <v>40292</v>
      </c>
      <c r="C2023" t="str">
        <f>"014"</f>
        <v>014</v>
      </c>
      <c r="D2023">
        <v>2015</v>
      </c>
      <c r="E2023">
        <v>559300</v>
      </c>
      <c r="F2023">
        <v>-795000</v>
      </c>
      <c r="G2023" t="s">
        <v>49</v>
      </c>
      <c r="H2023" t="s">
        <v>38</v>
      </c>
      <c r="I2023" t="s">
        <v>13</v>
      </c>
      <c r="J2023" t="s">
        <v>13</v>
      </c>
    </row>
    <row r="2024" spans="1:11" x14ac:dyDescent="0.25">
      <c r="A2024" t="s">
        <v>5</v>
      </c>
      <c r="B2024" t="str">
        <f t="shared" si="42"/>
        <v>40292</v>
      </c>
      <c r="C2024" t="str">
        <f>"015"</f>
        <v>015</v>
      </c>
      <c r="D2024">
        <v>2016</v>
      </c>
      <c r="E2024">
        <v>7648200</v>
      </c>
      <c r="F2024">
        <v>7648200</v>
      </c>
      <c r="G2024" t="s">
        <v>11</v>
      </c>
      <c r="H2024" t="s">
        <v>38</v>
      </c>
      <c r="I2024" t="s">
        <v>13</v>
      </c>
      <c r="J2024" t="s">
        <v>13</v>
      </c>
    </row>
    <row r="2025" spans="1:11" x14ac:dyDescent="0.25">
      <c r="A2025" t="s">
        <v>5</v>
      </c>
      <c r="B2025" t="str">
        <f t="shared" si="42"/>
        <v>40292</v>
      </c>
      <c r="C2025" t="str">
        <f>"016"</f>
        <v>016</v>
      </c>
      <c r="D2025">
        <v>2018</v>
      </c>
      <c r="E2025">
        <v>4229900</v>
      </c>
      <c r="F2025">
        <v>946700</v>
      </c>
      <c r="G2025" t="s">
        <v>11</v>
      </c>
      <c r="H2025" t="s">
        <v>38</v>
      </c>
      <c r="I2025" t="s">
        <v>13</v>
      </c>
      <c r="J2025" t="s">
        <v>13</v>
      </c>
    </row>
    <row r="2026" spans="1:11" x14ac:dyDescent="0.25">
      <c r="A2026" t="s">
        <v>39</v>
      </c>
      <c r="B2026" t="s">
        <v>13</v>
      </c>
      <c r="C2026" t="s">
        <v>7</v>
      </c>
      <c r="D2026" t="s">
        <v>8</v>
      </c>
      <c r="E2026">
        <v>214403100</v>
      </c>
      <c r="F2026">
        <v>163813000</v>
      </c>
      <c r="G2026" t="s">
        <v>11</v>
      </c>
      <c r="H2026">
        <v>4010376800</v>
      </c>
      <c r="I2026" t="s">
        <v>13</v>
      </c>
      <c r="J2026" t="s">
        <v>13</v>
      </c>
      <c r="K2026">
        <v>4.08</v>
      </c>
    </row>
    <row r="2028" spans="1:11" x14ac:dyDescent="0.25">
      <c r="A2028" t="s">
        <v>431</v>
      </c>
      <c r="B2028" t="str">
        <f>"56191"</f>
        <v>56191</v>
      </c>
      <c r="C2028" t="str">
        <f>"002"</f>
        <v>002</v>
      </c>
      <c r="D2028">
        <v>1997</v>
      </c>
      <c r="E2028">
        <v>36126400</v>
      </c>
      <c r="F2028">
        <v>21044800</v>
      </c>
      <c r="G2028" t="s">
        <v>11</v>
      </c>
      <c r="H2028" t="s">
        <v>38</v>
      </c>
      <c r="I2028" t="s">
        <v>13</v>
      </c>
      <c r="J2028" t="s">
        <v>13</v>
      </c>
    </row>
    <row r="2029" spans="1:11" x14ac:dyDescent="0.25">
      <c r="A2029" t="s">
        <v>5</v>
      </c>
      <c r="B2029" t="str">
        <f>"56191"</f>
        <v>56191</v>
      </c>
      <c r="C2029" t="str">
        <f>"003"</f>
        <v>003</v>
      </c>
      <c r="D2029">
        <v>2018</v>
      </c>
      <c r="E2029">
        <v>20772000</v>
      </c>
      <c r="F2029">
        <v>10160400</v>
      </c>
      <c r="G2029" t="s">
        <v>11</v>
      </c>
      <c r="H2029" t="s">
        <v>38</v>
      </c>
      <c r="I2029" t="s">
        <v>13</v>
      </c>
      <c r="J2029" t="s">
        <v>13</v>
      </c>
    </row>
    <row r="2030" spans="1:11" x14ac:dyDescent="0.25">
      <c r="A2030" t="s">
        <v>39</v>
      </c>
      <c r="B2030" t="s">
        <v>13</v>
      </c>
      <c r="C2030" t="s">
        <v>7</v>
      </c>
      <c r="D2030" t="s">
        <v>8</v>
      </c>
      <c r="E2030">
        <v>56898400</v>
      </c>
      <c r="F2030">
        <v>31205200</v>
      </c>
      <c r="G2030" t="s">
        <v>11</v>
      </c>
      <c r="H2030">
        <v>128012200</v>
      </c>
      <c r="I2030" t="s">
        <v>13</v>
      </c>
      <c r="J2030" t="s">
        <v>13</v>
      </c>
      <c r="K2030">
        <v>24.38</v>
      </c>
    </row>
    <row r="2032" spans="1:11" x14ac:dyDescent="0.25">
      <c r="A2032" t="s">
        <v>432</v>
      </c>
      <c r="B2032" t="str">
        <f t="shared" ref="B2032:B2042" si="43">"66291"</f>
        <v>66291</v>
      </c>
      <c r="C2032" t="str">
        <f>"003"</f>
        <v>003</v>
      </c>
      <c r="D2032">
        <v>1995</v>
      </c>
      <c r="E2032">
        <v>31952900</v>
      </c>
      <c r="F2032">
        <v>27135200</v>
      </c>
      <c r="G2032" t="s">
        <v>11</v>
      </c>
      <c r="H2032" t="s">
        <v>38</v>
      </c>
      <c r="I2032" t="s">
        <v>13</v>
      </c>
      <c r="J2032" t="s">
        <v>13</v>
      </c>
    </row>
    <row r="2033" spans="1:11" x14ac:dyDescent="0.25">
      <c r="A2033" t="s">
        <v>5</v>
      </c>
      <c r="B2033" t="str">
        <f t="shared" si="43"/>
        <v>66291</v>
      </c>
      <c r="C2033" t="str">
        <f>"004"</f>
        <v>004</v>
      </c>
      <c r="D2033">
        <v>1997</v>
      </c>
      <c r="E2033">
        <v>62751100</v>
      </c>
      <c r="F2033">
        <v>61921200</v>
      </c>
      <c r="G2033" t="s">
        <v>11</v>
      </c>
      <c r="H2033" t="s">
        <v>38</v>
      </c>
      <c r="I2033" t="s">
        <v>13</v>
      </c>
      <c r="J2033" t="s">
        <v>13</v>
      </c>
    </row>
    <row r="2034" spans="1:11" x14ac:dyDescent="0.25">
      <c r="A2034" t="s">
        <v>5</v>
      </c>
      <c r="B2034" t="str">
        <f t="shared" si="43"/>
        <v>66291</v>
      </c>
      <c r="C2034" t="str">
        <f>"005"</f>
        <v>005</v>
      </c>
      <c r="D2034">
        <v>1998</v>
      </c>
      <c r="E2034">
        <v>11355000</v>
      </c>
      <c r="F2034">
        <v>9561600</v>
      </c>
      <c r="G2034" t="s">
        <v>11</v>
      </c>
      <c r="H2034" t="s">
        <v>38</v>
      </c>
      <c r="I2034" t="s">
        <v>13</v>
      </c>
      <c r="J2034" t="s">
        <v>13</v>
      </c>
    </row>
    <row r="2035" spans="1:11" x14ac:dyDescent="0.25">
      <c r="A2035" t="s">
        <v>5</v>
      </c>
      <c r="B2035" t="str">
        <f t="shared" si="43"/>
        <v>66291</v>
      </c>
      <c r="C2035" t="str">
        <f>"006"</f>
        <v>006</v>
      </c>
      <c r="D2035">
        <v>1999</v>
      </c>
      <c r="E2035">
        <v>38112200</v>
      </c>
      <c r="F2035">
        <v>33808800</v>
      </c>
      <c r="G2035" t="s">
        <v>11</v>
      </c>
      <c r="H2035" t="s">
        <v>38</v>
      </c>
      <c r="I2035" t="s">
        <v>13</v>
      </c>
      <c r="J2035" t="s">
        <v>13</v>
      </c>
    </row>
    <row r="2036" spans="1:11" x14ac:dyDescent="0.25">
      <c r="A2036" t="s">
        <v>5</v>
      </c>
      <c r="B2036" t="str">
        <f t="shared" si="43"/>
        <v>66291</v>
      </c>
      <c r="C2036" t="str">
        <f>"007"</f>
        <v>007</v>
      </c>
      <c r="D2036">
        <v>1999</v>
      </c>
      <c r="E2036">
        <v>28505700</v>
      </c>
      <c r="F2036">
        <v>7528900</v>
      </c>
      <c r="G2036" t="s">
        <v>11</v>
      </c>
      <c r="H2036" t="s">
        <v>38</v>
      </c>
      <c r="I2036" t="s">
        <v>13</v>
      </c>
      <c r="J2036" t="s">
        <v>13</v>
      </c>
    </row>
    <row r="2037" spans="1:11" x14ac:dyDescent="0.25">
      <c r="A2037" t="s">
        <v>5</v>
      </c>
      <c r="B2037" t="str">
        <f t="shared" si="43"/>
        <v>66291</v>
      </c>
      <c r="C2037" t="str">
        <f>"008"</f>
        <v>008</v>
      </c>
      <c r="D2037">
        <v>1999</v>
      </c>
      <c r="E2037">
        <v>1144500</v>
      </c>
      <c r="F2037">
        <v>1078300</v>
      </c>
      <c r="G2037" t="s">
        <v>11</v>
      </c>
      <c r="H2037" t="s">
        <v>38</v>
      </c>
      <c r="I2037" t="s">
        <v>13</v>
      </c>
      <c r="J2037" t="s">
        <v>13</v>
      </c>
    </row>
    <row r="2038" spans="1:11" x14ac:dyDescent="0.25">
      <c r="A2038" t="s">
        <v>5</v>
      </c>
      <c r="B2038" t="str">
        <f t="shared" si="43"/>
        <v>66291</v>
      </c>
      <c r="C2038" t="str">
        <f>"009"</f>
        <v>009</v>
      </c>
      <c r="D2038">
        <v>2003</v>
      </c>
      <c r="E2038">
        <v>5403600</v>
      </c>
      <c r="F2038">
        <v>1259400</v>
      </c>
      <c r="G2038" t="s">
        <v>11</v>
      </c>
      <c r="H2038" t="s">
        <v>38</v>
      </c>
      <c r="I2038" t="s">
        <v>13</v>
      </c>
      <c r="J2038" t="s">
        <v>13</v>
      </c>
    </row>
    <row r="2039" spans="1:11" x14ac:dyDescent="0.25">
      <c r="A2039" t="s">
        <v>5</v>
      </c>
      <c r="B2039" t="str">
        <f t="shared" si="43"/>
        <v>66291</v>
      </c>
      <c r="C2039" t="str">
        <f>"010"</f>
        <v>010</v>
      </c>
      <c r="D2039">
        <v>2004</v>
      </c>
      <c r="E2039">
        <v>42158600</v>
      </c>
      <c r="F2039">
        <v>35565100</v>
      </c>
      <c r="G2039" t="s">
        <v>11</v>
      </c>
      <c r="H2039" t="s">
        <v>38</v>
      </c>
      <c r="I2039" t="s">
        <v>13</v>
      </c>
      <c r="J2039" t="s">
        <v>13</v>
      </c>
    </row>
    <row r="2040" spans="1:11" x14ac:dyDescent="0.25">
      <c r="A2040" t="s">
        <v>5</v>
      </c>
      <c r="B2040" t="str">
        <f t="shared" si="43"/>
        <v>66291</v>
      </c>
      <c r="C2040" t="str">
        <f>"011"</f>
        <v>011</v>
      </c>
      <c r="D2040">
        <v>2005</v>
      </c>
      <c r="E2040">
        <v>22373300</v>
      </c>
      <c r="F2040">
        <v>12750300</v>
      </c>
      <c r="G2040" t="s">
        <v>11</v>
      </c>
      <c r="H2040" t="s">
        <v>38</v>
      </c>
      <c r="I2040" t="s">
        <v>13</v>
      </c>
      <c r="J2040" t="s">
        <v>13</v>
      </c>
    </row>
    <row r="2041" spans="1:11" x14ac:dyDescent="0.25">
      <c r="A2041" t="s">
        <v>5</v>
      </c>
      <c r="B2041" t="str">
        <f t="shared" si="43"/>
        <v>66291</v>
      </c>
      <c r="C2041" t="str">
        <f>"012"</f>
        <v>012</v>
      </c>
      <c r="D2041">
        <v>2008</v>
      </c>
      <c r="E2041">
        <v>31215600</v>
      </c>
      <c r="F2041">
        <v>19411100</v>
      </c>
      <c r="G2041" t="s">
        <v>11</v>
      </c>
      <c r="H2041" t="s">
        <v>38</v>
      </c>
      <c r="I2041" t="s">
        <v>13</v>
      </c>
      <c r="J2041" t="s">
        <v>13</v>
      </c>
    </row>
    <row r="2042" spans="1:11" x14ac:dyDescent="0.25">
      <c r="A2042" t="s">
        <v>5</v>
      </c>
      <c r="B2042" t="str">
        <f t="shared" si="43"/>
        <v>66291</v>
      </c>
      <c r="C2042" t="str">
        <f>"013"</f>
        <v>013</v>
      </c>
      <c r="D2042">
        <v>2011</v>
      </c>
      <c r="E2042">
        <v>4547700</v>
      </c>
      <c r="F2042">
        <v>913500</v>
      </c>
      <c r="G2042" t="s">
        <v>11</v>
      </c>
      <c r="H2042" t="s">
        <v>38</v>
      </c>
      <c r="I2042" t="s">
        <v>13</v>
      </c>
      <c r="J2042" t="s">
        <v>13</v>
      </c>
    </row>
    <row r="2043" spans="1:11" x14ac:dyDescent="0.25">
      <c r="A2043" t="s">
        <v>39</v>
      </c>
      <c r="B2043" t="s">
        <v>13</v>
      </c>
      <c r="C2043" t="s">
        <v>7</v>
      </c>
      <c r="D2043" t="s">
        <v>8</v>
      </c>
      <c r="E2043">
        <v>279520200</v>
      </c>
      <c r="F2043">
        <v>210933400</v>
      </c>
      <c r="G2043" t="s">
        <v>11</v>
      </c>
      <c r="H2043">
        <v>2956923800</v>
      </c>
      <c r="I2043" t="s">
        <v>13</v>
      </c>
      <c r="J2043" t="s">
        <v>13</v>
      </c>
      <c r="K2043">
        <v>7.13</v>
      </c>
    </row>
    <row r="2045" spans="1:11" x14ac:dyDescent="0.25">
      <c r="A2045" t="s">
        <v>433</v>
      </c>
      <c r="B2045" t="str">
        <f>"40191"</f>
        <v>40191</v>
      </c>
      <c r="C2045" t="str">
        <f>"002"</f>
        <v>002</v>
      </c>
      <c r="D2045">
        <v>2001</v>
      </c>
      <c r="E2045">
        <v>94135300</v>
      </c>
      <c r="F2045">
        <v>76460600</v>
      </c>
      <c r="G2045" t="s">
        <v>11</v>
      </c>
      <c r="H2045" t="s">
        <v>38</v>
      </c>
      <c r="I2045" t="s">
        <v>13</v>
      </c>
      <c r="J2045" t="s">
        <v>13</v>
      </c>
    </row>
    <row r="2046" spans="1:11" x14ac:dyDescent="0.25">
      <c r="A2046" t="s">
        <v>5</v>
      </c>
      <c r="B2046" t="str">
        <f>"40191"</f>
        <v>40191</v>
      </c>
      <c r="C2046" t="str">
        <f>"003"</f>
        <v>003</v>
      </c>
      <c r="D2046">
        <v>2003</v>
      </c>
      <c r="E2046">
        <v>2374800</v>
      </c>
      <c r="F2046">
        <v>2207600</v>
      </c>
      <c r="G2046" t="s">
        <v>11</v>
      </c>
      <c r="H2046" t="s">
        <v>38</v>
      </c>
      <c r="I2046" t="s">
        <v>13</v>
      </c>
      <c r="J2046" t="s">
        <v>13</v>
      </c>
    </row>
    <row r="2047" spans="1:11" x14ac:dyDescent="0.25">
      <c r="A2047" t="s">
        <v>39</v>
      </c>
      <c r="B2047" t="s">
        <v>13</v>
      </c>
      <c r="C2047" t="s">
        <v>7</v>
      </c>
      <c r="D2047" t="s">
        <v>8</v>
      </c>
      <c r="E2047">
        <v>96510100</v>
      </c>
      <c r="F2047">
        <v>78668200</v>
      </c>
      <c r="G2047" t="s">
        <v>11</v>
      </c>
      <c r="H2047">
        <v>375980900</v>
      </c>
      <c r="I2047" t="s">
        <v>13</v>
      </c>
      <c r="J2047" t="s">
        <v>13</v>
      </c>
      <c r="K2047">
        <v>20.92</v>
      </c>
    </row>
    <row r="2049" spans="1:11" x14ac:dyDescent="0.25">
      <c r="A2049" t="s">
        <v>434</v>
      </c>
      <c r="B2049" t="str">
        <f>"32191"</f>
        <v>32191</v>
      </c>
      <c r="C2049" t="str">
        <f>"001"</f>
        <v>001</v>
      </c>
      <c r="D2049">
        <v>2007</v>
      </c>
      <c r="E2049">
        <v>18657300</v>
      </c>
      <c r="F2049">
        <v>13746500</v>
      </c>
      <c r="G2049" t="s">
        <v>11</v>
      </c>
      <c r="H2049" t="s">
        <v>38</v>
      </c>
      <c r="I2049" t="s">
        <v>13</v>
      </c>
      <c r="J2049" t="s">
        <v>13</v>
      </c>
    </row>
    <row r="2050" spans="1:11" x14ac:dyDescent="0.25">
      <c r="A2050" t="s">
        <v>39</v>
      </c>
      <c r="B2050" t="s">
        <v>13</v>
      </c>
      <c r="C2050" t="s">
        <v>7</v>
      </c>
      <c r="D2050" t="s">
        <v>8</v>
      </c>
      <c r="E2050">
        <v>18657300</v>
      </c>
      <c r="F2050">
        <v>13746500</v>
      </c>
      <c r="G2050" t="s">
        <v>11</v>
      </c>
      <c r="H2050">
        <v>448876000</v>
      </c>
      <c r="I2050" t="s">
        <v>13</v>
      </c>
      <c r="J2050" t="s">
        <v>13</v>
      </c>
      <c r="K2050">
        <v>3.06</v>
      </c>
    </row>
    <row r="2052" spans="1:11" x14ac:dyDescent="0.25">
      <c r="A2052" t="s">
        <v>435</v>
      </c>
      <c r="B2052" t="str">
        <f>"62291"</f>
        <v>62291</v>
      </c>
      <c r="C2052" t="str">
        <f>"002"</f>
        <v>002</v>
      </c>
      <c r="D2052">
        <v>2007</v>
      </c>
      <c r="E2052">
        <v>12383300</v>
      </c>
      <c r="F2052">
        <v>6156600</v>
      </c>
      <c r="G2052" t="s">
        <v>11</v>
      </c>
      <c r="H2052" t="s">
        <v>38</v>
      </c>
      <c r="I2052" t="s">
        <v>13</v>
      </c>
      <c r="J2052" t="s">
        <v>13</v>
      </c>
    </row>
    <row r="2053" spans="1:11" x14ac:dyDescent="0.25">
      <c r="A2053" t="s">
        <v>5</v>
      </c>
      <c r="B2053" t="str">
        <f>"62291"</f>
        <v>62291</v>
      </c>
      <c r="C2053" t="str">
        <f>"003"</f>
        <v>003</v>
      </c>
      <c r="D2053">
        <v>2008</v>
      </c>
      <c r="E2053">
        <v>13722800</v>
      </c>
      <c r="F2053">
        <v>7131100</v>
      </c>
      <c r="G2053" t="s">
        <v>11</v>
      </c>
      <c r="H2053" t="s">
        <v>38</v>
      </c>
      <c r="I2053" t="s">
        <v>13</v>
      </c>
      <c r="J2053" t="s">
        <v>13</v>
      </c>
    </row>
    <row r="2054" spans="1:11" x14ac:dyDescent="0.25">
      <c r="A2054" t="s">
        <v>39</v>
      </c>
      <c r="B2054" t="s">
        <v>13</v>
      </c>
      <c r="C2054" t="s">
        <v>7</v>
      </c>
      <c r="D2054" t="s">
        <v>8</v>
      </c>
      <c r="E2054">
        <v>26106100</v>
      </c>
      <c r="F2054">
        <v>13287700</v>
      </c>
      <c r="G2054" t="s">
        <v>11</v>
      </c>
      <c r="H2054">
        <v>132094200</v>
      </c>
      <c r="I2054" t="s">
        <v>13</v>
      </c>
      <c r="J2054" t="s">
        <v>13</v>
      </c>
      <c r="K2054">
        <v>10.06</v>
      </c>
    </row>
    <row r="2056" spans="1:11" x14ac:dyDescent="0.25">
      <c r="A2056" t="s">
        <v>436</v>
      </c>
      <c r="B2056" t="str">
        <f>"39191"</f>
        <v>39191</v>
      </c>
      <c r="C2056" t="str">
        <f>"001"</f>
        <v>001</v>
      </c>
      <c r="D2056">
        <v>1993</v>
      </c>
      <c r="E2056">
        <v>12519100</v>
      </c>
      <c r="F2056">
        <v>9770600</v>
      </c>
      <c r="G2056" t="s">
        <v>11</v>
      </c>
      <c r="H2056" t="s">
        <v>38</v>
      </c>
      <c r="I2056" t="s">
        <v>13</v>
      </c>
      <c r="J2056" t="s">
        <v>13</v>
      </c>
    </row>
    <row r="2057" spans="1:11" x14ac:dyDescent="0.25">
      <c r="A2057" t="s">
        <v>39</v>
      </c>
      <c r="B2057" t="s">
        <v>13</v>
      </c>
      <c r="C2057" t="s">
        <v>7</v>
      </c>
      <c r="D2057" t="s">
        <v>8</v>
      </c>
      <c r="E2057">
        <v>12519100</v>
      </c>
      <c r="F2057">
        <v>9770600</v>
      </c>
      <c r="G2057" t="s">
        <v>11</v>
      </c>
      <c r="H2057">
        <v>60612900</v>
      </c>
      <c r="I2057" t="s">
        <v>13</v>
      </c>
      <c r="J2057" t="s">
        <v>13</v>
      </c>
      <c r="K2057">
        <v>16.12</v>
      </c>
    </row>
    <row r="2059" spans="1:11" x14ac:dyDescent="0.25">
      <c r="A2059" t="s">
        <v>437</v>
      </c>
      <c r="B2059" t="str">
        <f>"37192"</f>
        <v>37192</v>
      </c>
      <c r="C2059" t="str">
        <f>"001"</f>
        <v>001</v>
      </c>
      <c r="D2059">
        <v>1998</v>
      </c>
      <c r="E2059">
        <v>292830500</v>
      </c>
      <c r="F2059">
        <v>254178900</v>
      </c>
      <c r="G2059" t="s">
        <v>11</v>
      </c>
      <c r="H2059" t="s">
        <v>38</v>
      </c>
      <c r="I2059" t="s">
        <v>13</v>
      </c>
      <c r="J2059" t="s">
        <v>13</v>
      </c>
    </row>
    <row r="2060" spans="1:11" x14ac:dyDescent="0.25">
      <c r="A2060" t="s">
        <v>5</v>
      </c>
      <c r="B2060" t="str">
        <f>"37192"</f>
        <v>37192</v>
      </c>
      <c r="C2060" t="str">
        <f>"002"</f>
        <v>002</v>
      </c>
      <c r="D2060">
        <v>2004</v>
      </c>
      <c r="E2060">
        <v>56608700</v>
      </c>
      <c r="F2060">
        <v>21755700</v>
      </c>
      <c r="G2060" t="s">
        <v>11</v>
      </c>
      <c r="H2060" t="s">
        <v>38</v>
      </c>
      <c r="I2060" t="s">
        <v>13</v>
      </c>
      <c r="J2060" t="s">
        <v>13</v>
      </c>
    </row>
    <row r="2061" spans="1:11" x14ac:dyDescent="0.25">
      <c r="A2061" t="s">
        <v>39</v>
      </c>
      <c r="B2061" t="s">
        <v>13</v>
      </c>
      <c r="C2061" t="s">
        <v>7</v>
      </c>
      <c r="D2061" t="s">
        <v>8</v>
      </c>
      <c r="E2061">
        <v>349439200</v>
      </c>
      <c r="F2061">
        <v>275934600</v>
      </c>
      <c r="G2061" t="s">
        <v>11</v>
      </c>
      <c r="H2061">
        <v>1276454100</v>
      </c>
      <c r="I2061" t="s">
        <v>13</v>
      </c>
      <c r="J2061" t="s">
        <v>13</v>
      </c>
      <c r="K2061">
        <v>21.62</v>
      </c>
    </row>
    <row r="2063" spans="1:11" x14ac:dyDescent="0.25">
      <c r="A2063" t="s">
        <v>438</v>
      </c>
      <c r="B2063" t="str">
        <f>"68292"</f>
        <v>68292</v>
      </c>
      <c r="C2063" t="str">
        <f>"004"</f>
        <v>004</v>
      </c>
      <c r="D2063">
        <v>2001</v>
      </c>
      <c r="E2063">
        <v>4787100</v>
      </c>
      <c r="F2063">
        <v>4328300</v>
      </c>
      <c r="G2063" t="s">
        <v>11</v>
      </c>
      <c r="H2063" t="s">
        <v>38</v>
      </c>
      <c r="I2063" t="s">
        <v>13</v>
      </c>
      <c r="J2063" t="s">
        <v>13</v>
      </c>
    </row>
    <row r="2064" spans="1:11" x14ac:dyDescent="0.25">
      <c r="A2064" t="s">
        <v>5</v>
      </c>
      <c r="B2064" t="str">
        <f>"68292"</f>
        <v>68292</v>
      </c>
      <c r="C2064" t="str">
        <f>"005"</f>
        <v>005</v>
      </c>
      <c r="D2064">
        <v>2007</v>
      </c>
      <c r="E2064">
        <v>2264000</v>
      </c>
      <c r="F2064">
        <v>405200</v>
      </c>
      <c r="G2064" t="s">
        <v>11</v>
      </c>
      <c r="H2064" t="s">
        <v>38</v>
      </c>
      <c r="I2064" t="s">
        <v>13</v>
      </c>
      <c r="J2064" t="s">
        <v>13</v>
      </c>
    </row>
    <row r="2065" spans="1:11" x14ac:dyDescent="0.25">
      <c r="A2065" t="s">
        <v>5</v>
      </c>
      <c r="B2065" t="str">
        <f>"68292"</f>
        <v>68292</v>
      </c>
      <c r="C2065" t="str">
        <f>"006"</f>
        <v>006</v>
      </c>
      <c r="D2065">
        <v>2015</v>
      </c>
      <c r="E2065">
        <v>10590600</v>
      </c>
      <c r="F2065">
        <v>3979600</v>
      </c>
      <c r="G2065" t="s">
        <v>11</v>
      </c>
      <c r="H2065" t="s">
        <v>38</v>
      </c>
      <c r="I2065" t="s">
        <v>13</v>
      </c>
      <c r="J2065" t="s">
        <v>13</v>
      </c>
    </row>
    <row r="2066" spans="1:11" x14ac:dyDescent="0.25">
      <c r="A2066" t="s">
        <v>5</v>
      </c>
      <c r="B2066" t="str">
        <f>"68292"</f>
        <v>68292</v>
      </c>
      <c r="C2066" t="str">
        <f>"007"</f>
        <v>007</v>
      </c>
      <c r="D2066">
        <v>2015</v>
      </c>
      <c r="E2066">
        <v>1408100</v>
      </c>
      <c r="F2066">
        <v>658400</v>
      </c>
      <c r="G2066" t="s">
        <v>11</v>
      </c>
      <c r="H2066" t="s">
        <v>38</v>
      </c>
      <c r="I2066" t="s">
        <v>13</v>
      </c>
      <c r="J2066" t="s">
        <v>13</v>
      </c>
    </row>
    <row r="2067" spans="1:11" x14ac:dyDescent="0.25">
      <c r="A2067" t="s">
        <v>39</v>
      </c>
      <c r="B2067" t="s">
        <v>13</v>
      </c>
      <c r="C2067" t="s">
        <v>7</v>
      </c>
      <c r="D2067" t="s">
        <v>8</v>
      </c>
      <c r="E2067">
        <v>19049800</v>
      </c>
      <c r="F2067">
        <v>9371500</v>
      </c>
      <c r="G2067" t="s">
        <v>11</v>
      </c>
      <c r="H2067">
        <v>99741500</v>
      </c>
      <c r="I2067" t="s">
        <v>13</v>
      </c>
      <c r="J2067" t="s">
        <v>13</v>
      </c>
      <c r="K2067">
        <v>9.4</v>
      </c>
    </row>
    <row r="2068" spans="1:11" x14ac:dyDescent="0.25">
      <c r="A2068" t="s">
        <v>438</v>
      </c>
      <c r="B2068" t="str">
        <f>"68042"</f>
        <v>68042</v>
      </c>
      <c r="C2068" t="str">
        <f>"001T"</f>
        <v>001T</v>
      </c>
      <c r="D2068">
        <v>2005</v>
      </c>
      <c r="E2068">
        <v>7025200</v>
      </c>
      <c r="F2068">
        <v>5356500</v>
      </c>
      <c r="G2068" t="s">
        <v>11</v>
      </c>
      <c r="H2068" t="s">
        <v>38</v>
      </c>
      <c r="I2068" t="s">
        <v>13</v>
      </c>
      <c r="J2068" t="s">
        <v>13</v>
      </c>
    </row>
    <row r="2069" spans="1:11" x14ac:dyDescent="0.25">
      <c r="A2069" t="s">
        <v>39</v>
      </c>
      <c r="B2069" t="s">
        <v>13</v>
      </c>
      <c r="C2069" t="s">
        <v>7</v>
      </c>
      <c r="D2069" t="s">
        <v>8</v>
      </c>
      <c r="E2069">
        <v>7025200</v>
      </c>
      <c r="F2069">
        <v>5356500</v>
      </c>
      <c r="G2069" t="s">
        <v>11</v>
      </c>
      <c r="H2069">
        <v>62487500</v>
      </c>
      <c r="I2069">
        <v>8.57</v>
      </c>
      <c r="J2069">
        <v>11.24</v>
      </c>
    </row>
    <row r="2071" spans="1:11" x14ac:dyDescent="0.25">
      <c r="A2071" t="s">
        <v>439</v>
      </c>
      <c r="B2071" t="str">
        <f>"54191"</f>
        <v>54191</v>
      </c>
      <c r="C2071" t="str">
        <f>"001"</f>
        <v>001</v>
      </c>
      <c r="D2071">
        <v>2013</v>
      </c>
      <c r="E2071">
        <v>19898300</v>
      </c>
      <c r="F2071">
        <v>19169600</v>
      </c>
      <c r="G2071" t="s">
        <v>11</v>
      </c>
      <c r="H2071" t="s">
        <v>38</v>
      </c>
      <c r="I2071" t="s">
        <v>13</v>
      </c>
      <c r="J2071" t="s">
        <v>13</v>
      </c>
    </row>
    <row r="2072" spans="1:11" x14ac:dyDescent="0.25">
      <c r="A2072" t="s">
        <v>39</v>
      </c>
      <c r="B2072" t="s">
        <v>13</v>
      </c>
      <c r="C2072" t="s">
        <v>7</v>
      </c>
      <c r="D2072" t="s">
        <v>8</v>
      </c>
      <c r="E2072">
        <v>19898300</v>
      </c>
      <c r="F2072">
        <v>19169600</v>
      </c>
      <c r="G2072" t="s">
        <v>11</v>
      </c>
      <c r="H2072">
        <v>28895300</v>
      </c>
      <c r="I2072" t="s">
        <v>13</v>
      </c>
      <c r="J2072" t="s">
        <v>13</v>
      </c>
      <c r="K2072">
        <v>66.34</v>
      </c>
    </row>
    <row r="2074" spans="1:11" x14ac:dyDescent="0.25">
      <c r="A2074" t="s">
        <v>440</v>
      </c>
      <c r="B2074" t="str">
        <f>"40192"</f>
        <v>40192</v>
      </c>
      <c r="C2074" t="str">
        <f>"001"</f>
        <v>001</v>
      </c>
      <c r="D2074">
        <v>2004</v>
      </c>
      <c r="E2074">
        <v>61604300</v>
      </c>
      <c r="F2074">
        <v>23200600</v>
      </c>
      <c r="G2074" t="s">
        <v>11</v>
      </c>
      <c r="H2074" t="s">
        <v>38</v>
      </c>
      <c r="I2074" t="s">
        <v>13</v>
      </c>
      <c r="J2074" t="s">
        <v>13</v>
      </c>
    </row>
    <row r="2075" spans="1:11" x14ac:dyDescent="0.25">
      <c r="A2075" t="s">
        <v>5</v>
      </c>
      <c r="B2075" t="str">
        <f>"40192"</f>
        <v>40192</v>
      </c>
      <c r="C2075" t="str">
        <f>"002"</f>
        <v>002</v>
      </c>
      <c r="D2075">
        <v>2013</v>
      </c>
      <c r="E2075">
        <v>16522100</v>
      </c>
      <c r="F2075">
        <v>16116500</v>
      </c>
      <c r="G2075" t="s">
        <v>11</v>
      </c>
      <c r="H2075" t="s">
        <v>38</v>
      </c>
      <c r="I2075" t="s">
        <v>13</v>
      </c>
      <c r="J2075" t="s">
        <v>13</v>
      </c>
    </row>
    <row r="2076" spans="1:11" x14ac:dyDescent="0.25">
      <c r="A2076" t="s">
        <v>39</v>
      </c>
      <c r="B2076" t="s">
        <v>13</v>
      </c>
      <c r="C2076" t="s">
        <v>7</v>
      </c>
      <c r="D2076" t="s">
        <v>8</v>
      </c>
      <c r="E2076">
        <v>78126400</v>
      </c>
      <c r="F2076">
        <v>39317100</v>
      </c>
      <c r="G2076" t="s">
        <v>11</v>
      </c>
      <c r="H2076">
        <v>2408192200</v>
      </c>
      <c r="I2076" t="s">
        <v>13</v>
      </c>
      <c r="J2076" t="s">
        <v>13</v>
      </c>
      <c r="K2076">
        <v>1.63</v>
      </c>
    </row>
    <row r="2078" spans="1:11" x14ac:dyDescent="0.25">
      <c r="A2078" t="s">
        <v>441</v>
      </c>
      <c r="B2078" t="str">
        <f>"61291"</f>
        <v>61291</v>
      </c>
      <c r="C2078" t="str">
        <f>"002"</f>
        <v>002</v>
      </c>
      <c r="D2078">
        <v>2006</v>
      </c>
      <c r="E2078">
        <v>5916600</v>
      </c>
      <c r="F2078">
        <v>4927500</v>
      </c>
      <c r="G2078" t="s">
        <v>11</v>
      </c>
      <c r="H2078" t="s">
        <v>38</v>
      </c>
      <c r="I2078" t="s">
        <v>13</v>
      </c>
      <c r="J2078" t="s">
        <v>13</v>
      </c>
    </row>
    <row r="2079" spans="1:11" x14ac:dyDescent="0.25">
      <c r="A2079" t="s">
        <v>5</v>
      </c>
      <c r="B2079" t="str">
        <f>"61291"</f>
        <v>61291</v>
      </c>
      <c r="C2079" t="str">
        <f>"003"</f>
        <v>003</v>
      </c>
      <c r="D2079">
        <v>2006</v>
      </c>
      <c r="E2079">
        <v>22923300</v>
      </c>
      <c r="F2079">
        <v>15217300</v>
      </c>
      <c r="G2079" t="s">
        <v>11</v>
      </c>
      <c r="H2079" t="s">
        <v>38</v>
      </c>
      <c r="I2079" t="s">
        <v>13</v>
      </c>
      <c r="J2079" t="s">
        <v>13</v>
      </c>
    </row>
    <row r="2080" spans="1:11" x14ac:dyDescent="0.25">
      <c r="A2080" t="s">
        <v>39</v>
      </c>
      <c r="B2080" t="s">
        <v>13</v>
      </c>
      <c r="C2080" t="s">
        <v>7</v>
      </c>
      <c r="D2080" t="s">
        <v>8</v>
      </c>
      <c r="E2080">
        <v>28839900</v>
      </c>
      <c r="F2080">
        <v>20144800</v>
      </c>
      <c r="G2080" t="s">
        <v>11</v>
      </c>
      <c r="H2080">
        <v>110387400</v>
      </c>
      <c r="I2080" t="s">
        <v>13</v>
      </c>
      <c r="J2080" t="s">
        <v>13</v>
      </c>
      <c r="K2080">
        <v>18.25</v>
      </c>
    </row>
    <row r="2082" spans="1:11" x14ac:dyDescent="0.25">
      <c r="A2082" t="s">
        <v>442</v>
      </c>
      <c r="B2082" t="str">
        <f>"36191"</f>
        <v>36191</v>
      </c>
      <c r="C2082" t="str">
        <f>"002"</f>
        <v>002</v>
      </c>
      <c r="D2082">
        <v>2010</v>
      </c>
      <c r="E2082">
        <v>3605300</v>
      </c>
      <c r="F2082">
        <v>1315200</v>
      </c>
      <c r="G2082" t="s">
        <v>11</v>
      </c>
      <c r="H2082" t="s">
        <v>38</v>
      </c>
      <c r="I2082" t="s">
        <v>13</v>
      </c>
      <c r="J2082" t="s">
        <v>13</v>
      </c>
    </row>
    <row r="2083" spans="1:11" x14ac:dyDescent="0.25">
      <c r="A2083" t="s">
        <v>39</v>
      </c>
      <c r="B2083" t="s">
        <v>13</v>
      </c>
      <c r="C2083" t="s">
        <v>7</v>
      </c>
      <c r="D2083" t="s">
        <v>8</v>
      </c>
      <c r="E2083">
        <v>3605300</v>
      </c>
      <c r="F2083">
        <v>1315200</v>
      </c>
      <c r="G2083" t="s">
        <v>11</v>
      </c>
      <c r="H2083">
        <v>40119500</v>
      </c>
      <c r="I2083" t="s">
        <v>13</v>
      </c>
      <c r="J2083" t="s">
        <v>13</v>
      </c>
      <c r="K2083">
        <v>3.28</v>
      </c>
    </row>
    <row r="2085" spans="1:11" x14ac:dyDescent="0.25">
      <c r="A2085" t="s">
        <v>443</v>
      </c>
      <c r="B2085" t="str">
        <f>"64291"</f>
        <v>64291</v>
      </c>
      <c r="C2085" t="str">
        <f>"004"</f>
        <v>004</v>
      </c>
      <c r="D2085">
        <v>1990</v>
      </c>
      <c r="E2085">
        <v>80629500</v>
      </c>
      <c r="F2085">
        <v>59152400</v>
      </c>
      <c r="G2085" t="s">
        <v>11</v>
      </c>
      <c r="H2085" t="s">
        <v>38</v>
      </c>
      <c r="I2085" t="s">
        <v>13</v>
      </c>
      <c r="J2085" t="s">
        <v>13</v>
      </c>
    </row>
    <row r="2086" spans="1:11" x14ac:dyDescent="0.25">
      <c r="A2086" t="s">
        <v>5</v>
      </c>
      <c r="B2086" t="str">
        <f>"28292"</f>
        <v>28292</v>
      </c>
      <c r="C2086" t="str">
        <f>"004"</f>
        <v>004</v>
      </c>
      <c r="D2086">
        <v>1990</v>
      </c>
      <c r="E2086">
        <v>30932400</v>
      </c>
      <c r="F2086">
        <v>29964200</v>
      </c>
      <c r="G2086" t="s">
        <v>11</v>
      </c>
      <c r="H2086" t="s">
        <v>38</v>
      </c>
      <c r="I2086" t="s">
        <v>13</v>
      </c>
      <c r="J2086" t="s">
        <v>13</v>
      </c>
    </row>
    <row r="2087" spans="1:11" x14ac:dyDescent="0.25">
      <c r="A2087" t="s">
        <v>5</v>
      </c>
      <c r="B2087" t="str">
        <f>"64291"</f>
        <v>64291</v>
      </c>
      <c r="C2087" t="str">
        <f>"005"</f>
        <v>005</v>
      </c>
      <c r="D2087">
        <v>2007</v>
      </c>
      <c r="E2087">
        <v>3847700</v>
      </c>
      <c r="F2087">
        <v>534500</v>
      </c>
      <c r="G2087" t="s">
        <v>11</v>
      </c>
      <c r="H2087" t="s">
        <v>38</v>
      </c>
      <c r="I2087" t="s">
        <v>13</v>
      </c>
      <c r="J2087" t="s">
        <v>13</v>
      </c>
    </row>
    <row r="2088" spans="1:11" x14ac:dyDescent="0.25">
      <c r="A2088" t="s">
        <v>5</v>
      </c>
      <c r="B2088" t="str">
        <f>"28292"</f>
        <v>28292</v>
      </c>
      <c r="C2088" t="str">
        <f>"005"</f>
        <v>005</v>
      </c>
      <c r="D2088">
        <v>2007</v>
      </c>
      <c r="E2088">
        <v>13900</v>
      </c>
      <c r="F2088">
        <v>-600</v>
      </c>
      <c r="G2088" t="s">
        <v>49</v>
      </c>
      <c r="H2088" t="s">
        <v>38</v>
      </c>
      <c r="I2088" t="s">
        <v>13</v>
      </c>
      <c r="J2088" t="s">
        <v>13</v>
      </c>
    </row>
    <row r="2089" spans="1:11" x14ac:dyDescent="0.25">
      <c r="A2089" t="s">
        <v>5</v>
      </c>
      <c r="B2089" t="str">
        <f>"64291"</f>
        <v>64291</v>
      </c>
      <c r="C2089" t="str">
        <f>"006"</f>
        <v>006</v>
      </c>
      <c r="D2089">
        <v>2007</v>
      </c>
      <c r="E2089">
        <v>5807800</v>
      </c>
      <c r="F2089">
        <v>3184700</v>
      </c>
      <c r="G2089" t="s">
        <v>11</v>
      </c>
      <c r="H2089" t="s">
        <v>38</v>
      </c>
      <c r="I2089" t="s">
        <v>13</v>
      </c>
      <c r="J2089" t="s">
        <v>13</v>
      </c>
    </row>
    <row r="2090" spans="1:11" x14ac:dyDescent="0.25">
      <c r="A2090" t="s">
        <v>5</v>
      </c>
      <c r="B2090" t="str">
        <f>"64291"</f>
        <v>64291</v>
      </c>
      <c r="C2090" t="str">
        <f>"007"</f>
        <v>007</v>
      </c>
      <c r="D2090">
        <v>2007</v>
      </c>
      <c r="E2090">
        <v>309400</v>
      </c>
      <c r="F2090">
        <v>-337300</v>
      </c>
      <c r="G2090" t="s">
        <v>49</v>
      </c>
      <c r="H2090" t="s">
        <v>38</v>
      </c>
      <c r="I2090" t="s">
        <v>13</v>
      </c>
      <c r="J2090" t="s">
        <v>13</v>
      </c>
    </row>
    <row r="2091" spans="1:11" x14ac:dyDescent="0.25">
      <c r="A2091" t="s">
        <v>5</v>
      </c>
      <c r="B2091" t="str">
        <f>"28292"</f>
        <v>28292</v>
      </c>
      <c r="C2091" t="str">
        <f>"008"</f>
        <v>008</v>
      </c>
      <c r="D2091">
        <v>2007</v>
      </c>
      <c r="E2091">
        <v>575100</v>
      </c>
      <c r="F2091">
        <v>71400</v>
      </c>
      <c r="G2091" t="s">
        <v>11</v>
      </c>
      <c r="H2091" t="s">
        <v>38</v>
      </c>
      <c r="I2091" t="s">
        <v>13</v>
      </c>
      <c r="J2091" t="s">
        <v>13</v>
      </c>
    </row>
    <row r="2092" spans="1:11" x14ac:dyDescent="0.25">
      <c r="A2092" t="s">
        <v>5</v>
      </c>
      <c r="B2092" t="str">
        <f>"64291"</f>
        <v>64291</v>
      </c>
      <c r="C2092" t="str">
        <f>"009"</f>
        <v>009</v>
      </c>
      <c r="D2092">
        <v>2007</v>
      </c>
      <c r="E2092">
        <v>63900</v>
      </c>
      <c r="F2092">
        <v>25200</v>
      </c>
      <c r="G2092" t="s">
        <v>11</v>
      </c>
      <c r="H2092" t="s">
        <v>38</v>
      </c>
      <c r="I2092" t="s">
        <v>13</v>
      </c>
      <c r="J2092" t="s">
        <v>13</v>
      </c>
    </row>
    <row r="2093" spans="1:11" x14ac:dyDescent="0.25">
      <c r="A2093" t="s">
        <v>39</v>
      </c>
      <c r="B2093" t="s">
        <v>13</v>
      </c>
      <c r="C2093" t="s">
        <v>7</v>
      </c>
      <c r="D2093" t="s">
        <v>8</v>
      </c>
      <c r="E2093">
        <v>122179700</v>
      </c>
      <c r="F2093">
        <v>92932400</v>
      </c>
      <c r="G2093" t="s">
        <v>11</v>
      </c>
      <c r="H2093">
        <v>696905800</v>
      </c>
      <c r="I2093" t="s">
        <v>13</v>
      </c>
      <c r="J2093" t="s">
        <v>13</v>
      </c>
      <c r="K2093">
        <v>13.34</v>
      </c>
    </row>
    <row r="2095" spans="1:11" x14ac:dyDescent="0.25">
      <c r="A2095" t="s">
        <v>444</v>
      </c>
      <c r="B2095" t="str">
        <f>"49191"</f>
        <v>49191</v>
      </c>
      <c r="C2095" t="str">
        <f>"001"</f>
        <v>001</v>
      </c>
      <c r="D2095">
        <v>1994</v>
      </c>
      <c r="E2095">
        <v>3141400</v>
      </c>
      <c r="F2095">
        <v>1436600</v>
      </c>
      <c r="G2095" t="s">
        <v>11</v>
      </c>
      <c r="H2095" t="s">
        <v>38</v>
      </c>
      <c r="I2095" t="s">
        <v>13</v>
      </c>
      <c r="J2095" t="s">
        <v>13</v>
      </c>
    </row>
    <row r="2096" spans="1:11" x14ac:dyDescent="0.25">
      <c r="A2096" t="s">
        <v>39</v>
      </c>
      <c r="B2096" t="s">
        <v>13</v>
      </c>
      <c r="C2096" t="s">
        <v>7</v>
      </c>
      <c r="D2096" t="s">
        <v>8</v>
      </c>
      <c r="E2096">
        <v>3141400</v>
      </c>
      <c r="F2096">
        <v>1436600</v>
      </c>
      <c r="G2096" t="s">
        <v>11</v>
      </c>
      <c r="H2096">
        <v>132750500</v>
      </c>
      <c r="I2096" t="s">
        <v>13</v>
      </c>
      <c r="J2096" t="s">
        <v>13</v>
      </c>
      <c r="K2096">
        <v>1.08</v>
      </c>
    </row>
    <row r="2098" spans="1:11" x14ac:dyDescent="0.25">
      <c r="A2098" t="s">
        <v>445</v>
      </c>
      <c r="B2098" t="str">
        <f>"69191"</f>
        <v>69191</v>
      </c>
      <c r="C2098" t="str">
        <f>"002"</f>
        <v>002</v>
      </c>
      <c r="D2098">
        <v>2000</v>
      </c>
      <c r="E2098">
        <v>2181500</v>
      </c>
      <c r="F2098">
        <v>1176500</v>
      </c>
      <c r="G2098" t="s">
        <v>11</v>
      </c>
      <c r="H2098" t="s">
        <v>38</v>
      </c>
      <c r="I2098" t="s">
        <v>13</v>
      </c>
      <c r="J2098" t="s">
        <v>13</v>
      </c>
    </row>
    <row r="2099" spans="1:11" x14ac:dyDescent="0.25">
      <c r="A2099" t="s">
        <v>5</v>
      </c>
      <c r="B2099" t="str">
        <f>"69191"</f>
        <v>69191</v>
      </c>
      <c r="C2099" t="str">
        <f>"003"</f>
        <v>003</v>
      </c>
      <c r="D2099">
        <v>2006</v>
      </c>
      <c r="E2099">
        <v>2359000</v>
      </c>
      <c r="F2099">
        <v>1523400</v>
      </c>
      <c r="G2099" t="s">
        <v>11</v>
      </c>
      <c r="H2099" t="s">
        <v>38</v>
      </c>
      <c r="I2099" t="s">
        <v>13</v>
      </c>
      <c r="J2099" t="s">
        <v>13</v>
      </c>
    </row>
    <row r="2100" spans="1:11" x14ac:dyDescent="0.25">
      <c r="A2100" t="s">
        <v>39</v>
      </c>
      <c r="B2100" t="s">
        <v>13</v>
      </c>
      <c r="C2100" t="s">
        <v>7</v>
      </c>
      <c r="D2100" t="s">
        <v>8</v>
      </c>
      <c r="E2100">
        <v>4540500</v>
      </c>
      <c r="F2100">
        <v>2699900</v>
      </c>
      <c r="G2100" t="s">
        <v>11</v>
      </c>
      <c r="H2100">
        <v>34022500</v>
      </c>
      <c r="I2100" t="s">
        <v>13</v>
      </c>
      <c r="J2100" t="s">
        <v>13</v>
      </c>
      <c r="K2100">
        <v>7.94</v>
      </c>
    </row>
    <row r="2102" spans="1:11" x14ac:dyDescent="0.25">
      <c r="A2102" t="s">
        <v>446</v>
      </c>
      <c r="B2102" t="str">
        <f>"41191"</f>
        <v>41191</v>
      </c>
      <c r="C2102" t="str">
        <f>"002"</f>
        <v>002</v>
      </c>
      <c r="D2102">
        <v>1998</v>
      </c>
      <c r="E2102">
        <v>19357500</v>
      </c>
      <c r="F2102">
        <v>17096000</v>
      </c>
      <c r="G2102" t="s">
        <v>11</v>
      </c>
      <c r="H2102" t="s">
        <v>38</v>
      </c>
      <c r="I2102" t="s">
        <v>13</v>
      </c>
      <c r="J2102" t="s">
        <v>13</v>
      </c>
    </row>
    <row r="2103" spans="1:11" x14ac:dyDescent="0.25">
      <c r="A2103" t="s">
        <v>39</v>
      </c>
      <c r="B2103" t="s">
        <v>13</v>
      </c>
      <c r="C2103" t="s">
        <v>7</v>
      </c>
      <c r="D2103" t="s">
        <v>8</v>
      </c>
      <c r="E2103">
        <v>19357500</v>
      </c>
      <c r="F2103">
        <v>17096000</v>
      </c>
      <c r="G2103" t="s">
        <v>11</v>
      </c>
      <c r="H2103">
        <v>34158300</v>
      </c>
      <c r="I2103" t="s">
        <v>13</v>
      </c>
      <c r="J2103" t="s">
        <v>13</v>
      </c>
      <c r="K2103">
        <v>50.05</v>
      </c>
    </row>
    <row r="2105" spans="1:11" x14ac:dyDescent="0.25">
      <c r="A2105" t="s">
        <v>447</v>
      </c>
      <c r="B2105" t="str">
        <f>"13196"</f>
        <v>13196</v>
      </c>
      <c r="C2105" t="str">
        <f>"001"</f>
        <v>001</v>
      </c>
      <c r="D2105">
        <v>2014</v>
      </c>
      <c r="E2105">
        <v>21939100</v>
      </c>
      <c r="F2105">
        <v>21556500</v>
      </c>
      <c r="G2105" t="s">
        <v>11</v>
      </c>
      <c r="H2105" t="s">
        <v>38</v>
      </c>
      <c r="I2105" t="s">
        <v>13</v>
      </c>
      <c r="J2105" t="s">
        <v>13</v>
      </c>
    </row>
    <row r="2106" spans="1:11" x14ac:dyDescent="0.25">
      <c r="A2106" t="s">
        <v>39</v>
      </c>
      <c r="B2106" t="s">
        <v>13</v>
      </c>
      <c r="C2106" t="s">
        <v>7</v>
      </c>
      <c r="D2106" t="s">
        <v>8</v>
      </c>
      <c r="E2106">
        <v>21939100</v>
      </c>
      <c r="F2106">
        <v>21556500</v>
      </c>
      <c r="G2106" t="s">
        <v>11</v>
      </c>
      <c r="H2106">
        <v>1000157500</v>
      </c>
      <c r="I2106" t="s">
        <v>13</v>
      </c>
      <c r="J2106" t="s">
        <v>13</v>
      </c>
      <c r="K2106">
        <v>2.16</v>
      </c>
    </row>
    <row r="2108" spans="1:11" x14ac:dyDescent="0.25">
      <c r="A2108" t="s">
        <v>448</v>
      </c>
      <c r="B2108" t="str">
        <f>"70191"</f>
        <v>70191</v>
      </c>
      <c r="C2108" t="str">
        <f>"003"</f>
        <v>003</v>
      </c>
      <c r="D2108">
        <v>1996</v>
      </c>
      <c r="E2108">
        <v>6317800</v>
      </c>
      <c r="F2108">
        <v>1671500</v>
      </c>
      <c r="G2108" t="s">
        <v>11</v>
      </c>
      <c r="H2108" t="s">
        <v>38</v>
      </c>
      <c r="I2108" t="s">
        <v>13</v>
      </c>
      <c r="J2108" t="s">
        <v>13</v>
      </c>
    </row>
    <row r="2109" spans="1:11" x14ac:dyDescent="0.25">
      <c r="A2109" t="s">
        <v>5</v>
      </c>
      <c r="B2109" t="str">
        <f>"70191"</f>
        <v>70191</v>
      </c>
      <c r="C2109" t="str">
        <f>"005"</f>
        <v>005</v>
      </c>
      <c r="D2109">
        <v>2000</v>
      </c>
      <c r="E2109">
        <v>12633300</v>
      </c>
      <c r="F2109">
        <v>7881700</v>
      </c>
      <c r="G2109" t="s">
        <v>11</v>
      </c>
      <c r="H2109" t="s">
        <v>38</v>
      </c>
      <c r="I2109" t="s">
        <v>13</v>
      </c>
      <c r="J2109" t="s">
        <v>13</v>
      </c>
    </row>
    <row r="2110" spans="1:11" x14ac:dyDescent="0.25">
      <c r="A2110" t="s">
        <v>5</v>
      </c>
      <c r="B2110" t="str">
        <f>"70191"</f>
        <v>70191</v>
      </c>
      <c r="C2110" t="str">
        <f>"006"</f>
        <v>006</v>
      </c>
      <c r="D2110">
        <v>2000</v>
      </c>
      <c r="E2110">
        <v>4882500</v>
      </c>
      <c r="F2110">
        <v>4053000</v>
      </c>
      <c r="G2110" t="s">
        <v>11</v>
      </c>
      <c r="H2110" t="s">
        <v>38</v>
      </c>
      <c r="I2110" t="s">
        <v>13</v>
      </c>
      <c r="J2110" t="s">
        <v>13</v>
      </c>
    </row>
    <row r="2111" spans="1:11" x14ac:dyDescent="0.25">
      <c r="A2111" t="s">
        <v>5</v>
      </c>
      <c r="B2111" t="str">
        <f>"70191"</f>
        <v>70191</v>
      </c>
      <c r="C2111" t="str">
        <f>"007"</f>
        <v>007</v>
      </c>
      <c r="D2111">
        <v>2002</v>
      </c>
      <c r="E2111">
        <v>7525700</v>
      </c>
      <c r="F2111">
        <v>5455400</v>
      </c>
      <c r="G2111" t="s">
        <v>11</v>
      </c>
      <c r="H2111" t="s">
        <v>38</v>
      </c>
      <c r="I2111" t="s">
        <v>13</v>
      </c>
      <c r="J2111" t="s">
        <v>13</v>
      </c>
    </row>
    <row r="2112" spans="1:11" x14ac:dyDescent="0.25">
      <c r="A2112" t="s">
        <v>5</v>
      </c>
      <c r="B2112" t="str">
        <f>"70191"</f>
        <v>70191</v>
      </c>
      <c r="C2112" t="str">
        <f>"008"</f>
        <v>008</v>
      </c>
      <c r="D2112">
        <v>2011</v>
      </c>
      <c r="E2112">
        <v>1851400</v>
      </c>
      <c r="F2112">
        <v>1851400</v>
      </c>
      <c r="G2112" t="s">
        <v>11</v>
      </c>
      <c r="H2112" t="s">
        <v>38</v>
      </c>
      <c r="I2112" t="s">
        <v>13</v>
      </c>
      <c r="J2112" t="s">
        <v>13</v>
      </c>
    </row>
    <row r="2113" spans="1:11" x14ac:dyDescent="0.25">
      <c r="A2113" t="s">
        <v>39</v>
      </c>
      <c r="B2113" t="s">
        <v>13</v>
      </c>
      <c r="C2113" t="s">
        <v>7</v>
      </c>
      <c r="D2113" t="s">
        <v>8</v>
      </c>
      <c r="E2113">
        <v>33210700</v>
      </c>
      <c r="F2113">
        <v>20913000</v>
      </c>
      <c r="G2113" t="s">
        <v>11</v>
      </c>
      <c r="H2113">
        <v>222572300</v>
      </c>
      <c r="I2113" t="s">
        <v>13</v>
      </c>
      <c r="J2113" t="s">
        <v>13</v>
      </c>
      <c r="K2113">
        <v>9.4</v>
      </c>
    </row>
    <row r="2115" spans="1:11" x14ac:dyDescent="0.25">
      <c r="A2115" t="s">
        <v>449</v>
      </c>
      <c r="B2115" t="str">
        <f>"56291"</f>
        <v>56291</v>
      </c>
      <c r="C2115" t="str">
        <f>"002"</f>
        <v>002</v>
      </c>
      <c r="D2115">
        <v>2001</v>
      </c>
      <c r="E2115">
        <v>35020600</v>
      </c>
      <c r="F2115">
        <v>19438000</v>
      </c>
      <c r="G2115" t="s">
        <v>11</v>
      </c>
      <c r="H2115" t="s">
        <v>38</v>
      </c>
      <c r="I2115" t="s">
        <v>13</v>
      </c>
      <c r="J2115" t="s">
        <v>13</v>
      </c>
    </row>
    <row r="2116" spans="1:11" x14ac:dyDescent="0.25">
      <c r="A2116" t="s">
        <v>5</v>
      </c>
      <c r="B2116" t="str">
        <f>"11291"</f>
        <v>11291</v>
      </c>
      <c r="C2116" t="str">
        <f>"003"</f>
        <v>003</v>
      </c>
      <c r="D2116">
        <v>2006</v>
      </c>
      <c r="E2116">
        <v>19896900</v>
      </c>
      <c r="F2116">
        <v>4541500</v>
      </c>
      <c r="G2116" t="s">
        <v>11</v>
      </c>
      <c r="H2116" t="s">
        <v>38</v>
      </c>
      <c r="I2116" t="s">
        <v>13</v>
      </c>
      <c r="J2116" t="s">
        <v>13</v>
      </c>
    </row>
    <row r="2117" spans="1:11" x14ac:dyDescent="0.25">
      <c r="A2117" t="s">
        <v>5</v>
      </c>
      <c r="B2117" t="str">
        <f>"01291"</f>
        <v>01291</v>
      </c>
      <c r="C2117" t="str">
        <f>"003"</f>
        <v>003</v>
      </c>
      <c r="D2117">
        <v>2005</v>
      </c>
      <c r="E2117">
        <v>65905000</v>
      </c>
      <c r="F2117">
        <v>63755800</v>
      </c>
      <c r="G2117" t="s">
        <v>11</v>
      </c>
      <c r="H2117" t="s">
        <v>38</v>
      </c>
      <c r="I2117" t="s">
        <v>13</v>
      </c>
      <c r="J2117" t="s">
        <v>13</v>
      </c>
    </row>
    <row r="2118" spans="1:11" x14ac:dyDescent="0.25">
      <c r="A2118" t="s">
        <v>5</v>
      </c>
      <c r="B2118" t="str">
        <f>"56291"</f>
        <v>56291</v>
      </c>
      <c r="C2118" t="str">
        <f>"003"</f>
        <v>003</v>
      </c>
      <c r="D2118">
        <v>2006</v>
      </c>
      <c r="E2118">
        <v>3625700</v>
      </c>
      <c r="F2118">
        <v>1660500</v>
      </c>
      <c r="G2118" t="s">
        <v>11</v>
      </c>
      <c r="H2118" t="s">
        <v>38</v>
      </c>
      <c r="I2118" t="s">
        <v>13</v>
      </c>
      <c r="J2118" t="s">
        <v>13</v>
      </c>
    </row>
    <row r="2119" spans="1:11" x14ac:dyDescent="0.25">
      <c r="A2119" t="s">
        <v>5</v>
      </c>
      <c r="B2119" t="str">
        <f>"56291"</f>
        <v>56291</v>
      </c>
      <c r="C2119" t="str">
        <f>"004"</f>
        <v>004</v>
      </c>
      <c r="D2119">
        <v>2006</v>
      </c>
      <c r="E2119">
        <v>3668400</v>
      </c>
      <c r="F2119">
        <v>2204300</v>
      </c>
      <c r="G2119" t="s">
        <v>11</v>
      </c>
      <c r="H2119" t="s">
        <v>38</v>
      </c>
      <c r="I2119" t="s">
        <v>13</v>
      </c>
      <c r="J2119" t="s">
        <v>13</v>
      </c>
    </row>
    <row r="2120" spans="1:11" x14ac:dyDescent="0.25">
      <c r="A2120" t="s">
        <v>5</v>
      </c>
      <c r="B2120" t="str">
        <f>"29291"</f>
        <v>29291</v>
      </c>
      <c r="C2120" t="str">
        <f>"004"</f>
        <v>004</v>
      </c>
      <c r="D2120">
        <v>2006</v>
      </c>
      <c r="E2120">
        <v>473000</v>
      </c>
      <c r="F2120">
        <v>-76700</v>
      </c>
      <c r="G2120" t="s">
        <v>49</v>
      </c>
      <c r="H2120" t="s">
        <v>38</v>
      </c>
      <c r="I2120" t="s">
        <v>13</v>
      </c>
      <c r="J2120" t="s">
        <v>13</v>
      </c>
    </row>
    <row r="2121" spans="1:11" x14ac:dyDescent="0.25">
      <c r="A2121" t="s">
        <v>39</v>
      </c>
      <c r="B2121" t="s">
        <v>13</v>
      </c>
      <c r="C2121" t="s">
        <v>7</v>
      </c>
      <c r="D2121" t="s">
        <v>8</v>
      </c>
      <c r="E2121">
        <v>128589600</v>
      </c>
      <c r="F2121">
        <v>91600100</v>
      </c>
      <c r="G2121" t="s">
        <v>11</v>
      </c>
      <c r="H2121">
        <v>448998500</v>
      </c>
      <c r="I2121" t="s">
        <v>13</v>
      </c>
      <c r="J2121" t="s">
        <v>13</v>
      </c>
      <c r="K2121">
        <v>20.399999999999999</v>
      </c>
    </row>
    <row r="2123" spans="1:11" x14ac:dyDescent="0.25">
      <c r="A2123" t="s">
        <v>450</v>
      </c>
      <c r="B2123" t="str">
        <f>"71291"</f>
        <v>71291</v>
      </c>
      <c r="C2123" t="str">
        <f>"006"</f>
        <v>006</v>
      </c>
      <c r="D2123">
        <v>2004</v>
      </c>
      <c r="E2123">
        <v>15002500</v>
      </c>
      <c r="F2123">
        <v>11087400</v>
      </c>
      <c r="G2123" t="s">
        <v>11</v>
      </c>
      <c r="H2123" t="s">
        <v>38</v>
      </c>
      <c r="I2123" t="s">
        <v>13</v>
      </c>
      <c r="J2123" t="s">
        <v>13</v>
      </c>
    </row>
    <row r="2124" spans="1:11" x14ac:dyDescent="0.25">
      <c r="A2124" t="s">
        <v>5</v>
      </c>
      <c r="B2124" t="str">
        <f>"71291"</f>
        <v>71291</v>
      </c>
      <c r="C2124" t="str">
        <f>"007"</f>
        <v>007</v>
      </c>
      <c r="D2124">
        <v>2005</v>
      </c>
      <c r="E2124">
        <v>35406600</v>
      </c>
      <c r="F2124">
        <v>456900</v>
      </c>
      <c r="G2124" t="s">
        <v>11</v>
      </c>
      <c r="H2124" t="s">
        <v>38</v>
      </c>
      <c r="I2124" t="s">
        <v>13</v>
      </c>
      <c r="J2124" t="s">
        <v>13</v>
      </c>
    </row>
    <row r="2125" spans="1:11" x14ac:dyDescent="0.25">
      <c r="A2125" t="s">
        <v>39</v>
      </c>
      <c r="B2125" t="s">
        <v>13</v>
      </c>
      <c r="C2125" t="s">
        <v>7</v>
      </c>
      <c r="D2125" t="s">
        <v>8</v>
      </c>
      <c r="E2125">
        <v>50409100</v>
      </c>
      <c r="F2125">
        <v>11544300</v>
      </c>
      <c r="G2125" t="s">
        <v>11</v>
      </c>
      <c r="H2125">
        <v>1112740800</v>
      </c>
      <c r="I2125" t="s">
        <v>13</v>
      </c>
      <c r="J2125" t="s">
        <v>13</v>
      </c>
      <c r="K2125">
        <v>1.04</v>
      </c>
    </row>
    <row r="2127" spans="1:11" x14ac:dyDescent="0.25">
      <c r="A2127" t="s">
        <v>451</v>
      </c>
      <c r="B2127" t="str">
        <f>"10191"</f>
        <v>10191</v>
      </c>
      <c r="C2127" t="str">
        <f>"001"</f>
        <v>001</v>
      </c>
      <c r="D2127">
        <v>1996</v>
      </c>
      <c r="E2127">
        <v>2712300</v>
      </c>
      <c r="F2127">
        <v>2212500</v>
      </c>
      <c r="G2127" t="s">
        <v>11</v>
      </c>
      <c r="H2127" t="s">
        <v>38</v>
      </c>
      <c r="I2127" t="s">
        <v>13</v>
      </c>
      <c r="J2127" t="s">
        <v>13</v>
      </c>
    </row>
    <row r="2128" spans="1:11" x14ac:dyDescent="0.25">
      <c r="A2128" t="s">
        <v>5</v>
      </c>
      <c r="B2128" t="str">
        <f>"10191"</f>
        <v>10191</v>
      </c>
      <c r="C2128" t="str">
        <f>"002"</f>
        <v>002</v>
      </c>
      <c r="D2128">
        <v>2010</v>
      </c>
      <c r="E2128">
        <v>1106400</v>
      </c>
      <c r="F2128">
        <v>677700</v>
      </c>
      <c r="G2128" t="s">
        <v>11</v>
      </c>
      <c r="H2128" t="s">
        <v>38</v>
      </c>
      <c r="I2128" t="s">
        <v>13</v>
      </c>
      <c r="J2128" t="s">
        <v>13</v>
      </c>
    </row>
    <row r="2129" spans="1:11" x14ac:dyDescent="0.25">
      <c r="A2129" t="s">
        <v>5</v>
      </c>
      <c r="B2129" t="str">
        <f>"10191"</f>
        <v>10191</v>
      </c>
      <c r="C2129" t="str">
        <f>"003"</f>
        <v>003</v>
      </c>
      <c r="D2129">
        <v>2012</v>
      </c>
      <c r="E2129">
        <v>762900</v>
      </c>
      <c r="F2129">
        <v>500100</v>
      </c>
      <c r="G2129" t="s">
        <v>11</v>
      </c>
      <c r="H2129" t="s">
        <v>38</v>
      </c>
      <c r="I2129" t="s">
        <v>13</v>
      </c>
      <c r="J2129" t="s">
        <v>13</v>
      </c>
    </row>
    <row r="2130" spans="1:11" x14ac:dyDescent="0.25">
      <c r="A2130" t="s">
        <v>39</v>
      </c>
      <c r="B2130" t="s">
        <v>13</v>
      </c>
      <c r="C2130" t="s">
        <v>7</v>
      </c>
      <c r="D2130" t="s">
        <v>8</v>
      </c>
      <c r="E2130">
        <v>4581600</v>
      </c>
      <c r="F2130">
        <v>3390300</v>
      </c>
      <c r="G2130" t="s">
        <v>11</v>
      </c>
      <c r="H2130">
        <v>22596100</v>
      </c>
      <c r="I2130" t="s">
        <v>13</v>
      </c>
      <c r="J2130" t="s">
        <v>13</v>
      </c>
      <c r="K2130">
        <v>15</v>
      </c>
    </row>
    <row r="2132" spans="1:11" x14ac:dyDescent="0.25">
      <c r="A2132" t="s">
        <v>452</v>
      </c>
      <c r="B2132" t="str">
        <f>"58191"</f>
        <v>58191</v>
      </c>
      <c r="C2132" t="str">
        <f>"001"</f>
        <v>001</v>
      </c>
      <c r="D2132">
        <v>2000</v>
      </c>
      <c r="E2132">
        <v>6999600</v>
      </c>
      <c r="F2132">
        <v>6798200</v>
      </c>
      <c r="G2132" t="s">
        <v>11</v>
      </c>
      <c r="H2132" t="s">
        <v>38</v>
      </c>
      <c r="I2132" t="s">
        <v>13</v>
      </c>
      <c r="J2132" t="s">
        <v>13</v>
      </c>
    </row>
    <row r="2133" spans="1:11" x14ac:dyDescent="0.25">
      <c r="A2133" t="s">
        <v>5</v>
      </c>
      <c r="B2133" t="str">
        <f>"58191"</f>
        <v>58191</v>
      </c>
      <c r="C2133" t="str">
        <f>"002"</f>
        <v>002</v>
      </c>
      <c r="D2133">
        <v>2011</v>
      </c>
      <c r="E2133">
        <v>2542500</v>
      </c>
      <c r="F2133">
        <v>1134600</v>
      </c>
      <c r="G2133" t="s">
        <v>11</v>
      </c>
      <c r="H2133" t="s">
        <v>38</v>
      </c>
      <c r="I2133" t="s">
        <v>13</v>
      </c>
      <c r="J2133" t="s">
        <v>13</v>
      </c>
    </row>
    <row r="2134" spans="1:11" x14ac:dyDescent="0.25">
      <c r="A2134" t="s">
        <v>5</v>
      </c>
      <c r="B2134" t="str">
        <f>"58191"</f>
        <v>58191</v>
      </c>
      <c r="C2134" t="str">
        <f>"003"</f>
        <v>003</v>
      </c>
      <c r="D2134">
        <v>2015</v>
      </c>
      <c r="E2134">
        <v>6961800</v>
      </c>
      <c r="F2134">
        <v>6958500</v>
      </c>
      <c r="G2134" t="s">
        <v>11</v>
      </c>
      <c r="H2134" t="s">
        <v>38</v>
      </c>
      <c r="I2134" t="s">
        <v>13</v>
      </c>
      <c r="J2134" t="s">
        <v>13</v>
      </c>
    </row>
    <row r="2135" spans="1:11" x14ac:dyDescent="0.25">
      <c r="A2135" t="s">
        <v>39</v>
      </c>
      <c r="B2135" t="s">
        <v>13</v>
      </c>
      <c r="C2135" t="s">
        <v>7</v>
      </c>
      <c r="D2135" t="s">
        <v>8</v>
      </c>
      <c r="E2135">
        <v>16503900</v>
      </c>
      <c r="F2135">
        <v>14891300</v>
      </c>
      <c r="G2135" t="s">
        <v>11</v>
      </c>
      <c r="H2135">
        <v>59437900</v>
      </c>
      <c r="I2135" t="s">
        <v>13</v>
      </c>
      <c r="J2135" t="s">
        <v>13</v>
      </c>
      <c r="K2135">
        <v>25.05</v>
      </c>
    </row>
    <row r="2137" spans="1:11" x14ac:dyDescent="0.25">
      <c r="A2137" t="s">
        <v>453</v>
      </c>
      <c r="B2137" t="str">
        <f>"55192"</f>
        <v>55192</v>
      </c>
      <c r="C2137" t="str">
        <f>"003"</f>
        <v>003</v>
      </c>
      <c r="D2137">
        <v>1995</v>
      </c>
      <c r="E2137">
        <v>25248500</v>
      </c>
      <c r="F2137">
        <v>24247500</v>
      </c>
      <c r="G2137" t="s">
        <v>11</v>
      </c>
      <c r="H2137" t="s">
        <v>38</v>
      </c>
      <c r="I2137" t="s">
        <v>13</v>
      </c>
      <c r="J2137" t="s">
        <v>13</v>
      </c>
    </row>
    <row r="2138" spans="1:11" x14ac:dyDescent="0.25">
      <c r="A2138" t="s">
        <v>5</v>
      </c>
      <c r="B2138" t="str">
        <f>"55192"</f>
        <v>55192</v>
      </c>
      <c r="C2138" t="str">
        <f>"004"</f>
        <v>004</v>
      </c>
      <c r="D2138">
        <v>2005</v>
      </c>
      <c r="E2138">
        <v>842200</v>
      </c>
      <c r="F2138">
        <v>648600</v>
      </c>
      <c r="G2138" t="s">
        <v>11</v>
      </c>
      <c r="H2138" t="s">
        <v>38</v>
      </c>
      <c r="I2138" t="s">
        <v>13</v>
      </c>
      <c r="J2138" t="s">
        <v>13</v>
      </c>
    </row>
    <row r="2139" spans="1:11" x14ac:dyDescent="0.25">
      <c r="A2139" t="s">
        <v>39</v>
      </c>
      <c r="B2139" t="s">
        <v>13</v>
      </c>
      <c r="C2139" t="s">
        <v>7</v>
      </c>
      <c r="D2139" t="s">
        <v>8</v>
      </c>
      <c r="E2139">
        <v>26090700</v>
      </c>
      <c r="F2139">
        <v>24896100</v>
      </c>
      <c r="G2139" t="s">
        <v>11</v>
      </c>
      <c r="H2139">
        <v>98787600</v>
      </c>
      <c r="I2139" t="s">
        <v>13</v>
      </c>
      <c r="J2139" t="s">
        <v>13</v>
      </c>
      <c r="K2139">
        <v>25.2</v>
      </c>
    </row>
    <row r="2141" spans="1:11" x14ac:dyDescent="0.25">
      <c r="A2141" t="s">
        <v>454</v>
      </c>
      <c r="B2141" t="str">
        <f>"44191"</f>
        <v>44191</v>
      </c>
      <c r="C2141" t="str">
        <f>"003"</f>
        <v>003</v>
      </c>
      <c r="D2141">
        <v>2015</v>
      </c>
      <c r="E2141">
        <v>20505500</v>
      </c>
      <c r="F2141">
        <v>18711400</v>
      </c>
      <c r="G2141" t="s">
        <v>11</v>
      </c>
      <c r="H2141" t="s">
        <v>38</v>
      </c>
      <c r="I2141" t="s">
        <v>13</v>
      </c>
      <c r="J2141" t="s">
        <v>13</v>
      </c>
    </row>
    <row r="2142" spans="1:11" x14ac:dyDescent="0.25">
      <c r="A2142" t="s">
        <v>5</v>
      </c>
      <c r="B2142" t="str">
        <f>"05191"</f>
        <v>05191</v>
      </c>
      <c r="C2142" t="str">
        <f>"003"</f>
        <v>003</v>
      </c>
      <c r="D2142">
        <v>2015</v>
      </c>
      <c r="E2142">
        <v>8332200</v>
      </c>
      <c r="F2142">
        <v>-442300</v>
      </c>
      <c r="G2142" t="s">
        <v>49</v>
      </c>
      <c r="H2142" t="s">
        <v>38</v>
      </c>
      <c r="I2142" t="s">
        <v>13</v>
      </c>
      <c r="J2142" t="s">
        <v>13</v>
      </c>
    </row>
    <row r="2143" spans="1:11" x14ac:dyDescent="0.25">
      <c r="A2143" t="s">
        <v>5</v>
      </c>
      <c r="B2143" t="str">
        <f>"44191"</f>
        <v>44191</v>
      </c>
      <c r="C2143" t="str">
        <f>"004"</f>
        <v>004</v>
      </c>
      <c r="D2143">
        <v>2016</v>
      </c>
      <c r="E2143">
        <v>583900</v>
      </c>
      <c r="F2143">
        <v>-503600</v>
      </c>
      <c r="G2143" t="s">
        <v>49</v>
      </c>
      <c r="H2143" t="s">
        <v>38</v>
      </c>
      <c r="I2143" t="s">
        <v>13</v>
      </c>
      <c r="J2143" t="s">
        <v>13</v>
      </c>
    </row>
    <row r="2144" spans="1:11" x14ac:dyDescent="0.25">
      <c r="A2144" t="s">
        <v>5</v>
      </c>
      <c r="B2144" t="str">
        <f>"05191"</f>
        <v>05191</v>
      </c>
      <c r="C2144" t="str">
        <f>"004"</f>
        <v>004</v>
      </c>
      <c r="D2144">
        <v>2016</v>
      </c>
      <c r="E2144">
        <v>13638700</v>
      </c>
      <c r="F2144">
        <v>13630300</v>
      </c>
      <c r="G2144" t="s">
        <v>11</v>
      </c>
      <c r="H2144" t="s">
        <v>38</v>
      </c>
      <c r="I2144" t="s">
        <v>13</v>
      </c>
      <c r="J2144" t="s">
        <v>13</v>
      </c>
    </row>
    <row r="2145" spans="1:11" x14ac:dyDescent="0.25">
      <c r="A2145" t="s">
        <v>5</v>
      </c>
      <c r="B2145" t="str">
        <f>"05191"</f>
        <v>05191</v>
      </c>
      <c r="C2145" t="str">
        <f>"005"</f>
        <v>005</v>
      </c>
      <c r="D2145">
        <v>2018</v>
      </c>
      <c r="E2145">
        <v>5430100</v>
      </c>
      <c r="F2145">
        <v>115000</v>
      </c>
      <c r="G2145" t="s">
        <v>11</v>
      </c>
      <c r="H2145" t="s">
        <v>38</v>
      </c>
      <c r="I2145" t="s">
        <v>13</v>
      </c>
      <c r="J2145" t="s">
        <v>13</v>
      </c>
    </row>
    <row r="2146" spans="1:11" x14ac:dyDescent="0.25">
      <c r="A2146" t="s">
        <v>39</v>
      </c>
      <c r="B2146" t="s">
        <v>13</v>
      </c>
      <c r="C2146" t="s">
        <v>7</v>
      </c>
      <c r="D2146" t="s">
        <v>8</v>
      </c>
      <c r="E2146">
        <v>48490400</v>
      </c>
      <c r="F2146">
        <v>32456700</v>
      </c>
      <c r="G2146" t="s">
        <v>11</v>
      </c>
      <c r="H2146">
        <v>294181900</v>
      </c>
      <c r="I2146" t="s">
        <v>13</v>
      </c>
      <c r="J2146" t="s">
        <v>13</v>
      </c>
      <c r="K2146">
        <v>11.03</v>
      </c>
    </row>
    <row r="2148" spans="1:11" x14ac:dyDescent="0.25">
      <c r="A2148" t="s">
        <v>455</v>
      </c>
    </row>
    <row r="2151" spans="1:11" x14ac:dyDescent="0.25">
      <c r="A2151" t="s">
        <v>456</v>
      </c>
    </row>
    <row r="2153" spans="1:11" x14ac:dyDescent="0.25">
      <c r="A2153" t="s">
        <v>457</v>
      </c>
      <c r="E2153">
        <v>22922114565</v>
      </c>
    </row>
    <row r="2155" spans="1:11" x14ac:dyDescent="0.25">
      <c r="A2155" t="s">
        <v>458</v>
      </c>
      <c r="E2155">
        <v>36174240900</v>
      </c>
    </row>
    <row r="2157" spans="1:11" x14ac:dyDescent="0.25">
      <c r="A2157" t="s">
        <v>459</v>
      </c>
      <c r="E2157" s="1">
        <v>357706214500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2019</_x002e_DocumentYear>
    <_dlc_DocId xmlns="bb65cc95-6d4e-4879-a879-9838761499af">33E6D4FPPFNA-691263572-5932</_dlc_DocId>
    <_dlc_DocIdUrl xmlns="bb65cc95-6d4e-4879-a879-9838761499af">
      <Url>http://apwmad0p7106:9444/_layouts/15/DocIdRedir.aspx?ID=33E6D4FPPFNA-691263572-5932</Url>
      <Description>33E6D4FPPFNA-691263572-5932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564CD-96CA-4EED-AE2F-A4E5D2BCDCF8}"/>
</file>

<file path=customXml/itemProps2.xml><?xml version="1.0" encoding="utf-8"?>
<ds:datastoreItem xmlns:ds="http://schemas.openxmlformats.org/officeDocument/2006/customXml" ds:itemID="{0EFC0773-2B52-4B1E-9C0A-8BB363A8FBBF}"/>
</file>

<file path=customXml/itemProps3.xml><?xml version="1.0" encoding="utf-8"?>
<ds:datastoreItem xmlns:ds="http://schemas.openxmlformats.org/officeDocument/2006/customXml" ds:itemID="{169D5DB8-50E8-4C3B-BF0B-5DB05FB9FC98}"/>
</file>

<file path=customXml/itemProps4.xml><?xml version="1.0" encoding="utf-8"?>
<ds:datastoreItem xmlns:ds="http://schemas.openxmlformats.org/officeDocument/2006/customXml" ds:itemID="{BE6BB3B9-A404-4706-9033-617E1C511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TID304WI-FINAL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TIF Value Limitation Report</dc:title>
  <dc:creator>Lukens, Megan J - DOR</dc:creator>
  <cp:lastModifiedBy>Lukens, Megan J</cp:lastModifiedBy>
  <dcterms:created xsi:type="dcterms:W3CDTF">2019-08-09T18:58:28Z</dcterms:created>
  <dcterms:modified xsi:type="dcterms:W3CDTF">2019-08-09T19:35:32Z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2258901b-10cc-4b1f-9856-f6b877af8930</vt:lpwstr>
  </property>
</Properties>
</file>