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Q\Equalized Values\2018\August 15th reports\"/>
    </mc:Choice>
  </mc:AlternateContent>
  <bookViews>
    <workbookView xWindow="0" yWindow="0" windowWidth="18870" windowHeight="8265"/>
  </bookViews>
  <sheets>
    <sheet name="TID304WI" sheetId="1" r:id="rId1"/>
  </sheets>
  <calcPr calcId="152511"/>
</workbook>
</file>

<file path=xl/calcChain.xml><?xml version="1.0" encoding="utf-8"?>
<calcChain xmlns="http://schemas.openxmlformats.org/spreadsheetml/2006/main">
  <c r="B10" i="1" l="1"/>
  <c r="C10" i="1"/>
  <c r="B11" i="1"/>
  <c r="C11" i="1"/>
  <c r="B12" i="1"/>
  <c r="C12" i="1"/>
  <c r="B13" i="1"/>
  <c r="C13" i="1"/>
  <c r="B16" i="1"/>
  <c r="C16" i="1"/>
  <c r="B17" i="1"/>
  <c r="C17" i="1"/>
  <c r="B20" i="1"/>
  <c r="C20" i="1"/>
  <c r="B23" i="1"/>
  <c r="C23" i="1"/>
  <c r="B24" i="1"/>
  <c r="C24" i="1"/>
  <c r="B27" i="1"/>
  <c r="C27" i="1"/>
  <c r="B30" i="1"/>
  <c r="C30" i="1"/>
  <c r="B33" i="1"/>
  <c r="C33" i="1"/>
  <c r="B34" i="1"/>
  <c r="C34" i="1"/>
  <c r="B37" i="1"/>
  <c r="C37" i="1"/>
  <c r="B38" i="1"/>
  <c r="C38" i="1"/>
  <c r="B39" i="1"/>
  <c r="C39" i="1"/>
  <c r="B42" i="1"/>
  <c r="C42" i="1"/>
  <c r="B43" i="1"/>
  <c r="C43" i="1"/>
  <c r="B44" i="1"/>
  <c r="C44" i="1"/>
  <c r="B45" i="1"/>
  <c r="C45" i="1"/>
  <c r="B48" i="1"/>
  <c r="C48" i="1"/>
  <c r="B49" i="1"/>
  <c r="C49" i="1"/>
  <c r="B52" i="1"/>
  <c r="C52" i="1"/>
  <c r="B53" i="1"/>
  <c r="C53" i="1"/>
  <c r="B54" i="1"/>
  <c r="C54" i="1"/>
  <c r="B55" i="1"/>
  <c r="C55" i="1"/>
  <c r="B56" i="1"/>
  <c r="C56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9" i="1"/>
  <c r="C69" i="1"/>
  <c r="B70" i="1"/>
  <c r="C70" i="1"/>
  <c r="B73" i="1"/>
  <c r="C73" i="1"/>
  <c r="B76" i="1"/>
  <c r="C76" i="1"/>
  <c r="B79" i="1"/>
  <c r="C79" i="1"/>
  <c r="B82" i="1"/>
  <c r="C82" i="1"/>
  <c r="B83" i="1"/>
  <c r="C83" i="1"/>
  <c r="B84" i="1"/>
  <c r="C84" i="1"/>
  <c r="B87" i="1"/>
  <c r="C87" i="1"/>
  <c r="B88" i="1"/>
  <c r="C88" i="1"/>
  <c r="B89" i="1"/>
  <c r="C89" i="1"/>
  <c r="B92" i="1"/>
  <c r="C92" i="1"/>
  <c r="B93" i="1"/>
  <c r="C93" i="1"/>
  <c r="B96" i="1"/>
  <c r="C96" i="1"/>
  <c r="B97" i="1"/>
  <c r="C97" i="1"/>
  <c r="B100" i="1"/>
  <c r="C100" i="1"/>
  <c r="B103" i="1"/>
  <c r="C103" i="1"/>
  <c r="B106" i="1"/>
  <c r="C106" i="1"/>
  <c r="B107" i="1"/>
  <c r="C107" i="1"/>
  <c r="B108" i="1"/>
  <c r="C108" i="1"/>
  <c r="B111" i="1"/>
  <c r="C111" i="1"/>
  <c r="B112" i="1"/>
  <c r="C112" i="1"/>
  <c r="B113" i="1"/>
  <c r="C113" i="1"/>
  <c r="B114" i="1"/>
  <c r="C114" i="1"/>
  <c r="B117" i="1"/>
  <c r="C117" i="1"/>
  <c r="B118" i="1"/>
  <c r="C118" i="1"/>
  <c r="B121" i="1"/>
  <c r="C121" i="1"/>
  <c r="B122" i="1"/>
  <c r="C122" i="1"/>
  <c r="B123" i="1"/>
  <c r="C123" i="1"/>
  <c r="B124" i="1"/>
  <c r="C124" i="1"/>
  <c r="B127" i="1"/>
  <c r="C127" i="1"/>
  <c r="B128" i="1"/>
  <c r="C128" i="1"/>
  <c r="B131" i="1"/>
  <c r="C131" i="1"/>
  <c r="B132" i="1"/>
  <c r="C132" i="1"/>
  <c r="B133" i="1"/>
  <c r="C133" i="1"/>
  <c r="B134" i="1"/>
  <c r="C134" i="1"/>
  <c r="B135" i="1"/>
  <c r="C135" i="1"/>
  <c r="B138" i="1"/>
  <c r="C138" i="1"/>
  <c r="B139" i="1"/>
  <c r="C139" i="1"/>
  <c r="B140" i="1"/>
  <c r="C140" i="1"/>
  <c r="B143" i="1"/>
  <c r="C143" i="1"/>
  <c r="B146" i="1"/>
  <c r="C146" i="1"/>
  <c r="B147" i="1"/>
  <c r="C147" i="1"/>
  <c r="B148" i="1"/>
  <c r="C148" i="1"/>
  <c r="B149" i="1"/>
  <c r="C149" i="1"/>
  <c r="B152" i="1"/>
  <c r="C152" i="1"/>
  <c r="B153" i="1"/>
  <c r="C153" i="1"/>
  <c r="B156" i="1"/>
  <c r="C156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9" i="1"/>
  <c r="C169" i="1"/>
  <c r="B170" i="1"/>
  <c r="C170" i="1"/>
  <c r="B171" i="1"/>
  <c r="C171" i="1"/>
  <c r="B172" i="1"/>
  <c r="C172" i="1"/>
  <c r="B175" i="1"/>
  <c r="C175" i="1"/>
  <c r="B178" i="1"/>
  <c r="C178" i="1"/>
  <c r="B179" i="1"/>
  <c r="C179" i="1"/>
  <c r="B182" i="1"/>
  <c r="C182" i="1"/>
  <c r="B185" i="1"/>
  <c r="C185" i="1"/>
  <c r="B186" i="1"/>
  <c r="C186" i="1"/>
  <c r="B187" i="1"/>
  <c r="C187" i="1"/>
  <c r="B190" i="1"/>
  <c r="C190" i="1"/>
  <c r="B193" i="1"/>
  <c r="C193" i="1"/>
  <c r="B194" i="1"/>
  <c r="C194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5" i="1"/>
  <c r="C205" i="1"/>
  <c r="B206" i="1"/>
  <c r="C206" i="1"/>
  <c r="B207" i="1"/>
  <c r="C207" i="1"/>
  <c r="B208" i="1"/>
  <c r="C208" i="1"/>
  <c r="B211" i="1"/>
  <c r="C211" i="1"/>
  <c r="B214" i="1"/>
  <c r="C214" i="1"/>
  <c r="B217" i="1"/>
  <c r="C217" i="1"/>
  <c r="B220" i="1"/>
  <c r="C220" i="1"/>
  <c r="B223" i="1"/>
  <c r="C223" i="1"/>
  <c r="B226" i="1"/>
  <c r="C226" i="1"/>
  <c r="B227" i="1"/>
  <c r="C227" i="1"/>
  <c r="B230" i="1"/>
  <c r="C230" i="1"/>
  <c r="B233" i="1"/>
  <c r="C233" i="1"/>
  <c r="B236" i="1"/>
  <c r="C236" i="1"/>
  <c r="B237" i="1"/>
  <c r="C237" i="1"/>
  <c r="B238" i="1"/>
  <c r="C238" i="1"/>
  <c r="B241" i="1"/>
  <c r="C241" i="1"/>
  <c r="B242" i="1"/>
  <c r="C242" i="1"/>
  <c r="B243" i="1"/>
  <c r="C243" i="1"/>
  <c r="B244" i="1"/>
  <c r="C244" i="1"/>
  <c r="B245" i="1"/>
  <c r="C245" i="1"/>
  <c r="B248" i="1"/>
  <c r="C248" i="1"/>
  <c r="B251" i="1"/>
  <c r="C251" i="1"/>
  <c r="B253" i="1"/>
  <c r="C253" i="1"/>
  <c r="B254" i="1"/>
  <c r="C254" i="1"/>
  <c r="B255" i="1"/>
  <c r="C255" i="1"/>
  <c r="B258" i="1"/>
  <c r="C258" i="1"/>
  <c r="B259" i="1"/>
  <c r="C259" i="1"/>
  <c r="B260" i="1"/>
  <c r="C260" i="1"/>
  <c r="B263" i="1"/>
  <c r="C263" i="1"/>
  <c r="B264" i="1"/>
  <c r="C264" i="1"/>
  <c r="B265" i="1"/>
  <c r="C265" i="1"/>
  <c r="B268" i="1"/>
  <c r="C268" i="1"/>
  <c r="B269" i="1"/>
  <c r="C269" i="1"/>
  <c r="B272" i="1"/>
  <c r="C272" i="1"/>
  <c r="B275" i="1"/>
  <c r="C275" i="1"/>
  <c r="B276" i="1"/>
  <c r="C276" i="1"/>
  <c r="B279" i="1"/>
  <c r="C279" i="1"/>
  <c r="B280" i="1"/>
  <c r="C280" i="1"/>
  <c r="B281" i="1"/>
  <c r="C281" i="1"/>
  <c r="B284" i="1"/>
  <c r="C284" i="1"/>
  <c r="B287" i="1"/>
  <c r="C287" i="1"/>
  <c r="B290" i="1"/>
  <c r="C290" i="1"/>
  <c r="B293" i="1"/>
  <c r="C293" i="1"/>
  <c r="B296" i="1"/>
  <c r="C296" i="1"/>
  <c r="B299" i="1"/>
  <c r="C299" i="1"/>
  <c r="B300" i="1"/>
  <c r="C300" i="1"/>
  <c r="B301" i="1"/>
  <c r="C301" i="1"/>
  <c r="B304" i="1"/>
  <c r="C304" i="1"/>
  <c r="B305" i="1"/>
  <c r="C305" i="1"/>
  <c r="B308" i="1"/>
  <c r="C308" i="1"/>
  <c r="B311" i="1"/>
  <c r="C311" i="1"/>
  <c r="B314" i="1"/>
  <c r="C314" i="1"/>
  <c r="B315" i="1"/>
  <c r="C315" i="1"/>
  <c r="B318" i="1"/>
  <c r="C318" i="1"/>
  <c r="B319" i="1"/>
  <c r="C319" i="1"/>
  <c r="B320" i="1"/>
  <c r="C320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4" i="1"/>
  <c r="C334" i="1"/>
  <c r="B337" i="1"/>
  <c r="C337" i="1"/>
  <c r="B338" i="1"/>
  <c r="C338" i="1"/>
  <c r="B341" i="1"/>
  <c r="C341" i="1"/>
  <c r="B344" i="1"/>
  <c r="C344" i="1"/>
  <c r="B347" i="1"/>
  <c r="C347" i="1"/>
  <c r="B348" i="1"/>
  <c r="C348" i="1"/>
  <c r="B351" i="1"/>
  <c r="C351" i="1"/>
  <c r="B352" i="1"/>
  <c r="C352" i="1"/>
  <c r="B355" i="1"/>
  <c r="C355" i="1"/>
  <c r="B356" i="1"/>
  <c r="C356" i="1"/>
  <c r="B359" i="1"/>
  <c r="C359" i="1"/>
  <c r="B360" i="1"/>
  <c r="C360" i="1"/>
  <c r="B363" i="1"/>
  <c r="C363" i="1"/>
  <c r="B364" i="1"/>
  <c r="C364" i="1"/>
  <c r="B367" i="1"/>
  <c r="C367" i="1"/>
  <c r="B368" i="1"/>
  <c r="C368" i="1"/>
  <c r="B371" i="1"/>
  <c r="C371" i="1"/>
  <c r="B372" i="1"/>
  <c r="C372" i="1"/>
  <c r="B373" i="1"/>
  <c r="C373" i="1"/>
  <c r="B376" i="1"/>
  <c r="C376" i="1"/>
  <c r="B379" i="1"/>
  <c r="C379" i="1"/>
  <c r="B382" i="1"/>
  <c r="C382" i="1"/>
  <c r="B385" i="1"/>
  <c r="C385" i="1"/>
  <c r="B386" i="1"/>
  <c r="C386" i="1"/>
  <c r="B387" i="1"/>
  <c r="C387" i="1"/>
  <c r="B390" i="1"/>
  <c r="C390" i="1"/>
  <c r="B393" i="1"/>
  <c r="C393" i="1"/>
  <c r="B394" i="1"/>
  <c r="C394" i="1"/>
  <c r="B397" i="1"/>
  <c r="C397" i="1"/>
  <c r="B400" i="1"/>
  <c r="C400" i="1"/>
  <c r="B403" i="1"/>
  <c r="C403" i="1"/>
  <c r="B406" i="1"/>
  <c r="C406" i="1"/>
  <c r="B407" i="1"/>
  <c r="C407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21" i="1"/>
  <c r="C421" i="1"/>
  <c r="B422" i="1"/>
  <c r="C422" i="1"/>
  <c r="B425" i="1"/>
  <c r="C425" i="1"/>
  <c r="B426" i="1"/>
  <c r="C426" i="1"/>
  <c r="B427" i="1"/>
  <c r="C427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6" i="1"/>
  <c r="C436" i="1"/>
  <c r="B437" i="1"/>
  <c r="C437" i="1"/>
  <c r="B440" i="1"/>
  <c r="C440" i="1"/>
  <c r="B443" i="1"/>
  <c r="C443" i="1"/>
  <c r="B444" i="1"/>
  <c r="C444" i="1"/>
  <c r="B447" i="1"/>
  <c r="C447" i="1"/>
  <c r="B450" i="1"/>
  <c r="C450" i="1"/>
  <c r="B453" i="1"/>
  <c r="C453" i="1"/>
  <c r="B454" i="1"/>
  <c r="C454" i="1"/>
  <c r="B457" i="1"/>
  <c r="C457" i="1"/>
  <c r="B460" i="1"/>
  <c r="C460" i="1"/>
  <c r="B461" i="1"/>
  <c r="C461" i="1"/>
  <c r="B464" i="1"/>
  <c r="C464" i="1"/>
  <c r="B467" i="1"/>
  <c r="C467" i="1"/>
  <c r="B468" i="1"/>
  <c r="C468" i="1"/>
  <c r="B469" i="1"/>
  <c r="C469" i="1"/>
  <c r="B470" i="1"/>
  <c r="C470" i="1"/>
  <c r="B471" i="1"/>
  <c r="C471" i="1"/>
  <c r="B472" i="1"/>
  <c r="C472" i="1"/>
  <c r="B473" i="1"/>
  <c r="C473" i="1"/>
  <c r="B476" i="1"/>
  <c r="C476" i="1"/>
  <c r="B477" i="1"/>
  <c r="C477" i="1"/>
  <c r="B478" i="1"/>
  <c r="C478" i="1"/>
  <c r="B481" i="1"/>
  <c r="C481" i="1"/>
  <c r="B482" i="1"/>
  <c r="C482" i="1"/>
  <c r="B483" i="1"/>
  <c r="C483" i="1"/>
  <c r="B484" i="1"/>
  <c r="C484" i="1"/>
  <c r="B487" i="1"/>
  <c r="C487" i="1"/>
  <c r="B490" i="1"/>
  <c r="C490" i="1"/>
  <c r="B493" i="1"/>
  <c r="C493" i="1"/>
  <c r="B494" i="1"/>
  <c r="C494" i="1"/>
  <c r="B495" i="1"/>
  <c r="C495" i="1"/>
  <c r="B498" i="1"/>
  <c r="C498" i="1"/>
  <c r="B501" i="1"/>
  <c r="C501" i="1"/>
  <c r="B502" i="1"/>
  <c r="C502" i="1"/>
  <c r="B503" i="1"/>
  <c r="C503" i="1"/>
  <c r="B504" i="1"/>
  <c r="C504" i="1"/>
  <c r="B505" i="1"/>
  <c r="C505" i="1"/>
  <c r="B506" i="1"/>
  <c r="C506" i="1"/>
  <c r="B509" i="1"/>
  <c r="C509" i="1"/>
  <c r="B512" i="1"/>
  <c r="C512" i="1"/>
  <c r="B513" i="1"/>
  <c r="C513" i="1"/>
  <c r="B514" i="1"/>
  <c r="C514" i="1"/>
  <c r="B517" i="1"/>
  <c r="C517" i="1"/>
  <c r="B518" i="1"/>
  <c r="C518" i="1"/>
  <c r="B519" i="1"/>
  <c r="C519" i="1"/>
  <c r="B520" i="1"/>
  <c r="C520" i="1"/>
  <c r="B521" i="1"/>
  <c r="C521" i="1"/>
  <c r="B524" i="1"/>
  <c r="C524" i="1"/>
  <c r="B527" i="1"/>
  <c r="C527" i="1"/>
  <c r="B528" i="1"/>
  <c r="C528" i="1"/>
  <c r="B529" i="1"/>
  <c r="C529" i="1"/>
  <c r="B530" i="1"/>
  <c r="C530" i="1"/>
  <c r="B533" i="1"/>
  <c r="C533" i="1"/>
  <c r="B536" i="1"/>
  <c r="C536" i="1"/>
  <c r="B537" i="1"/>
  <c r="C537" i="1"/>
  <c r="B540" i="1"/>
  <c r="C540" i="1"/>
  <c r="B541" i="1"/>
  <c r="C541" i="1"/>
  <c r="B542" i="1"/>
  <c r="C542" i="1"/>
  <c r="B545" i="1"/>
  <c r="C545" i="1"/>
  <c r="B548" i="1"/>
  <c r="C548" i="1"/>
  <c r="B549" i="1"/>
  <c r="C549" i="1"/>
  <c r="B550" i="1"/>
  <c r="C550" i="1"/>
  <c r="B551" i="1"/>
  <c r="C551" i="1"/>
  <c r="B554" i="1"/>
  <c r="C554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2" i="1"/>
  <c r="C572" i="1"/>
  <c r="B575" i="1"/>
  <c r="C575" i="1"/>
  <c r="B578" i="1"/>
  <c r="C578" i="1"/>
  <c r="B579" i="1"/>
  <c r="C579" i="1"/>
  <c r="B580" i="1"/>
  <c r="C580" i="1"/>
  <c r="B583" i="1"/>
  <c r="C583" i="1"/>
  <c r="B584" i="1"/>
  <c r="C584" i="1"/>
  <c r="B585" i="1"/>
  <c r="C585" i="1"/>
  <c r="B588" i="1"/>
  <c r="C588" i="1"/>
  <c r="B589" i="1"/>
  <c r="C589" i="1"/>
  <c r="B592" i="1"/>
  <c r="C592" i="1"/>
  <c r="B595" i="1"/>
  <c r="C595" i="1"/>
  <c r="B596" i="1"/>
  <c r="C596" i="1"/>
  <c r="B597" i="1"/>
  <c r="C597" i="1"/>
  <c r="B600" i="1"/>
  <c r="C600" i="1"/>
  <c r="B603" i="1"/>
  <c r="C603" i="1"/>
  <c r="B604" i="1"/>
  <c r="C604" i="1"/>
  <c r="B607" i="1"/>
  <c r="C607" i="1"/>
  <c r="B608" i="1"/>
  <c r="C608" i="1"/>
  <c r="B611" i="1"/>
  <c r="C611" i="1"/>
  <c r="B614" i="1"/>
  <c r="C614" i="1"/>
  <c r="B617" i="1"/>
  <c r="C617" i="1"/>
  <c r="B620" i="1"/>
  <c r="C620" i="1"/>
  <c r="B621" i="1"/>
  <c r="C621" i="1"/>
  <c r="B624" i="1"/>
  <c r="C624" i="1"/>
  <c r="B625" i="1"/>
  <c r="C625" i="1"/>
  <c r="B628" i="1"/>
  <c r="C628" i="1"/>
  <c r="B631" i="1"/>
  <c r="C631" i="1"/>
  <c r="B634" i="1"/>
  <c r="C634" i="1"/>
  <c r="B635" i="1"/>
  <c r="C635" i="1"/>
  <c r="B636" i="1"/>
  <c r="C636" i="1"/>
  <c r="B639" i="1"/>
  <c r="C639" i="1"/>
  <c r="B642" i="1"/>
  <c r="C642" i="1"/>
  <c r="B643" i="1"/>
  <c r="C643" i="1"/>
  <c r="B644" i="1"/>
  <c r="C644" i="1"/>
  <c r="B645" i="1"/>
  <c r="C645" i="1"/>
  <c r="B648" i="1"/>
  <c r="C648" i="1"/>
  <c r="B649" i="1"/>
  <c r="C649" i="1"/>
  <c r="B650" i="1"/>
  <c r="C650" i="1"/>
  <c r="B653" i="1"/>
  <c r="C653" i="1"/>
  <c r="B656" i="1"/>
  <c r="C656" i="1"/>
  <c r="B657" i="1"/>
  <c r="C657" i="1"/>
  <c r="B658" i="1"/>
  <c r="C658" i="1"/>
  <c r="B661" i="1"/>
  <c r="C661" i="1"/>
  <c r="B664" i="1"/>
  <c r="C664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1" i="1"/>
  <c r="C671" i="1"/>
  <c r="B672" i="1"/>
  <c r="C672" i="1"/>
  <c r="B673" i="1"/>
  <c r="C673" i="1"/>
  <c r="B674" i="1"/>
  <c r="C674" i="1"/>
  <c r="B675" i="1"/>
  <c r="C675" i="1"/>
  <c r="B676" i="1"/>
  <c r="C676" i="1"/>
  <c r="B679" i="1"/>
  <c r="C679" i="1"/>
  <c r="B680" i="1"/>
  <c r="C680" i="1"/>
  <c r="B683" i="1"/>
  <c r="C683" i="1"/>
  <c r="B684" i="1"/>
  <c r="C684" i="1"/>
  <c r="B685" i="1"/>
  <c r="C685" i="1"/>
  <c r="B686" i="1"/>
  <c r="C686" i="1"/>
  <c r="B689" i="1"/>
  <c r="C689" i="1"/>
  <c r="B690" i="1"/>
  <c r="C690" i="1"/>
  <c r="B691" i="1"/>
  <c r="C691" i="1"/>
  <c r="B692" i="1"/>
  <c r="C692" i="1"/>
  <c r="B693" i="1"/>
  <c r="C693" i="1"/>
  <c r="B696" i="1"/>
  <c r="C696" i="1"/>
  <c r="B699" i="1"/>
  <c r="C699" i="1"/>
  <c r="B700" i="1"/>
  <c r="C700" i="1"/>
  <c r="B703" i="1"/>
  <c r="C703" i="1"/>
  <c r="B704" i="1"/>
  <c r="C704" i="1"/>
  <c r="B707" i="1"/>
  <c r="C707" i="1"/>
  <c r="B708" i="1"/>
  <c r="C708" i="1"/>
  <c r="B711" i="1"/>
  <c r="C711" i="1"/>
  <c r="B712" i="1"/>
  <c r="C712" i="1"/>
  <c r="B713" i="1"/>
  <c r="C713" i="1"/>
  <c r="B716" i="1"/>
  <c r="C716" i="1"/>
  <c r="B719" i="1"/>
  <c r="C719" i="1"/>
  <c r="B722" i="1"/>
  <c r="C722" i="1"/>
  <c r="B723" i="1"/>
  <c r="C723" i="1"/>
  <c r="B724" i="1"/>
  <c r="C724" i="1"/>
  <c r="B725" i="1"/>
  <c r="C725" i="1"/>
  <c r="B726" i="1"/>
  <c r="C726" i="1"/>
  <c r="B727" i="1"/>
  <c r="C727" i="1"/>
  <c r="B728" i="1"/>
  <c r="C728" i="1"/>
  <c r="B731" i="1"/>
  <c r="C731" i="1"/>
  <c r="B732" i="1"/>
  <c r="C732" i="1"/>
  <c r="B733" i="1"/>
  <c r="C733" i="1"/>
  <c r="B736" i="1"/>
  <c r="C736" i="1"/>
  <c r="B739" i="1"/>
  <c r="C739" i="1"/>
  <c r="B740" i="1"/>
  <c r="C740" i="1"/>
  <c r="B743" i="1"/>
  <c r="C743" i="1"/>
  <c r="B746" i="1"/>
  <c r="C746" i="1"/>
  <c r="B749" i="1"/>
  <c r="C749" i="1"/>
  <c r="B750" i="1"/>
  <c r="C750" i="1"/>
  <c r="B753" i="1"/>
  <c r="C753" i="1"/>
  <c r="B754" i="1"/>
  <c r="C754" i="1"/>
  <c r="B757" i="1"/>
  <c r="C757" i="1"/>
  <c r="B760" i="1"/>
  <c r="C760" i="1"/>
  <c r="B761" i="1"/>
  <c r="C761" i="1"/>
  <c r="B764" i="1"/>
  <c r="C764" i="1"/>
  <c r="B765" i="1"/>
  <c r="C765" i="1"/>
  <c r="B768" i="1"/>
  <c r="C768" i="1"/>
  <c r="B769" i="1"/>
  <c r="C769" i="1"/>
  <c r="B770" i="1"/>
  <c r="C770" i="1"/>
  <c r="B773" i="1"/>
  <c r="C773" i="1"/>
  <c r="B774" i="1"/>
  <c r="C774" i="1"/>
  <c r="B775" i="1"/>
  <c r="C775" i="1"/>
  <c r="B776" i="1"/>
  <c r="C776" i="1"/>
  <c r="B779" i="1"/>
  <c r="C779" i="1"/>
  <c r="B780" i="1"/>
  <c r="C780" i="1"/>
  <c r="B781" i="1"/>
  <c r="C781" i="1"/>
  <c r="B782" i="1"/>
  <c r="C782" i="1"/>
  <c r="B783" i="1"/>
  <c r="C783" i="1"/>
  <c r="B784" i="1"/>
  <c r="C784" i="1"/>
  <c r="B787" i="1"/>
  <c r="C787" i="1"/>
  <c r="B788" i="1"/>
  <c r="C788" i="1"/>
  <c r="B791" i="1"/>
  <c r="C791" i="1"/>
  <c r="B794" i="1"/>
  <c r="C794" i="1"/>
  <c r="B797" i="1"/>
  <c r="C797" i="1"/>
  <c r="B800" i="1"/>
  <c r="C800" i="1"/>
  <c r="B803" i="1"/>
  <c r="C803" i="1"/>
  <c r="B804" i="1"/>
  <c r="C804" i="1"/>
  <c r="B807" i="1"/>
  <c r="C807" i="1"/>
  <c r="B808" i="1"/>
  <c r="C808" i="1"/>
  <c r="B809" i="1"/>
  <c r="C809" i="1"/>
  <c r="B810" i="1"/>
  <c r="C810" i="1"/>
  <c r="B811" i="1"/>
  <c r="C811" i="1"/>
  <c r="B812" i="1"/>
  <c r="C812" i="1"/>
  <c r="B813" i="1"/>
  <c r="C813" i="1"/>
  <c r="B814" i="1"/>
  <c r="C814" i="1"/>
  <c r="B815" i="1"/>
  <c r="C815" i="1"/>
  <c r="B816" i="1"/>
  <c r="C816" i="1"/>
  <c r="B817" i="1"/>
  <c r="C817" i="1"/>
  <c r="B818" i="1"/>
  <c r="C818" i="1"/>
  <c r="B819" i="1"/>
  <c r="C819" i="1"/>
  <c r="B820" i="1"/>
  <c r="C820" i="1"/>
  <c r="B823" i="1"/>
  <c r="C823" i="1"/>
  <c r="B824" i="1"/>
  <c r="C824" i="1"/>
  <c r="B825" i="1"/>
  <c r="C825" i="1"/>
  <c r="B826" i="1"/>
  <c r="C826" i="1"/>
  <c r="B827" i="1"/>
  <c r="C827" i="1"/>
  <c r="B830" i="1"/>
  <c r="C830" i="1"/>
  <c r="B831" i="1"/>
  <c r="C831" i="1"/>
  <c r="B834" i="1"/>
  <c r="C834" i="1"/>
  <c r="B837" i="1"/>
  <c r="C837" i="1"/>
  <c r="B838" i="1"/>
  <c r="C838" i="1"/>
  <c r="B841" i="1"/>
  <c r="C841" i="1"/>
  <c r="B842" i="1"/>
  <c r="C842" i="1"/>
  <c r="B843" i="1"/>
  <c r="C843" i="1"/>
  <c r="B844" i="1"/>
  <c r="C844" i="1"/>
  <c r="B845" i="1"/>
  <c r="C845" i="1"/>
  <c r="B848" i="1"/>
  <c r="C848" i="1"/>
  <c r="B851" i="1"/>
  <c r="C851" i="1"/>
  <c r="B852" i="1"/>
  <c r="C852" i="1"/>
  <c r="B853" i="1"/>
  <c r="C853" i="1"/>
  <c r="B854" i="1"/>
  <c r="C854" i="1"/>
  <c r="B855" i="1"/>
  <c r="C855" i="1"/>
  <c r="B856" i="1"/>
  <c r="C856" i="1"/>
  <c r="B857" i="1"/>
  <c r="C857" i="1"/>
  <c r="B858" i="1"/>
  <c r="C858" i="1"/>
  <c r="B859" i="1"/>
  <c r="C859" i="1"/>
  <c r="B860" i="1"/>
  <c r="C860" i="1"/>
  <c r="B861" i="1"/>
  <c r="C861" i="1"/>
  <c r="B862" i="1"/>
  <c r="C862" i="1"/>
  <c r="B863" i="1"/>
  <c r="C863" i="1"/>
  <c r="B864" i="1"/>
  <c r="C864" i="1"/>
  <c r="B865" i="1"/>
  <c r="C865" i="1"/>
  <c r="B866" i="1"/>
  <c r="C866" i="1"/>
  <c r="B867" i="1"/>
  <c r="C867" i="1"/>
  <c r="B870" i="1"/>
  <c r="C870" i="1"/>
  <c r="B873" i="1"/>
  <c r="C873" i="1"/>
  <c r="B876" i="1"/>
  <c r="C876" i="1"/>
  <c r="B877" i="1"/>
  <c r="C877" i="1"/>
  <c r="B880" i="1"/>
  <c r="C880" i="1"/>
  <c r="B881" i="1"/>
  <c r="C881" i="1"/>
  <c r="B882" i="1"/>
  <c r="C882" i="1"/>
  <c r="B885" i="1"/>
  <c r="C885" i="1"/>
  <c r="B886" i="1"/>
  <c r="C886" i="1"/>
  <c r="B889" i="1"/>
  <c r="C889" i="1"/>
  <c r="B890" i="1"/>
  <c r="C890" i="1"/>
  <c r="B891" i="1"/>
  <c r="C891" i="1"/>
  <c r="B892" i="1"/>
  <c r="C892" i="1"/>
  <c r="B895" i="1"/>
  <c r="C895" i="1"/>
  <c r="B896" i="1"/>
  <c r="C896" i="1"/>
  <c r="B897" i="1"/>
  <c r="C897" i="1"/>
  <c r="B898" i="1"/>
  <c r="C898" i="1"/>
  <c r="B899" i="1"/>
  <c r="C899" i="1"/>
  <c r="B900" i="1"/>
  <c r="C900" i="1"/>
  <c r="B901" i="1"/>
  <c r="C901" i="1"/>
  <c r="B902" i="1"/>
  <c r="C902" i="1"/>
  <c r="B903" i="1"/>
  <c r="C903" i="1"/>
  <c r="B904" i="1"/>
  <c r="C904" i="1"/>
  <c r="B905" i="1"/>
  <c r="C905" i="1"/>
  <c r="B908" i="1"/>
  <c r="C908" i="1"/>
  <c r="B911" i="1"/>
  <c r="C911" i="1"/>
  <c r="B912" i="1"/>
  <c r="C912" i="1"/>
  <c r="B913" i="1"/>
  <c r="C913" i="1"/>
  <c r="B914" i="1"/>
  <c r="C914" i="1"/>
  <c r="B915" i="1"/>
  <c r="C915" i="1"/>
  <c r="B918" i="1"/>
  <c r="C918" i="1"/>
  <c r="B919" i="1"/>
  <c r="C919" i="1"/>
  <c r="B920" i="1"/>
  <c r="C920" i="1"/>
  <c r="B923" i="1"/>
  <c r="C923" i="1"/>
  <c r="B924" i="1"/>
  <c r="C924" i="1"/>
  <c r="B927" i="1"/>
  <c r="C927" i="1"/>
  <c r="B928" i="1"/>
  <c r="C928" i="1"/>
  <c r="B929" i="1"/>
  <c r="C929" i="1"/>
  <c r="B930" i="1"/>
  <c r="C930" i="1"/>
  <c r="B931" i="1"/>
  <c r="C931" i="1"/>
  <c r="B934" i="1"/>
  <c r="C934" i="1"/>
  <c r="B935" i="1"/>
  <c r="C935" i="1"/>
  <c r="B938" i="1"/>
  <c r="C938" i="1"/>
  <c r="B941" i="1"/>
  <c r="C941" i="1"/>
  <c r="B942" i="1"/>
  <c r="C942" i="1"/>
  <c r="B943" i="1"/>
  <c r="C943" i="1"/>
  <c r="B946" i="1"/>
  <c r="C946" i="1"/>
  <c r="B947" i="1"/>
  <c r="C947" i="1"/>
  <c r="B950" i="1"/>
  <c r="C950" i="1"/>
  <c r="B951" i="1"/>
  <c r="C951" i="1"/>
  <c r="B952" i="1"/>
  <c r="C952" i="1"/>
  <c r="B955" i="1"/>
  <c r="C955" i="1"/>
  <c r="B956" i="1"/>
  <c r="C956" i="1"/>
  <c r="B959" i="1"/>
  <c r="C959" i="1"/>
  <c r="B960" i="1"/>
  <c r="C960" i="1"/>
  <c r="B963" i="1"/>
  <c r="C963" i="1"/>
  <c r="B964" i="1"/>
  <c r="C964" i="1"/>
  <c r="B967" i="1"/>
  <c r="C967" i="1"/>
  <c r="B970" i="1"/>
  <c r="C970" i="1"/>
  <c r="B972" i="1"/>
  <c r="C972" i="1"/>
  <c r="B973" i="1"/>
  <c r="C973" i="1"/>
  <c r="B974" i="1"/>
  <c r="C974" i="1"/>
  <c r="B975" i="1"/>
  <c r="C975" i="1"/>
  <c r="B976" i="1"/>
  <c r="C976" i="1"/>
  <c r="B977" i="1"/>
  <c r="C977" i="1"/>
  <c r="B978" i="1"/>
  <c r="C978" i="1"/>
  <c r="B979" i="1"/>
  <c r="C979" i="1"/>
  <c r="B980" i="1"/>
  <c r="C980" i="1"/>
  <c r="B981" i="1"/>
  <c r="C981" i="1"/>
  <c r="B982" i="1"/>
  <c r="C982" i="1"/>
  <c r="B983" i="1"/>
  <c r="C983" i="1"/>
  <c r="B984" i="1"/>
  <c r="C984" i="1"/>
  <c r="B987" i="1"/>
  <c r="C987" i="1"/>
  <c r="B990" i="1"/>
  <c r="C990" i="1"/>
  <c r="B991" i="1"/>
  <c r="C991" i="1"/>
  <c r="B992" i="1"/>
  <c r="C992" i="1"/>
  <c r="B993" i="1"/>
  <c r="C993" i="1"/>
  <c r="B994" i="1"/>
  <c r="C994" i="1"/>
  <c r="B995" i="1"/>
  <c r="C995" i="1"/>
  <c r="B996" i="1"/>
  <c r="C996" i="1"/>
  <c r="B997" i="1"/>
  <c r="C997" i="1"/>
  <c r="B998" i="1"/>
  <c r="C998" i="1"/>
  <c r="B1001" i="1"/>
  <c r="C1001" i="1"/>
  <c r="B1004" i="1"/>
  <c r="C1004" i="1"/>
  <c r="B1005" i="1"/>
  <c r="C1005" i="1"/>
  <c r="B1008" i="1"/>
  <c r="C1008" i="1"/>
  <c r="B1011" i="1"/>
  <c r="C1011" i="1"/>
  <c r="B1012" i="1"/>
  <c r="C1012" i="1"/>
  <c r="B1013" i="1"/>
  <c r="C1013" i="1"/>
  <c r="B1014" i="1"/>
  <c r="C1014" i="1"/>
  <c r="B1015" i="1"/>
  <c r="C1015" i="1"/>
  <c r="B1016" i="1"/>
  <c r="C1016" i="1"/>
  <c r="B1017" i="1"/>
  <c r="C1017" i="1"/>
  <c r="B1018" i="1"/>
  <c r="C1018" i="1"/>
  <c r="B1019" i="1"/>
  <c r="C1019" i="1"/>
  <c r="B1022" i="1"/>
  <c r="C1022" i="1"/>
  <c r="B1023" i="1"/>
  <c r="C1023" i="1"/>
  <c r="B1026" i="1"/>
  <c r="C1026" i="1"/>
  <c r="B1029" i="1"/>
  <c r="C1029" i="1"/>
  <c r="B1030" i="1"/>
  <c r="C1030" i="1"/>
  <c r="B1031" i="1"/>
  <c r="C1031" i="1"/>
  <c r="B1032" i="1"/>
  <c r="C1032" i="1"/>
  <c r="B1033" i="1"/>
  <c r="C1033" i="1"/>
  <c r="B1034" i="1"/>
  <c r="C1034" i="1"/>
  <c r="B1035" i="1"/>
  <c r="C1035" i="1"/>
  <c r="B1038" i="1"/>
  <c r="C1038" i="1"/>
  <c r="B1041" i="1"/>
  <c r="C1041" i="1"/>
  <c r="B1042" i="1"/>
  <c r="C1042" i="1"/>
  <c r="B1045" i="1"/>
  <c r="C1045" i="1"/>
  <c r="B1046" i="1"/>
  <c r="C1046" i="1"/>
  <c r="B1047" i="1"/>
  <c r="C1047" i="1"/>
  <c r="B1050" i="1"/>
  <c r="C1050" i="1"/>
  <c r="B1051" i="1"/>
  <c r="C1051" i="1"/>
  <c r="B1054" i="1"/>
  <c r="C1054" i="1"/>
  <c r="B1055" i="1"/>
  <c r="C1055" i="1"/>
  <c r="B1058" i="1"/>
  <c r="C1058" i="1"/>
  <c r="B1059" i="1"/>
  <c r="C1059" i="1"/>
  <c r="B1060" i="1"/>
  <c r="C1060" i="1"/>
  <c r="B1061" i="1"/>
  <c r="C1061" i="1"/>
  <c r="B1062" i="1"/>
  <c r="C1062" i="1"/>
  <c r="B1063" i="1"/>
  <c r="C1063" i="1"/>
  <c r="B1064" i="1"/>
  <c r="C1064" i="1"/>
  <c r="B1065" i="1"/>
  <c r="C1065" i="1"/>
  <c r="B1068" i="1"/>
  <c r="C1068" i="1"/>
  <c r="B1069" i="1"/>
  <c r="C1069" i="1"/>
  <c r="B1070" i="1"/>
  <c r="C1070" i="1"/>
  <c r="B1071" i="1"/>
  <c r="C1071" i="1"/>
  <c r="B1072" i="1"/>
  <c r="C1072" i="1"/>
  <c r="B1073" i="1"/>
  <c r="C1073" i="1"/>
  <c r="B1074" i="1"/>
  <c r="C1074" i="1"/>
  <c r="B1075" i="1"/>
  <c r="C1075" i="1"/>
  <c r="B1076" i="1"/>
  <c r="C1076" i="1"/>
  <c r="B1077" i="1"/>
  <c r="C1077" i="1"/>
  <c r="B1080" i="1"/>
  <c r="C1080" i="1"/>
  <c r="B1081" i="1"/>
  <c r="C1081" i="1"/>
  <c r="B1082" i="1"/>
  <c r="C1082" i="1"/>
  <c r="B1083" i="1"/>
  <c r="C1083" i="1"/>
  <c r="B1084" i="1"/>
  <c r="C1084" i="1"/>
  <c r="B1085" i="1"/>
  <c r="C1085" i="1"/>
  <c r="B1086" i="1"/>
  <c r="C1086" i="1"/>
  <c r="B1087" i="1"/>
  <c r="C1087" i="1"/>
  <c r="B1088" i="1"/>
  <c r="C1088" i="1"/>
  <c r="B1091" i="1"/>
  <c r="C1091" i="1"/>
  <c r="B1092" i="1"/>
  <c r="C1092" i="1"/>
  <c r="B1093" i="1"/>
  <c r="C1093" i="1"/>
  <c r="B1094" i="1"/>
  <c r="C1094" i="1"/>
  <c r="B1095" i="1"/>
  <c r="C1095" i="1"/>
  <c r="B1098" i="1"/>
  <c r="C1098" i="1"/>
  <c r="B1099" i="1"/>
  <c r="C1099" i="1"/>
  <c r="B1100" i="1"/>
  <c r="C1100" i="1"/>
  <c r="B1101" i="1"/>
  <c r="C1101" i="1"/>
  <c r="B1104" i="1"/>
  <c r="C1104" i="1"/>
  <c r="B1105" i="1"/>
  <c r="C1105" i="1"/>
  <c r="B1106" i="1"/>
  <c r="C1106" i="1"/>
  <c r="B1107" i="1"/>
  <c r="C1107" i="1"/>
  <c r="B1108" i="1"/>
  <c r="C1108" i="1"/>
  <c r="B1109" i="1"/>
  <c r="C1109" i="1"/>
  <c r="B1110" i="1"/>
  <c r="C1110" i="1"/>
  <c r="B1111" i="1"/>
  <c r="C1111" i="1"/>
  <c r="B1112" i="1"/>
  <c r="C1112" i="1"/>
  <c r="B1113" i="1"/>
  <c r="C1113" i="1"/>
  <c r="B1116" i="1"/>
  <c r="C1116" i="1"/>
  <c r="B1117" i="1"/>
  <c r="C1117" i="1"/>
  <c r="B1120" i="1"/>
  <c r="C1120" i="1"/>
  <c r="B1121" i="1"/>
  <c r="C1121" i="1"/>
  <c r="B1122" i="1"/>
  <c r="C1122" i="1"/>
  <c r="B1125" i="1"/>
  <c r="C1125" i="1"/>
  <c r="B1126" i="1"/>
  <c r="C1126" i="1"/>
  <c r="B1127" i="1"/>
  <c r="C1127" i="1"/>
  <c r="B1128" i="1"/>
  <c r="C1128" i="1"/>
  <c r="B1131" i="1"/>
  <c r="C1131" i="1"/>
  <c r="B1132" i="1"/>
  <c r="C1132" i="1"/>
  <c r="B1133" i="1"/>
  <c r="C1133" i="1"/>
  <c r="B1134" i="1"/>
  <c r="C1134" i="1"/>
  <c r="B1135" i="1"/>
  <c r="C1135" i="1"/>
  <c r="B1136" i="1"/>
  <c r="C1136" i="1"/>
  <c r="B1137" i="1"/>
  <c r="C1137" i="1"/>
  <c r="B1138" i="1"/>
  <c r="C1138" i="1"/>
  <c r="B1139" i="1"/>
  <c r="C1139" i="1"/>
  <c r="B1140" i="1"/>
  <c r="C1140" i="1"/>
  <c r="B1141" i="1"/>
  <c r="C1141" i="1"/>
  <c r="B1142" i="1"/>
  <c r="C1142" i="1"/>
  <c r="B1143" i="1"/>
  <c r="C1143" i="1"/>
  <c r="B1144" i="1"/>
  <c r="C1144" i="1"/>
  <c r="B1145" i="1"/>
  <c r="C1145" i="1"/>
  <c r="B1146" i="1"/>
  <c r="C1146" i="1"/>
  <c r="B1147" i="1"/>
  <c r="C1147" i="1"/>
  <c r="B1148" i="1"/>
  <c r="C1148" i="1"/>
  <c r="B1149" i="1"/>
  <c r="C1149" i="1"/>
  <c r="B1150" i="1"/>
  <c r="C1150" i="1"/>
  <c r="B1151" i="1"/>
  <c r="C1151" i="1"/>
  <c r="B1152" i="1"/>
  <c r="C1152" i="1"/>
  <c r="B1153" i="1"/>
  <c r="C1153" i="1"/>
  <c r="B1154" i="1"/>
  <c r="C1154" i="1"/>
  <c r="B1155" i="1"/>
  <c r="C1155" i="1"/>
  <c r="B1156" i="1"/>
  <c r="C1156" i="1"/>
  <c r="B1157" i="1"/>
  <c r="C1157" i="1"/>
  <c r="B1158" i="1"/>
  <c r="C1158" i="1"/>
  <c r="B1159" i="1"/>
  <c r="C1159" i="1"/>
  <c r="B1160" i="1"/>
  <c r="C1160" i="1"/>
  <c r="B1161" i="1"/>
  <c r="C1161" i="1"/>
  <c r="B1162" i="1"/>
  <c r="C1162" i="1"/>
  <c r="B1163" i="1"/>
  <c r="C1163" i="1"/>
  <c r="B1164" i="1"/>
  <c r="C1164" i="1"/>
  <c r="B1165" i="1"/>
  <c r="C1165" i="1"/>
  <c r="B1166" i="1"/>
  <c r="C1166" i="1"/>
  <c r="B1167" i="1"/>
  <c r="C1167" i="1"/>
  <c r="B1168" i="1"/>
  <c r="C1168" i="1"/>
  <c r="B1169" i="1"/>
  <c r="C1169" i="1"/>
  <c r="B1170" i="1"/>
  <c r="C1170" i="1"/>
  <c r="B1171" i="1"/>
  <c r="C1171" i="1"/>
  <c r="B1172" i="1"/>
  <c r="C1172" i="1"/>
  <c r="B1173" i="1"/>
  <c r="C1173" i="1"/>
  <c r="B1174" i="1"/>
  <c r="C1174" i="1"/>
  <c r="B1175" i="1"/>
  <c r="C1175" i="1"/>
  <c r="B1176" i="1"/>
  <c r="C1176" i="1"/>
  <c r="B1177" i="1"/>
  <c r="C1177" i="1"/>
  <c r="B1178" i="1"/>
  <c r="C1178" i="1"/>
  <c r="B1181" i="1"/>
  <c r="C1181" i="1"/>
  <c r="B1182" i="1"/>
  <c r="C1182" i="1"/>
  <c r="B1183" i="1"/>
  <c r="C1183" i="1"/>
  <c r="B1186" i="1"/>
  <c r="C1186" i="1"/>
  <c r="B1187" i="1"/>
  <c r="C1187" i="1"/>
  <c r="B1190" i="1"/>
  <c r="C1190" i="1"/>
  <c r="B1191" i="1"/>
  <c r="C1191" i="1"/>
  <c r="B1192" i="1"/>
  <c r="C1192" i="1"/>
  <c r="B1193" i="1"/>
  <c r="C1193" i="1"/>
  <c r="B1194" i="1"/>
  <c r="C1194" i="1"/>
  <c r="B1195" i="1"/>
  <c r="C1195" i="1"/>
  <c r="B1196" i="1"/>
  <c r="C1196" i="1"/>
  <c r="B1199" i="1"/>
  <c r="C1199" i="1"/>
  <c r="B1200" i="1"/>
  <c r="C1200" i="1"/>
  <c r="B1201" i="1"/>
  <c r="C1201" i="1"/>
  <c r="B1202" i="1"/>
  <c r="C1202" i="1"/>
  <c r="B1203" i="1"/>
  <c r="C1203" i="1"/>
  <c r="B1204" i="1"/>
  <c r="C1204" i="1"/>
  <c r="B1207" i="1"/>
  <c r="C1207" i="1"/>
  <c r="B1210" i="1"/>
  <c r="C1210" i="1"/>
  <c r="B1211" i="1"/>
  <c r="C1211" i="1"/>
  <c r="B1214" i="1"/>
  <c r="C1214" i="1"/>
  <c r="B1215" i="1"/>
  <c r="C1215" i="1"/>
  <c r="B1216" i="1"/>
  <c r="C1216" i="1"/>
  <c r="B1219" i="1"/>
  <c r="C1219" i="1"/>
  <c r="B1220" i="1"/>
  <c r="C1220" i="1"/>
  <c r="B1221" i="1"/>
  <c r="C1221" i="1"/>
  <c r="B1222" i="1"/>
  <c r="C1222" i="1"/>
  <c r="B1225" i="1"/>
  <c r="C1225" i="1"/>
  <c r="B1226" i="1"/>
  <c r="C1226" i="1"/>
  <c r="B1229" i="1"/>
  <c r="C1229" i="1"/>
  <c r="B1230" i="1"/>
  <c r="C1230" i="1"/>
  <c r="B1231" i="1"/>
  <c r="C1231" i="1"/>
  <c r="B1234" i="1"/>
  <c r="C1234" i="1"/>
  <c r="B1235" i="1"/>
  <c r="C1235" i="1"/>
  <c r="B1236" i="1"/>
  <c r="C1236" i="1"/>
  <c r="B1237" i="1"/>
  <c r="C1237" i="1"/>
  <c r="B1240" i="1"/>
  <c r="C1240" i="1"/>
  <c r="B1241" i="1"/>
  <c r="C1241" i="1"/>
  <c r="B1244" i="1"/>
  <c r="C1244" i="1"/>
  <c r="B1245" i="1"/>
  <c r="C1245" i="1"/>
  <c r="B1246" i="1"/>
  <c r="C1246" i="1"/>
  <c r="B1247" i="1"/>
  <c r="C1247" i="1"/>
  <c r="B1248" i="1"/>
  <c r="C1248" i="1"/>
  <c r="B1249" i="1"/>
  <c r="C1249" i="1"/>
  <c r="B1250" i="1"/>
  <c r="C1250" i="1"/>
  <c r="B1253" i="1"/>
  <c r="C1253" i="1"/>
  <c r="B1254" i="1"/>
  <c r="C1254" i="1"/>
  <c r="B1257" i="1"/>
  <c r="C1257" i="1"/>
  <c r="B1258" i="1"/>
  <c r="C1258" i="1"/>
  <c r="B1259" i="1"/>
  <c r="C1259" i="1"/>
  <c r="B1262" i="1"/>
  <c r="C1262" i="1"/>
  <c r="B1265" i="1"/>
  <c r="C1265" i="1"/>
  <c r="B1268" i="1"/>
  <c r="C1268" i="1"/>
  <c r="B1269" i="1"/>
  <c r="C1269" i="1"/>
  <c r="B1272" i="1"/>
  <c r="C1272" i="1"/>
  <c r="B1273" i="1"/>
  <c r="C1273" i="1"/>
  <c r="B1276" i="1"/>
  <c r="C1276" i="1"/>
  <c r="B1277" i="1"/>
  <c r="C1277" i="1"/>
  <c r="B1278" i="1"/>
  <c r="C1278" i="1"/>
  <c r="B1279" i="1"/>
  <c r="C1279" i="1"/>
  <c r="B1280" i="1"/>
  <c r="C1280" i="1"/>
  <c r="B1283" i="1"/>
  <c r="C1283" i="1"/>
  <c r="B1284" i="1"/>
  <c r="C1284" i="1"/>
  <c r="B1285" i="1"/>
  <c r="C1285" i="1"/>
  <c r="B1286" i="1"/>
  <c r="C1286" i="1"/>
  <c r="B1287" i="1"/>
  <c r="C1287" i="1"/>
  <c r="B1288" i="1"/>
  <c r="C1288" i="1"/>
  <c r="B1291" i="1"/>
  <c r="C1291" i="1"/>
  <c r="B1292" i="1"/>
  <c r="C1292" i="1"/>
  <c r="B1295" i="1"/>
  <c r="C1295" i="1"/>
  <c r="B1296" i="1"/>
  <c r="C1296" i="1"/>
  <c r="B1299" i="1"/>
  <c r="C1299" i="1"/>
  <c r="B1302" i="1"/>
  <c r="C1302" i="1"/>
  <c r="B1303" i="1"/>
  <c r="C1303" i="1"/>
  <c r="B1304" i="1"/>
  <c r="C1304" i="1"/>
  <c r="B1305" i="1"/>
  <c r="C1305" i="1"/>
  <c r="B1306" i="1"/>
  <c r="C1306" i="1"/>
  <c r="B1307" i="1"/>
  <c r="C1307" i="1"/>
  <c r="B1308" i="1"/>
  <c r="C1308" i="1"/>
  <c r="B1311" i="1"/>
  <c r="C1311" i="1"/>
  <c r="B1312" i="1"/>
  <c r="C1312" i="1"/>
  <c r="B1315" i="1"/>
  <c r="C1315" i="1"/>
  <c r="B1316" i="1"/>
  <c r="C1316" i="1"/>
  <c r="B1317" i="1"/>
  <c r="C1317" i="1"/>
  <c r="B1320" i="1"/>
  <c r="C1320" i="1"/>
  <c r="B1321" i="1"/>
  <c r="C1321" i="1"/>
  <c r="B1322" i="1"/>
  <c r="C1322" i="1"/>
  <c r="B1325" i="1"/>
  <c r="C1325" i="1"/>
  <c r="B1328" i="1"/>
  <c r="C1328" i="1"/>
  <c r="B1331" i="1"/>
  <c r="C1331" i="1"/>
  <c r="B1334" i="1"/>
  <c r="C1334" i="1"/>
  <c r="B1335" i="1"/>
  <c r="C1335" i="1"/>
  <c r="B1336" i="1"/>
  <c r="C1336" i="1"/>
  <c r="B1339" i="1"/>
  <c r="C1339" i="1"/>
  <c r="B1340" i="1"/>
  <c r="C1340" i="1"/>
  <c r="B1341" i="1"/>
  <c r="C1341" i="1"/>
  <c r="B1344" i="1"/>
  <c r="C1344" i="1"/>
  <c r="B1347" i="1"/>
  <c r="C1347" i="1"/>
  <c r="B1348" i="1"/>
  <c r="C1348" i="1"/>
  <c r="B1351" i="1"/>
  <c r="C1351" i="1"/>
  <c r="B1352" i="1"/>
  <c r="C1352" i="1"/>
  <c r="B1353" i="1"/>
  <c r="C1353" i="1"/>
  <c r="B1354" i="1"/>
  <c r="C1354" i="1"/>
  <c r="B1355" i="1"/>
  <c r="C1355" i="1"/>
  <c r="B1356" i="1"/>
  <c r="C1356" i="1"/>
  <c r="B1357" i="1"/>
  <c r="C1357" i="1"/>
  <c r="B1358" i="1"/>
  <c r="C1358" i="1"/>
  <c r="B1359" i="1"/>
  <c r="C1359" i="1"/>
  <c r="B1360" i="1"/>
  <c r="C1360" i="1"/>
  <c r="B1361" i="1"/>
  <c r="C1361" i="1"/>
  <c r="B1362" i="1"/>
  <c r="C1362" i="1"/>
  <c r="B1363" i="1"/>
  <c r="C1363" i="1"/>
  <c r="B1364" i="1"/>
  <c r="C1364" i="1"/>
  <c r="B1365" i="1"/>
  <c r="C1365" i="1"/>
  <c r="B1366" i="1"/>
  <c r="C1366" i="1"/>
  <c r="B1367" i="1"/>
  <c r="C1367" i="1"/>
  <c r="B1368" i="1"/>
  <c r="C1368" i="1"/>
  <c r="B1369" i="1"/>
  <c r="C1369" i="1"/>
  <c r="B1370" i="1"/>
  <c r="C1370" i="1"/>
  <c r="B1371" i="1"/>
  <c r="C1371" i="1"/>
  <c r="B1372" i="1"/>
  <c r="C1372" i="1"/>
  <c r="B1373" i="1"/>
  <c r="C1373" i="1"/>
  <c r="B1376" i="1"/>
  <c r="C1376" i="1"/>
  <c r="B1377" i="1"/>
  <c r="C1377" i="1"/>
  <c r="B1380" i="1"/>
  <c r="C1380" i="1"/>
  <c r="B1381" i="1"/>
  <c r="C1381" i="1"/>
  <c r="B1384" i="1"/>
  <c r="C1384" i="1"/>
  <c r="B1385" i="1"/>
  <c r="C1385" i="1"/>
  <c r="B1388" i="1"/>
  <c r="C1388" i="1"/>
  <c r="B1391" i="1"/>
  <c r="C1391" i="1"/>
  <c r="B1394" i="1"/>
  <c r="C1394" i="1"/>
  <c r="B1397" i="1"/>
  <c r="C1397" i="1"/>
  <c r="B1400" i="1"/>
  <c r="C1400" i="1"/>
  <c r="B1401" i="1"/>
  <c r="C1401" i="1"/>
  <c r="B1402" i="1"/>
  <c r="C1402" i="1"/>
  <c r="B1405" i="1"/>
  <c r="C1405" i="1"/>
  <c r="B1408" i="1"/>
  <c r="C1408" i="1"/>
  <c r="B1411" i="1"/>
  <c r="C1411" i="1"/>
  <c r="B1414" i="1"/>
  <c r="C1414" i="1"/>
  <c r="B1415" i="1"/>
  <c r="C1415" i="1"/>
  <c r="B1416" i="1"/>
  <c r="C1416" i="1"/>
  <c r="B1417" i="1"/>
  <c r="C1417" i="1"/>
  <c r="B1420" i="1"/>
  <c r="C1420" i="1"/>
  <c r="B1421" i="1"/>
  <c r="C1421" i="1"/>
  <c r="B1422" i="1"/>
  <c r="C1422" i="1"/>
  <c r="B1425" i="1"/>
  <c r="C1425" i="1"/>
  <c r="B1426" i="1"/>
  <c r="C1426" i="1"/>
  <c r="B1427" i="1"/>
  <c r="C1427" i="1"/>
  <c r="B1428" i="1"/>
  <c r="C1428" i="1"/>
  <c r="B1429" i="1"/>
  <c r="C1429" i="1"/>
  <c r="B1432" i="1"/>
  <c r="C1432" i="1"/>
  <c r="B1433" i="1"/>
  <c r="C1433" i="1"/>
  <c r="B1434" i="1"/>
  <c r="C1434" i="1"/>
  <c r="B1437" i="1"/>
  <c r="C1437" i="1"/>
  <c r="B1440" i="1"/>
  <c r="C1440" i="1"/>
  <c r="B1441" i="1"/>
  <c r="C1441" i="1"/>
  <c r="B1444" i="1"/>
  <c r="C1444" i="1"/>
  <c r="B1445" i="1"/>
  <c r="C1445" i="1"/>
  <c r="B1446" i="1"/>
  <c r="C1446" i="1"/>
  <c r="B1447" i="1"/>
  <c r="C1447" i="1"/>
  <c r="B1448" i="1"/>
  <c r="C1448" i="1"/>
  <c r="B1449" i="1"/>
  <c r="C1449" i="1"/>
  <c r="B1452" i="1"/>
  <c r="C1452" i="1"/>
  <c r="B1455" i="1"/>
  <c r="C1455" i="1"/>
  <c r="B1456" i="1"/>
  <c r="C1456" i="1"/>
  <c r="B1457" i="1"/>
  <c r="C1457" i="1"/>
  <c r="B1460" i="1"/>
  <c r="C1460" i="1"/>
  <c r="B1461" i="1"/>
  <c r="C1461" i="1"/>
  <c r="B1464" i="1"/>
  <c r="C1464" i="1"/>
  <c r="B1467" i="1"/>
  <c r="C1467" i="1"/>
  <c r="B1470" i="1"/>
  <c r="C1470" i="1"/>
  <c r="B1471" i="1"/>
  <c r="C1471" i="1"/>
  <c r="B1472" i="1"/>
  <c r="C1472" i="1"/>
  <c r="B1475" i="1"/>
  <c r="C1475" i="1"/>
  <c r="B1478" i="1"/>
  <c r="C1478" i="1"/>
  <c r="B1479" i="1"/>
  <c r="C1479" i="1"/>
  <c r="B1480" i="1"/>
  <c r="C1480" i="1"/>
  <c r="B1483" i="1"/>
  <c r="C1483" i="1"/>
  <c r="B1484" i="1"/>
  <c r="C1484" i="1"/>
  <c r="B1485" i="1"/>
  <c r="C1485" i="1"/>
  <c r="B1486" i="1"/>
  <c r="C1486" i="1"/>
  <c r="B1487" i="1"/>
  <c r="C1487" i="1"/>
  <c r="B1488" i="1"/>
  <c r="C1488" i="1"/>
  <c r="B1489" i="1"/>
  <c r="C1489" i="1"/>
  <c r="B1490" i="1"/>
  <c r="C1490" i="1"/>
  <c r="B1491" i="1"/>
  <c r="C1491" i="1"/>
  <c r="B1492" i="1"/>
  <c r="C1492" i="1"/>
  <c r="B1493" i="1"/>
  <c r="C1493" i="1"/>
  <c r="B1494" i="1"/>
  <c r="C1494" i="1"/>
  <c r="B1495" i="1"/>
  <c r="C1495" i="1"/>
  <c r="B1496" i="1"/>
  <c r="C1496" i="1"/>
  <c r="B1499" i="1"/>
  <c r="C1499" i="1"/>
  <c r="B1500" i="1"/>
  <c r="C1500" i="1"/>
  <c r="B1501" i="1"/>
  <c r="C1501" i="1"/>
  <c r="B1504" i="1"/>
  <c r="C1504" i="1"/>
  <c r="B1507" i="1"/>
  <c r="C1507" i="1"/>
  <c r="B1508" i="1"/>
  <c r="C1508" i="1"/>
  <c r="B1511" i="1"/>
  <c r="C1511" i="1"/>
  <c r="B1512" i="1"/>
  <c r="C1512" i="1"/>
  <c r="B1513" i="1"/>
  <c r="C1513" i="1"/>
  <c r="B1514" i="1"/>
  <c r="C1514" i="1"/>
  <c r="B1515" i="1"/>
  <c r="C1515" i="1"/>
  <c r="B1516" i="1"/>
  <c r="C1516" i="1"/>
  <c r="B1517" i="1"/>
  <c r="C1517" i="1"/>
  <c r="B1520" i="1"/>
  <c r="C1520" i="1"/>
  <c r="B1521" i="1"/>
  <c r="C1521" i="1"/>
  <c r="B1524" i="1"/>
  <c r="C1524" i="1"/>
  <c r="B1525" i="1"/>
  <c r="C1525" i="1"/>
  <c r="B1526" i="1"/>
  <c r="C1526" i="1"/>
  <c r="B1527" i="1"/>
  <c r="C1527" i="1"/>
  <c r="B1528" i="1"/>
  <c r="C1528" i="1"/>
  <c r="B1531" i="1"/>
  <c r="C1531" i="1"/>
  <c r="B1534" i="1"/>
  <c r="C1534" i="1"/>
  <c r="B1535" i="1"/>
  <c r="C1535" i="1"/>
  <c r="B1538" i="1"/>
  <c r="C1538" i="1"/>
  <c r="B1539" i="1"/>
  <c r="C1539" i="1"/>
  <c r="B1542" i="1"/>
  <c r="C1542" i="1"/>
  <c r="B1545" i="1"/>
  <c r="C1545" i="1"/>
  <c r="B1548" i="1"/>
  <c r="C1548" i="1"/>
  <c r="B1549" i="1"/>
  <c r="C1549" i="1"/>
  <c r="B1552" i="1"/>
  <c r="C1552" i="1"/>
  <c r="B1553" i="1"/>
  <c r="C1553" i="1"/>
  <c r="B1554" i="1"/>
  <c r="C1554" i="1"/>
  <c r="B1555" i="1"/>
  <c r="C1555" i="1"/>
  <c r="B1556" i="1"/>
  <c r="C1556" i="1"/>
  <c r="B1557" i="1"/>
  <c r="C1557" i="1"/>
  <c r="B1558" i="1"/>
  <c r="C1558" i="1"/>
  <c r="B1559" i="1"/>
  <c r="C1559" i="1"/>
  <c r="B1560" i="1"/>
  <c r="C1560" i="1"/>
  <c r="B1561" i="1"/>
  <c r="C1561" i="1"/>
  <c r="B1564" i="1"/>
  <c r="C1564" i="1"/>
  <c r="B1565" i="1"/>
  <c r="C1565" i="1"/>
  <c r="B1566" i="1"/>
  <c r="C1566" i="1"/>
  <c r="B1567" i="1"/>
  <c r="C1567" i="1"/>
  <c r="B1568" i="1"/>
  <c r="C1568" i="1"/>
  <c r="B1569" i="1"/>
  <c r="C1569" i="1"/>
  <c r="B1570" i="1"/>
  <c r="C1570" i="1"/>
  <c r="B1571" i="1"/>
  <c r="C1571" i="1"/>
  <c r="B1574" i="1"/>
  <c r="C1574" i="1"/>
  <c r="B1577" i="1"/>
  <c r="C1577" i="1"/>
  <c r="B1578" i="1"/>
  <c r="C1578" i="1"/>
  <c r="B1581" i="1"/>
  <c r="C1581" i="1"/>
  <c r="B1584" i="1"/>
  <c r="C1584" i="1"/>
  <c r="B1587" i="1"/>
  <c r="C1587" i="1"/>
  <c r="B1590" i="1"/>
  <c r="C1590" i="1"/>
  <c r="B1593" i="1"/>
  <c r="C1593" i="1"/>
  <c r="B1594" i="1"/>
  <c r="C1594" i="1"/>
  <c r="B1595" i="1"/>
  <c r="C1595" i="1"/>
  <c r="B1598" i="1"/>
  <c r="C1598" i="1"/>
  <c r="B1601" i="1"/>
  <c r="C1601" i="1"/>
  <c r="B1602" i="1"/>
  <c r="C1602" i="1"/>
  <c r="B1603" i="1"/>
  <c r="C1603" i="1"/>
  <c r="B1604" i="1"/>
  <c r="C1604" i="1"/>
  <c r="B1607" i="1"/>
  <c r="C1607" i="1"/>
  <c r="B1608" i="1"/>
  <c r="C1608" i="1"/>
  <c r="B1611" i="1"/>
  <c r="C1611" i="1"/>
  <c r="B1612" i="1"/>
  <c r="C1612" i="1"/>
  <c r="B1613" i="1"/>
  <c r="C1613" i="1"/>
  <c r="B1616" i="1"/>
  <c r="C1616" i="1"/>
  <c r="B1617" i="1"/>
  <c r="C1617" i="1"/>
  <c r="B1620" i="1"/>
  <c r="C1620" i="1"/>
  <c r="B1623" i="1"/>
  <c r="C1623" i="1"/>
  <c r="B1624" i="1"/>
  <c r="C1624" i="1"/>
  <c r="B1625" i="1"/>
  <c r="C1625" i="1"/>
  <c r="B1626" i="1"/>
  <c r="C1626" i="1"/>
  <c r="B1627" i="1"/>
  <c r="C1627" i="1"/>
  <c r="B1628" i="1"/>
  <c r="C1628" i="1"/>
  <c r="B1631" i="1"/>
  <c r="C1631" i="1"/>
  <c r="B1632" i="1"/>
  <c r="C1632" i="1"/>
  <c r="B1633" i="1"/>
  <c r="C1633" i="1"/>
  <c r="B1634" i="1"/>
  <c r="C1634" i="1"/>
  <c r="B1635" i="1"/>
  <c r="C1635" i="1"/>
  <c r="B1636" i="1"/>
  <c r="C1636" i="1"/>
  <c r="B1637" i="1"/>
  <c r="C1637" i="1"/>
  <c r="B1638" i="1"/>
  <c r="C1638" i="1"/>
  <c r="B1641" i="1"/>
  <c r="C1641" i="1"/>
  <c r="B1642" i="1"/>
  <c r="C1642" i="1"/>
  <c r="B1645" i="1"/>
  <c r="C1645" i="1"/>
  <c r="B1648" i="1"/>
  <c r="C1648" i="1"/>
  <c r="B1649" i="1"/>
  <c r="C1649" i="1"/>
  <c r="B1650" i="1"/>
  <c r="C1650" i="1"/>
  <c r="B1653" i="1"/>
  <c r="C1653" i="1"/>
  <c r="B1654" i="1"/>
  <c r="C1654" i="1"/>
  <c r="B1655" i="1"/>
  <c r="C1655" i="1"/>
  <c r="B1656" i="1"/>
  <c r="C1656" i="1"/>
  <c r="B1659" i="1"/>
  <c r="C1659" i="1"/>
  <c r="B1660" i="1"/>
  <c r="C1660" i="1"/>
  <c r="B1661" i="1"/>
  <c r="C1661" i="1"/>
  <c r="B1664" i="1"/>
  <c r="C1664" i="1"/>
  <c r="B1665" i="1"/>
  <c r="C1665" i="1"/>
  <c r="B1666" i="1"/>
  <c r="C1666" i="1"/>
  <c r="B1667" i="1"/>
  <c r="C1667" i="1"/>
  <c r="B1668" i="1"/>
  <c r="C1668" i="1"/>
  <c r="B1671" i="1"/>
  <c r="C1671" i="1"/>
  <c r="B1672" i="1"/>
  <c r="C1672" i="1"/>
  <c r="B1675" i="1"/>
  <c r="C1675" i="1"/>
  <c r="B1678" i="1"/>
  <c r="C1678" i="1"/>
  <c r="B1679" i="1"/>
  <c r="C1679" i="1"/>
  <c r="B1682" i="1"/>
  <c r="C1682" i="1"/>
  <c r="B1683" i="1"/>
  <c r="C1683" i="1"/>
  <c r="B1686" i="1"/>
  <c r="C1686" i="1"/>
  <c r="B1687" i="1"/>
  <c r="C1687" i="1"/>
  <c r="B1690" i="1"/>
  <c r="C1690" i="1"/>
  <c r="B1691" i="1"/>
  <c r="C1691" i="1"/>
  <c r="B1692" i="1"/>
  <c r="C1692" i="1"/>
  <c r="B1695" i="1"/>
  <c r="C1695" i="1"/>
  <c r="B1696" i="1"/>
  <c r="C1696" i="1"/>
  <c r="B1697" i="1"/>
  <c r="C1697" i="1"/>
  <c r="B1698" i="1"/>
  <c r="C1698" i="1"/>
  <c r="B1701" i="1"/>
  <c r="C1701" i="1"/>
  <c r="B1702" i="1"/>
  <c r="C1702" i="1"/>
  <c r="B1703" i="1"/>
  <c r="C1703" i="1"/>
  <c r="B1704" i="1"/>
  <c r="C1704" i="1"/>
  <c r="B1707" i="1"/>
  <c r="C1707" i="1"/>
  <c r="B1708" i="1"/>
  <c r="C1708" i="1"/>
  <c r="B1709" i="1"/>
  <c r="C1709" i="1"/>
  <c r="B1712" i="1"/>
  <c r="C1712" i="1"/>
  <c r="B1713" i="1"/>
  <c r="C1713" i="1"/>
  <c r="B1716" i="1"/>
  <c r="C1716" i="1"/>
  <c r="B1719" i="1"/>
  <c r="C1719" i="1"/>
  <c r="B1720" i="1"/>
  <c r="C1720" i="1"/>
  <c r="B1723" i="1"/>
  <c r="C1723" i="1"/>
  <c r="B1726" i="1"/>
  <c r="C1726" i="1"/>
  <c r="B1729" i="1"/>
  <c r="C1729" i="1"/>
  <c r="B1730" i="1"/>
  <c r="C1730" i="1"/>
  <c r="B1731" i="1"/>
  <c r="C1731" i="1"/>
  <c r="B1732" i="1"/>
  <c r="C1732" i="1"/>
  <c r="B1733" i="1"/>
  <c r="C1733" i="1"/>
  <c r="B1736" i="1"/>
  <c r="C1736" i="1"/>
  <c r="B1737" i="1"/>
  <c r="C1737" i="1"/>
  <c r="B1738" i="1"/>
  <c r="C1738" i="1"/>
  <c r="B1739" i="1"/>
  <c r="C1739" i="1"/>
  <c r="B1740" i="1"/>
  <c r="C1740" i="1"/>
  <c r="B1743" i="1"/>
  <c r="C1743" i="1"/>
  <c r="B1744" i="1"/>
  <c r="C1744" i="1"/>
  <c r="B1747" i="1"/>
  <c r="C1747" i="1"/>
  <c r="B1750" i="1"/>
  <c r="C1750" i="1"/>
  <c r="B1751" i="1"/>
  <c r="C1751" i="1"/>
  <c r="B1752" i="1"/>
  <c r="C1752" i="1"/>
  <c r="B1753" i="1"/>
  <c r="C1753" i="1"/>
  <c r="B1756" i="1"/>
  <c r="C1756" i="1"/>
  <c r="B1759" i="1"/>
  <c r="C1759" i="1"/>
  <c r="B1760" i="1"/>
  <c r="C1760" i="1"/>
  <c r="B1761" i="1"/>
  <c r="C1761" i="1"/>
  <c r="B1764" i="1"/>
  <c r="C1764" i="1"/>
  <c r="B1765" i="1"/>
  <c r="C1765" i="1"/>
  <c r="B1766" i="1"/>
  <c r="C1766" i="1"/>
  <c r="B1767" i="1"/>
  <c r="C1767" i="1"/>
  <c r="B1768" i="1"/>
  <c r="C1768" i="1"/>
  <c r="B1769" i="1"/>
  <c r="C1769" i="1"/>
  <c r="B1772" i="1"/>
  <c r="C1772" i="1"/>
  <c r="B1773" i="1"/>
  <c r="C1773" i="1"/>
  <c r="B1774" i="1"/>
  <c r="C1774" i="1"/>
  <c r="B1775" i="1"/>
  <c r="C1775" i="1"/>
  <c r="B1776" i="1"/>
  <c r="C1776" i="1"/>
  <c r="B1777" i="1"/>
  <c r="C1777" i="1"/>
  <c r="B1780" i="1"/>
  <c r="C1780" i="1"/>
  <c r="B1783" i="1"/>
  <c r="C1783" i="1"/>
  <c r="B1786" i="1"/>
  <c r="C1786" i="1"/>
  <c r="B1787" i="1"/>
  <c r="C1787" i="1"/>
  <c r="B1790" i="1"/>
  <c r="C1790" i="1"/>
  <c r="B1791" i="1"/>
  <c r="C1791" i="1"/>
  <c r="B1792" i="1"/>
  <c r="C1792" i="1"/>
  <c r="B1795" i="1"/>
  <c r="C1795" i="1"/>
  <c r="B1796" i="1"/>
  <c r="C1796" i="1"/>
  <c r="B1799" i="1"/>
  <c r="C1799" i="1"/>
  <c r="B1802" i="1"/>
  <c r="C1802" i="1"/>
  <c r="B1803" i="1"/>
  <c r="C1803" i="1"/>
  <c r="B1804" i="1"/>
  <c r="C1804" i="1"/>
  <c r="B1805" i="1"/>
  <c r="C1805" i="1"/>
  <c r="B1806" i="1"/>
  <c r="C1806" i="1"/>
  <c r="B1809" i="1"/>
  <c r="C1809" i="1"/>
  <c r="B1812" i="1"/>
  <c r="C1812" i="1"/>
  <c r="B1813" i="1"/>
  <c r="C1813" i="1"/>
  <c r="B1816" i="1"/>
  <c r="C1816" i="1"/>
  <c r="B1819" i="1"/>
  <c r="C1819" i="1"/>
  <c r="B1820" i="1"/>
  <c r="C1820" i="1"/>
  <c r="B1821" i="1"/>
  <c r="C1821" i="1"/>
  <c r="B1822" i="1"/>
  <c r="C1822" i="1"/>
  <c r="B1823" i="1"/>
  <c r="C1823" i="1"/>
  <c r="B1824" i="1"/>
  <c r="C1824" i="1"/>
  <c r="B1825" i="1"/>
  <c r="C1825" i="1"/>
  <c r="B1826" i="1"/>
  <c r="C1826" i="1"/>
  <c r="B1827" i="1"/>
  <c r="C1827" i="1"/>
  <c r="B1830" i="1"/>
  <c r="C1830" i="1"/>
  <c r="B1831" i="1"/>
  <c r="C1831" i="1"/>
  <c r="B1832" i="1"/>
  <c r="C1832" i="1"/>
  <c r="B1835" i="1"/>
  <c r="C1835" i="1"/>
  <c r="B1836" i="1"/>
  <c r="C1836" i="1"/>
  <c r="B1839" i="1"/>
  <c r="C1839" i="1"/>
  <c r="B1842" i="1"/>
  <c r="C1842" i="1"/>
  <c r="B1843" i="1"/>
  <c r="C1843" i="1"/>
  <c r="B1844" i="1"/>
  <c r="C1844" i="1"/>
  <c r="B1845" i="1"/>
  <c r="C1845" i="1"/>
  <c r="B1848" i="1"/>
  <c r="C1848" i="1"/>
  <c r="B1851" i="1"/>
  <c r="C1851" i="1"/>
  <c r="B1852" i="1"/>
  <c r="C1852" i="1"/>
  <c r="B1855" i="1"/>
  <c r="C1855" i="1"/>
  <c r="B1856" i="1"/>
  <c r="C1856" i="1"/>
  <c r="B1857" i="1"/>
  <c r="C1857" i="1"/>
  <c r="B1858" i="1"/>
  <c r="C1858" i="1"/>
  <c r="B1859" i="1"/>
  <c r="C1859" i="1"/>
  <c r="B1862" i="1"/>
  <c r="C1862" i="1"/>
  <c r="B1865" i="1"/>
  <c r="C1865" i="1"/>
  <c r="B1868" i="1"/>
  <c r="C1868" i="1"/>
  <c r="B1871" i="1"/>
  <c r="C1871" i="1"/>
  <c r="B1872" i="1"/>
  <c r="C1872" i="1"/>
  <c r="B1875" i="1"/>
  <c r="C1875" i="1"/>
  <c r="B1878" i="1"/>
  <c r="C1878" i="1"/>
  <c r="B1879" i="1"/>
  <c r="C1879" i="1"/>
  <c r="B1880" i="1"/>
  <c r="C1880" i="1"/>
  <c r="B1881" i="1"/>
  <c r="C1881" i="1"/>
  <c r="B1884" i="1"/>
  <c r="C1884" i="1"/>
  <c r="B1885" i="1"/>
  <c r="C1885" i="1"/>
  <c r="B1886" i="1"/>
  <c r="C1886" i="1"/>
  <c r="B1887" i="1"/>
  <c r="C1887" i="1"/>
  <c r="B1890" i="1"/>
  <c r="C1890" i="1"/>
  <c r="B1891" i="1"/>
  <c r="C1891" i="1"/>
  <c r="B1892" i="1"/>
  <c r="C1892" i="1"/>
  <c r="B1893" i="1"/>
  <c r="C1893" i="1"/>
  <c r="B1894" i="1"/>
  <c r="C1894" i="1"/>
  <c r="B1895" i="1"/>
  <c r="C1895" i="1"/>
  <c r="B1896" i="1"/>
  <c r="C1896" i="1"/>
  <c r="B1897" i="1"/>
  <c r="C1897" i="1"/>
  <c r="B1898" i="1"/>
  <c r="C1898" i="1"/>
  <c r="B1899" i="1"/>
  <c r="C1899" i="1"/>
  <c r="B1900" i="1"/>
  <c r="C1900" i="1"/>
  <c r="B1901" i="1"/>
  <c r="C1901" i="1"/>
  <c r="B1904" i="1"/>
  <c r="C1904" i="1"/>
  <c r="B1905" i="1"/>
  <c r="C1905" i="1"/>
  <c r="B1906" i="1"/>
  <c r="C1906" i="1"/>
  <c r="B1907" i="1"/>
  <c r="C1907" i="1"/>
  <c r="B1908" i="1"/>
  <c r="C1908" i="1"/>
  <c r="B1909" i="1"/>
  <c r="C1909" i="1"/>
  <c r="B1912" i="1"/>
  <c r="C1912" i="1"/>
  <c r="B1913" i="1"/>
  <c r="C1913" i="1"/>
  <c r="B1914" i="1"/>
  <c r="C1914" i="1"/>
  <c r="B1915" i="1"/>
  <c r="C1915" i="1"/>
  <c r="B1916" i="1"/>
  <c r="C1916" i="1"/>
  <c r="B1917" i="1"/>
  <c r="C1917" i="1"/>
  <c r="B1918" i="1"/>
  <c r="C1918" i="1"/>
  <c r="B1921" i="1"/>
  <c r="C1921" i="1"/>
  <c r="B1922" i="1"/>
  <c r="C1922" i="1"/>
  <c r="B1923" i="1"/>
  <c r="C1923" i="1"/>
  <c r="B1924" i="1"/>
  <c r="C1924" i="1"/>
  <c r="B1925" i="1"/>
  <c r="C1925" i="1"/>
  <c r="B1926" i="1"/>
  <c r="C1926" i="1"/>
  <c r="B1927" i="1"/>
  <c r="C1927" i="1"/>
  <c r="B1930" i="1"/>
  <c r="C1930" i="1"/>
  <c r="B1931" i="1"/>
  <c r="C1931" i="1"/>
  <c r="B1932" i="1"/>
  <c r="C1932" i="1"/>
  <c r="B1933" i="1"/>
  <c r="C1933" i="1"/>
  <c r="B1934" i="1"/>
  <c r="C1934" i="1"/>
  <c r="B1935" i="1"/>
  <c r="C1935" i="1"/>
  <c r="B1936" i="1"/>
  <c r="C1936" i="1"/>
  <c r="B1937" i="1"/>
  <c r="C1937" i="1"/>
  <c r="B1938" i="1"/>
  <c r="C1938" i="1"/>
  <c r="B1941" i="1"/>
  <c r="C1941" i="1"/>
  <c r="B1942" i="1"/>
  <c r="C1942" i="1"/>
  <c r="B1945" i="1"/>
  <c r="C1945" i="1"/>
  <c r="B1946" i="1"/>
  <c r="C1946" i="1"/>
  <c r="B1947" i="1"/>
  <c r="C1947" i="1"/>
  <c r="B1948" i="1"/>
  <c r="C1948" i="1"/>
  <c r="B1949" i="1"/>
  <c r="C1949" i="1"/>
  <c r="B1950" i="1"/>
  <c r="C1950" i="1"/>
  <c r="B1953" i="1"/>
  <c r="C1953" i="1"/>
  <c r="B1956" i="1"/>
  <c r="C1956" i="1"/>
  <c r="B1959" i="1"/>
  <c r="C1959" i="1"/>
  <c r="B1960" i="1"/>
  <c r="C1960" i="1"/>
  <c r="B1961" i="1"/>
  <c r="C1961" i="1"/>
  <c r="B1962" i="1"/>
  <c r="C1962" i="1"/>
  <c r="B1963" i="1"/>
  <c r="C1963" i="1"/>
  <c r="B1964" i="1"/>
  <c r="C1964" i="1"/>
  <c r="B1965" i="1"/>
  <c r="C1965" i="1"/>
  <c r="B1966" i="1"/>
  <c r="C1966" i="1"/>
  <c r="B1967" i="1"/>
  <c r="C1967" i="1"/>
  <c r="B1968" i="1"/>
  <c r="C1968" i="1"/>
  <c r="B1971" i="1"/>
  <c r="C1971" i="1"/>
  <c r="B1974" i="1"/>
  <c r="C1974" i="1"/>
  <c r="B1975" i="1"/>
  <c r="C1975" i="1"/>
  <c r="B1976" i="1"/>
  <c r="C1976" i="1"/>
  <c r="B1977" i="1"/>
  <c r="C1977" i="1"/>
  <c r="B1978" i="1"/>
  <c r="C1978" i="1"/>
  <c r="B1979" i="1"/>
  <c r="C1979" i="1"/>
  <c r="B1980" i="1"/>
  <c r="C1980" i="1"/>
  <c r="B1981" i="1"/>
  <c r="C1981" i="1"/>
  <c r="B1982" i="1"/>
  <c r="C1982" i="1"/>
  <c r="B1983" i="1"/>
  <c r="C1983" i="1"/>
  <c r="B1984" i="1"/>
  <c r="C1984" i="1"/>
  <c r="B1987" i="1"/>
  <c r="C1987" i="1"/>
  <c r="B1988" i="1"/>
  <c r="C1988" i="1"/>
  <c r="B1991" i="1"/>
  <c r="C1991" i="1"/>
  <c r="B1994" i="1"/>
  <c r="C1994" i="1"/>
  <c r="B1995" i="1"/>
  <c r="C1995" i="1"/>
  <c r="B1998" i="1"/>
  <c r="C1998" i="1"/>
  <c r="B2001" i="1"/>
  <c r="C2001" i="1"/>
  <c r="B2002" i="1"/>
  <c r="C2002" i="1"/>
  <c r="B2005" i="1"/>
  <c r="C2005" i="1"/>
  <c r="B2006" i="1"/>
  <c r="C2006" i="1"/>
  <c r="B2007" i="1"/>
  <c r="C2007" i="1"/>
  <c r="B2008" i="1"/>
  <c r="C2008" i="1"/>
  <c r="B2010" i="1"/>
  <c r="C2010" i="1"/>
  <c r="B2013" i="1"/>
  <c r="C2013" i="1"/>
  <c r="B2016" i="1"/>
  <c r="C2016" i="1"/>
  <c r="B2017" i="1"/>
  <c r="C2017" i="1"/>
  <c r="B2020" i="1"/>
  <c r="C2020" i="1"/>
  <c r="B2021" i="1"/>
  <c r="C2021" i="1"/>
  <c r="B2024" i="1"/>
  <c r="C2024" i="1"/>
  <c r="B2027" i="1"/>
  <c r="C2027" i="1"/>
  <c r="B2028" i="1"/>
  <c r="C2028" i="1"/>
  <c r="B2029" i="1"/>
  <c r="C2029" i="1"/>
  <c r="B2030" i="1"/>
  <c r="C2030" i="1"/>
  <c r="B2031" i="1"/>
  <c r="C2031" i="1"/>
  <c r="B2032" i="1"/>
  <c r="C2032" i="1"/>
  <c r="B2033" i="1"/>
  <c r="C2033" i="1"/>
  <c r="B2034" i="1"/>
  <c r="C2034" i="1"/>
  <c r="B2037" i="1"/>
  <c r="C2037" i="1"/>
  <c r="B2040" i="1"/>
  <c r="C2040" i="1"/>
  <c r="B2041" i="1"/>
  <c r="C2041" i="1"/>
  <c r="B2044" i="1"/>
  <c r="C2044" i="1"/>
  <c r="B2047" i="1"/>
  <c r="C2047" i="1"/>
  <c r="B2050" i="1"/>
  <c r="C2050" i="1"/>
  <c r="B2051" i="1"/>
  <c r="C2051" i="1"/>
  <c r="B2052" i="1"/>
  <c r="C2052" i="1"/>
  <c r="B2053" i="1"/>
  <c r="C2053" i="1"/>
  <c r="B2054" i="1"/>
  <c r="C2054" i="1"/>
  <c r="B2057" i="1"/>
  <c r="C2057" i="1"/>
  <c r="B2058" i="1"/>
  <c r="C2058" i="1"/>
  <c r="B2059" i="1"/>
  <c r="C2059" i="1"/>
  <c r="B2060" i="1"/>
  <c r="C2060" i="1"/>
  <c r="B2061" i="1"/>
  <c r="C2061" i="1"/>
  <c r="B2062" i="1"/>
  <c r="C2062" i="1"/>
  <c r="B2065" i="1"/>
  <c r="C2065" i="1"/>
  <c r="B2066" i="1"/>
  <c r="C2066" i="1"/>
  <c r="B2069" i="1"/>
  <c r="C2069" i="1"/>
  <c r="B2070" i="1"/>
  <c r="C2070" i="1"/>
  <c r="B2071" i="1"/>
  <c r="C2071" i="1"/>
  <c r="B2074" i="1"/>
  <c r="C2074" i="1"/>
  <c r="B2075" i="1"/>
  <c r="C2075" i="1"/>
  <c r="B2076" i="1"/>
  <c r="C2076" i="1"/>
  <c r="B2079" i="1"/>
  <c r="C2079" i="1"/>
  <c r="B2080" i="1"/>
  <c r="C2080" i="1"/>
  <c r="B2083" i="1"/>
  <c r="C2083" i="1"/>
  <c r="B2084" i="1"/>
  <c r="C2084" i="1"/>
  <c r="B2085" i="1"/>
  <c r="C2085" i="1"/>
  <c r="B2086" i="1"/>
  <c r="C2086" i="1"/>
</calcChain>
</file>

<file path=xl/sharedStrings.xml><?xml version="1.0" encoding="utf-8"?>
<sst xmlns="http://schemas.openxmlformats.org/spreadsheetml/2006/main" count="9200" uniqueCount="460">
  <si>
    <t>Wisconsin Department of Revenue</t>
  </si>
  <si>
    <t>TID304WI</t>
  </si>
  <si>
    <t>2018 Tax Incremental Financing (TIF) Value Limitation Report</t>
  </si>
  <si>
    <t>Date:  08-09-2018</t>
  </si>
  <si>
    <t>Time:  12:08 PM</t>
  </si>
  <si>
    <t xml:space="preserve">                                                   </t>
  </si>
  <si>
    <t xml:space="preserve">TID      </t>
  </si>
  <si>
    <t xml:space="preserve">          </t>
  </si>
  <si>
    <t xml:space="preserve">     </t>
  </si>
  <si>
    <t xml:space="preserve">        2018 TID</t>
  </si>
  <si>
    <t xml:space="preserve">2018 TID                                </t>
  </si>
  <si>
    <t xml:space="preserve">  </t>
  </si>
  <si>
    <t xml:space="preserve">    2018 Total Muni</t>
  </si>
  <si>
    <t xml:space="preserve">         </t>
  </si>
  <si>
    <t xml:space="preserve">Co-muni  </t>
  </si>
  <si>
    <t xml:space="preserve">Base </t>
  </si>
  <si>
    <t xml:space="preserve">         Current</t>
  </si>
  <si>
    <t xml:space="preserve">Value                                   </t>
  </si>
  <si>
    <t xml:space="preserve">          Equalized</t>
  </si>
  <si>
    <t xml:space="preserve">Municipality                                       </t>
  </si>
  <si>
    <t xml:space="preserve">Code     </t>
  </si>
  <si>
    <t xml:space="preserve">TID No.   </t>
  </si>
  <si>
    <t xml:space="preserve">Year </t>
  </si>
  <si>
    <t xml:space="preserve">           Value</t>
  </si>
  <si>
    <t xml:space="preserve">Increment                               </t>
  </si>
  <si>
    <t xml:space="preserve">              Value</t>
  </si>
  <si>
    <t xml:space="preserve">  5% Test</t>
  </si>
  <si>
    <t xml:space="preserve">  7% Test</t>
  </si>
  <si>
    <t xml:space="preserve"> 12% Test</t>
  </si>
  <si>
    <t>---------------------------------------------------</t>
  </si>
  <si>
    <t>---------</t>
  </si>
  <si>
    <t>----------</t>
  </si>
  <si>
    <t>-----</t>
  </si>
  <si>
    <t>----------------</t>
  </si>
  <si>
    <t>----------------------------------------</t>
  </si>
  <si>
    <t>--</t>
  </si>
  <si>
    <t>-------------------</t>
  </si>
  <si>
    <t xml:space="preserve">Abbotsford                                         </t>
  </si>
  <si>
    <t xml:space="preserve">                   </t>
  </si>
  <si>
    <t xml:space="preserve">        Municipal Totals                           </t>
  </si>
  <si>
    <t xml:space="preserve">Adams                                              </t>
  </si>
  <si>
    <t xml:space="preserve">Albany                                             </t>
  </si>
  <si>
    <t xml:space="preserve">Algoma                                             </t>
  </si>
  <si>
    <t xml:space="preserve">* </t>
  </si>
  <si>
    <t xml:space="preserve">Allouez                                            </t>
  </si>
  <si>
    <t xml:space="preserve">Alma                                               </t>
  </si>
  <si>
    <t xml:space="preserve">Almena                                             </t>
  </si>
  <si>
    <t xml:space="preserve">Altoona                                            </t>
  </si>
  <si>
    <t xml:space="preserve">Amery                                              </t>
  </si>
  <si>
    <t xml:space="preserve">Amherst                                            </t>
  </si>
  <si>
    <t xml:space="preserve">Antigo                                             </t>
  </si>
  <si>
    <t xml:space="preserve">Appleton                                           </t>
  </si>
  <si>
    <t xml:space="preserve">Arcadia                                            </t>
  </si>
  <si>
    <t xml:space="preserve">Arena                                              </t>
  </si>
  <si>
    <t xml:space="preserve">Argyle                                             </t>
  </si>
  <si>
    <t xml:space="preserve">Arlington                                          </t>
  </si>
  <si>
    <t xml:space="preserve">Ashland                                            </t>
  </si>
  <si>
    <t xml:space="preserve">Ashwaubenon                                        </t>
  </si>
  <si>
    <t xml:space="preserve">Athens                                             </t>
  </si>
  <si>
    <t xml:space="preserve">Auburndale                                         </t>
  </si>
  <si>
    <t xml:space="preserve">Augusta                                            </t>
  </si>
  <si>
    <t xml:space="preserve">Avoca                                              </t>
  </si>
  <si>
    <t xml:space="preserve">Baldwin                                            </t>
  </si>
  <si>
    <t xml:space="preserve">Balsam Lake                                        </t>
  </si>
  <si>
    <t xml:space="preserve">Bangor                                             </t>
  </si>
  <si>
    <t xml:space="preserve">Baraboo                                            </t>
  </si>
  <si>
    <t xml:space="preserve">Barneveld                                          </t>
  </si>
  <si>
    <t xml:space="preserve">Barron                                             </t>
  </si>
  <si>
    <t xml:space="preserve">Beaver Dam                                         </t>
  </si>
  <si>
    <t xml:space="preserve">Belgium                                            </t>
  </si>
  <si>
    <t xml:space="preserve">Belleville                                         </t>
  </si>
  <si>
    <t xml:space="preserve">Bellevue                                           </t>
  </si>
  <si>
    <t xml:space="preserve">Belmont                                            </t>
  </si>
  <si>
    <t xml:space="preserve">Beloit                                             </t>
  </si>
  <si>
    <t xml:space="preserve">Berlin                                             </t>
  </si>
  <si>
    <t xml:space="preserve">Big Bend                                           </t>
  </si>
  <si>
    <t xml:space="preserve">Birchwood                                          </t>
  </si>
  <si>
    <t xml:space="preserve">Birnamwood                                         </t>
  </si>
  <si>
    <t xml:space="preserve">Biron                                              </t>
  </si>
  <si>
    <t xml:space="preserve">Black Creek                                        </t>
  </si>
  <si>
    <t xml:space="preserve">Black Earth                                        </t>
  </si>
  <si>
    <t xml:space="preserve">Black River Falls                                  </t>
  </si>
  <si>
    <t xml:space="preserve">Blair                                              </t>
  </si>
  <si>
    <t xml:space="preserve">Bloomer                                            </t>
  </si>
  <si>
    <t xml:space="preserve">Blue Mounds                                        </t>
  </si>
  <si>
    <t xml:space="preserve">Bonduel                                            </t>
  </si>
  <si>
    <t xml:space="preserve">Boscobel                                           </t>
  </si>
  <si>
    <t xml:space="preserve">Bowler                                             </t>
  </si>
  <si>
    <t xml:space="preserve">Boyceville                                         </t>
  </si>
  <si>
    <t xml:space="preserve">Boyd                                               </t>
  </si>
  <si>
    <t xml:space="preserve">Brandon                                            </t>
  </si>
  <si>
    <t xml:space="preserve">Brillion                                           </t>
  </si>
  <si>
    <t xml:space="preserve">Brodhead                                           </t>
  </si>
  <si>
    <t xml:space="preserve">Brokaw                                             </t>
  </si>
  <si>
    <t xml:space="preserve">Brookfield                                         </t>
  </si>
  <si>
    <t xml:space="preserve">Brooklyn                                           </t>
  </si>
  <si>
    <t xml:space="preserve">Brown Deer                                         </t>
  </si>
  <si>
    <t xml:space="preserve">Bruce                                              </t>
  </si>
  <si>
    <t xml:space="preserve">Burlington                                         </t>
  </si>
  <si>
    <t xml:space="preserve">Cadott                                             </t>
  </si>
  <si>
    <t xml:space="preserve">Caledonia                                          </t>
  </si>
  <si>
    <t xml:space="preserve">Cambridge                                          </t>
  </si>
  <si>
    <t xml:space="preserve">Cameron                                            </t>
  </si>
  <si>
    <t xml:space="preserve">Camp Douglas                                       </t>
  </si>
  <si>
    <t xml:space="preserve">Campbellsport                                      </t>
  </si>
  <si>
    <t xml:space="preserve">Cascade                                            </t>
  </si>
  <si>
    <t xml:space="preserve">Cashton                                            </t>
  </si>
  <si>
    <t xml:space="preserve">Cedar Grove                                        </t>
  </si>
  <si>
    <t xml:space="preserve">Cedarburg                                          </t>
  </si>
  <si>
    <t xml:space="preserve">Centuria                                           </t>
  </si>
  <si>
    <t xml:space="preserve">Chetek                                             </t>
  </si>
  <si>
    <t xml:space="preserve">Chilton                                            </t>
  </si>
  <si>
    <t xml:space="preserve">Chippewa Falls                                     </t>
  </si>
  <si>
    <t xml:space="preserve">Clayton                                            </t>
  </si>
  <si>
    <t xml:space="preserve">Clear Lake                                         </t>
  </si>
  <si>
    <t xml:space="preserve">Cleveland                                          </t>
  </si>
  <si>
    <t xml:space="preserve">Clinton                                            </t>
  </si>
  <si>
    <t xml:space="preserve">Colby                                              </t>
  </si>
  <si>
    <t xml:space="preserve">Coleman                                            </t>
  </si>
  <si>
    <t xml:space="preserve">Colfax                                             </t>
  </si>
  <si>
    <t xml:space="preserve">Coloma                                             </t>
  </si>
  <si>
    <t xml:space="preserve">Columbus                                           </t>
  </si>
  <si>
    <t xml:space="preserve">Combined Locks                                     </t>
  </si>
  <si>
    <t xml:space="preserve">Cottage Grove                                      </t>
  </si>
  <si>
    <t xml:space="preserve">Crandon                                            </t>
  </si>
  <si>
    <t xml:space="preserve">Crivitz                                            </t>
  </si>
  <si>
    <t xml:space="preserve">Cross Plains                                       </t>
  </si>
  <si>
    <t xml:space="preserve">Cuba City                                          </t>
  </si>
  <si>
    <t xml:space="preserve">Cudahy                                             </t>
  </si>
  <si>
    <t xml:space="preserve">Cumberland                                         </t>
  </si>
  <si>
    <t xml:space="preserve">Dallas                                             </t>
  </si>
  <si>
    <t xml:space="preserve">Dane                                               </t>
  </si>
  <si>
    <t xml:space="preserve">Darien                                             </t>
  </si>
  <si>
    <t xml:space="preserve">Darlington                                         </t>
  </si>
  <si>
    <t xml:space="preserve">De Pere                                            </t>
  </si>
  <si>
    <t xml:space="preserve">De Soto                                            </t>
  </si>
  <si>
    <t xml:space="preserve">Deerfield                                          </t>
  </si>
  <si>
    <t xml:space="preserve">Deforest                                           </t>
  </si>
  <si>
    <t xml:space="preserve">Delafield                                          </t>
  </si>
  <si>
    <t xml:space="preserve">Delavan                                            </t>
  </si>
  <si>
    <t xml:space="preserve">Dickeyville                                        </t>
  </si>
  <si>
    <t xml:space="preserve">Dodgeville                                         </t>
  </si>
  <si>
    <t xml:space="preserve">Dorchester                                         </t>
  </si>
  <si>
    <t xml:space="preserve">Durand                                             </t>
  </si>
  <si>
    <t xml:space="preserve">Eagle River                                        </t>
  </si>
  <si>
    <t xml:space="preserve">East Troy                                          </t>
  </si>
  <si>
    <t xml:space="preserve">Eau Claire                                         </t>
  </si>
  <si>
    <t xml:space="preserve">Edgar                                              </t>
  </si>
  <si>
    <t xml:space="preserve">Edgerton                                           </t>
  </si>
  <si>
    <t xml:space="preserve">Elba                                               </t>
  </si>
  <si>
    <t xml:space="preserve">Elk Mound                                          </t>
  </si>
  <si>
    <t xml:space="preserve">Elkhart Lake                                       </t>
  </si>
  <si>
    <t xml:space="preserve">Elkhorn                                            </t>
  </si>
  <si>
    <t xml:space="preserve">Ellsworth                                          </t>
  </si>
  <si>
    <t xml:space="preserve">Elm Grove                                          </t>
  </si>
  <si>
    <t xml:space="preserve">Elmwood                                            </t>
  </si>
  <si>
    <t xml:space="preserve">Elroy                                              </t>
  </si>
  <si>
    <t xml:space="preserve">Endeavor                                           </t>
  </si>
  <si>
    <t xml:space="preserve">Evansville                                         </t>
  </si>
  <si>
    <t xml:space="preserve">Fairwater                                          </t>
  </si>
  <si>
    <t xml:space="preserve">Fall Creek                                         </t>
  </si>
  <si>
    <t xml:space="preserve">Fennimore                                          </t>
  </si>
  <si>
    <t xml:space="preserve">Ferryville                                         </t>
  </si>
  <si>
    <t xml:space="preserve">Fitchburg                                          </t>
  </si>
  <si>
    <t xml:space="preserve">Florence                                           </t>
  </si>
  <si>
    <t xml:space="preserve">Fond Du Lac                                        </t>
  </si>
  <si>
    <t xml:space="preserve">Fontana                                            </t>
  </si>
  <si>
    <t xml:space="preserve">Footville                                          </t>
  </si>
  <si>
    <t xml:space="preserve">Fort Atkinson                                      </t>
  </si>
  <si>
    <t xml:space="preserve">Fox Crossing                                       </t>
  </si>
  <si>
    <t xml:space="preserve">Fox Lake                                           </t>
  </si>
  <si>
    <t xml:space="preserve">Francis Creek                                      </t>
  </si>
  <si>
    <t xml:space="preserve">Franklin                                           </t>
  </si>
  <si>
    <t xml:space="preserve">Frederic                                           </t>
  </si>
  <si>
    <t xml:space="preserve">Freedom                                            </t>
  </si>
  <si>
    <t xml:space="preserve">Friendship                                         </t>
  </si>
  <si>
    <t xml:space="preserve">Friesland                                          </t>
  </si>
  <si>
    <t xml:space="preserve">Galesville                                         </t>
  </si>
  <si>
    <t xml:space="preserve">Gays Mills                                         </t>
  </si>
  <si>
    <t xml:space="preserve">Germantown                                         </t>
  </si>
  <si>
    <t xml:space="preserve">Gillett                                            </t>
  </si>
  <si>
    <t xml:space="preserve">Gilman                                             </t>
  </si>
  <si>
    <t xml:space="preserve">Glenbeulah                                         </t>
  </si>
  <si>
    <t xml:space="preserve">Glendale                                           </t>
  </si>
  <si>
    <t xml:space="preserve">Glenwood City                                      </t>
  </si>
  <si>
    <t xml:space="preserve">Grafton                                            </t>
  </si>
  <si>
    <t xml:space="preserve">Grand Chute                                        </t>
  </si>
  <si>
    <t xml:space="preserve">Granton                                            </t>
  </si>
  <si>
    <t xml:space="preserve">Grantsburg                                         </t>
  </si>
  <si>
    <t xml:space="preserve">Gratiot                                            </t>
  </si>
  <si>
    <t xml:space="preserve">Green Bay                                          </t>
  </si>
  <si>
    <t xml:space="preserve">Green Lake                                         </t>
  </si>
  <si>
    <t xml:space="preserve">Greendale                                          </t>
  </si>
  <si>
    <t xml:space="preserve">Greenfield                                         </t>
  </si>
  <si>
    <t xml:space="preserve">Greenville                                         </t>
  </si>
  <si>
    <t xml:space="preserve">Greenwood                                          </t>
  </si>
  <si>
    <t xml:space="preserve">Gresham                                            </t>
  </si>
  <si>
    <t xml:space="preserve">Hales Corners                                      </t>
  </si>
  <si>
    <t xml:space="preserve">Hammond                                            </t>
  </si>
  <si>
    <t xml:space="preserve">Hancock                                            </t>
  </si>
  <si>
    <t xml:space="preserve">Harrison                                           </t>
  </si>
  <si>
    <t xml:space="preserve">Hartford                                           </t>
  </si>
  <si>
    <t xml:space="preserve">Hartland                                           </t>
  </si>
  <si>
    <t xml:space="preserve">Hatley                                             </t>
  </si>
  <si>
    <t xml:space="preserve">Hawkins                                            </t>
  </si>
  <si>
    <t xml:space="preserve">Hazel Green                                        </t>
  </si>
  <si>
    <t xml:space="preserve">Highland                                           </t>
  </si>
  <si>
    <t xml:space="preserve">Hilbert                                            </t>
  </si>
  <si>
    <t xml:space="preserve">Hillsboro                                          </t>
  </si>
  <si>
    <t xml:space="preserve">Hixton                                             </t>
  </si>
  <si>
    <t xml:space="preserve">Hobart                                             </t>
  </si>
  <si>
    <t xml:space="preserve">Holmen                                             </t>
  </si>
  <si>
    <t xml:space="preserve">Horicon                                            </t>
  </si>
  <si>
    <t xml:space="preserve">Hortonville                                        </t>
  </si>
  <si>
    <t xml:space="preserve">Howard                                             </t>
  </si>
  <si>
    <t xml:space="preserve">Howards Grove                                      </t>
  </si>
  <si>
    <t xml:space="preserve">Hudson                                             </t>
  </si>
  <si>
    <t xml:space="preserve">Hurley                                             </t>
  </si>
  <si>
    <t xml:space="preserve">Hustisford                                         </t>
  </si>
  <si>
    <t xml:space="preserve">Independence                                       </t>
  </si>
  <si>
    <t xml:space="preserve">Jackson                                            </t>
  </si>
  <si>
    <t xml:space="preserve">Janesville                                         </t>
  </si>
  <si>
    <t xml:space="preserve">Jefferson                                          </t>
  </si>
  <si>
    <t xml:space="preserve">Johnson Creek                                      </t>
  </si>
  <si>
    <t xml:space="preserve">Junction City                                      </t>
  </si>
  <si>
    <t xml:space="preserve">Juneau                                             </t>
  </si>
  <si>
    <t xml:space="preserve">Kaukauna                                           </t>
  </si>
  <si>
    <t xml:space="preserve">Kellnersville                                      </t>
  </si>
  <si>
    <t xml:space="preserve">Kenosha                                            </t>
  </si>
  <si>
    <t xml:space="preserve">Kewaskum                                           </t>
  </si>
  <si>
    <t xml:space="preserve">Kewaunee                                           </t>
  </si>
  <si>
    <t xml:space="preserve">Kiel                                               </t>
  </si>
  <si>
    <t xml:space="preserve">Kimberly                                           </t>
  </si>
  <si>
    <t xml:space="preserve">Knapp                                              </t>
  </si>
  <si>
    <t xml:space="preserve">Kronenwetter                                       </t>
  </si>
  <si>
    <t xml:space="preserve">La Crosse                                          </t>
  </si>
  <si>
    <t xml:space="preserve">La Farge                                           </t>
  </si>
  <si>
    <t xml:space="preserve">Ladysmith                                          </t>
  </si>
  <si>
    <t xml:space="preserve">Lake Delton                                        </t>
  </si>
  <si>
    <t xml:space="preserve">Lake Hallie                                        </t>
  </si>
  <si>
    <t xml:space="preserve">Lake Mills                                         </t>
  </si>
  <si>
    <t xml:space="preserve">Lancaster                                          </t>
  </si>
  <si>
    <t xml:space="preserve">Ledgeview                                          </t>
  </si>
  <si>
    <t xml:space="preserve">Little Chute                                       </t>
  </si>
  <si>
    <t xml:space="preserve">Livingston                                         </t>
  </si>
  <si>
    <t xml:space="preserve">Lodi                                               </t>
  </si>
  <si>
    <t xml:space="preserve">Lomira                                             </t>
  </si>
  <si>
    <t xml:space="preserve">Loyal                                              </t>
  </si>
  <si>
    <t xml:space="preserve">Luck                                               </t>
  </si>
  <si>
    <t xml:space="preserve">Luxemburg                                          </t>
  </si>
  <si>
    <t xml:space="preserve">Madison                                            </t>
  </si>
  <si>
    <t xml:space="preserve">Manawa                                             </t>
  </si>
  <si>
    <t xml:space="preserve">Manitowoc                                          </t>
  </si>
  <si>
    <t xml:space="preserve">Maple Bluff                                        </t>
  </si>
  <si>
    <t xml:space="preserve">Marathon                                           </t>
  </si>
  <si>
    <t xml:space="preserve">Maribel                                            </t>
  </si>
  <si>
    <t xml:space="preserve">Marinette                                          </t>
  </si>
  <si>
    <t xml:space="preserve">Marion                                             </t>
  </si>
  <si>
    <t xml:space="preserve">Markesan                                           </t>
  </si>
  <si>
    <t xml:space="preserve">Marshfield                                         </t>
  </si>
  <si>
    <t xml:space="preserve">Mason                                              </t>
  </si>
  <si>
    <t xml:space="preserve">Mauston                                            </t>
  </si>
  <si>
    <t xml:space="preserve">Mayville                                           </t>
  </si>
  <si>
    <t xml:space="preserve">Mazomanie                                          </t>
  </si>
  <si>
    <t xml:space="preserve">Mcfarland                                          </t>
  </si>
  <si>
    <t xml:space="preserve">Medford                                            </t>
  </si>
  <si>
    <t xml:space="preserve">Menasha                                            </t>
  </si>
  <si>
    <t xml:space="preserve">Menomonee Falls                                    </t>
  </si>
  <si>
    <t xml:space="preserve">Menomonie                                          </t>
  </si>
  <si>
    <t xml:space="preserve">Mequon                                             </t>
  </si>
  <si>
    <t xml:space="preserve">Merrill                                            </t>
  </si>
  <si>
    <t xml:space="preserve">Middleton                                          </t>
  </si>
  <si>
    <t xml:space="preserve">Milltown                                           </t>
  </si>
  <si>
    <t xml:space="preserve">Milton                                             </t>
  </si>
  <si>
    <t xml:space="preserve">Milwaukee                                          </t>
  </si>
  <si>
    <t xml:space="preserve">Minong                                             </t>
  </si>
  <si>
    <t xml:space="preserve">Mondovi                                            </t>
  </si>
  <si>
    <t xml:space="preserve">Monona                                             </t>
  </si>
  <si>
    <t xml:space="preserve">Monroe                                             </t>
  </si>
  <si>
    <t xml:space="preserve">Montfort                                           </t>
  </si>
  <si>
    <t xml:space="preserve">Mosinee                                            </t>
  </si>
  <si>
    <t xml:space="preserve">Mount Horeb                                        </t>
  </si>
  <si>
    <t xml:space="preserve">Mount Pleasant                                     </t>
  </si>
  <si>
    <t xml:space="preserve">Mukwonago                                          </t>
  </si>
  <si>
    <t xml:space="preserve">Muscoda                                            </t>
  </si>
  <si>
    <t xml:space="preserve">Muskego                                            </t>
  </si>
  <si>
    <t xml:space="preserve">Necedah                                            </t>
  </si>
  <si>
    <t xml:space="preserve">Neenah                                             </t>
  </si>
  <si>
    <t xml:space="preserve">Neillsville                                        </t>
  </si>
  <si>
    <t xml:space="preserve">Nekoosa                                            </t>
  </si>
  <si>
    <t xml:space="preserve">New Auburn                                         </t>
  </si>
  <si>
    <t xml:space="preserve">New Chester                                        </t>
  </si>
  <si>
    <t xml:space="preserve">New Glarus                                         </t>
  </si>
  <si>
    <t xml:space="preserve">New Holstein                                       </t>
  </si>
  <si>
    <t xml:space="preserve">New Lisbon                                         </t>
  </si>
  <si>
    <t xml:space="preserve">New Richmond                                       </t>
  </si>
  <si>
    <t xml:space="preserve">Niagara                                            </t>
  </si>
  <si>
    <t xml:space="preserve">North Fond Du Lac                                  </t>
  </si>
  <si>
    <t xml:space="preserve">North Freedom                                      </t>
  </si>
  <si>
    <t xml:space="preserve">Oak Creek                                          </t>
  </si>
  <si>
    <t xml:space="preserve">Oakfield                                           </t>
  </si>
  <si>
    <t xml:space="preserve">Oconomowoc                                         </t>
  </si>
  <si>
    <t xml:space="preserve">Oconto                                             </t>
  </si>
  <si>
    <t xml:space="preserve">Oconto Falls                                       </t>
  </si>
  <si>
    <t xml:space="preserve">Omro                                               </t>
  </si>
  <si>
    <t xml:space="preserve">Ontario                                            </t>
  </si>
  <si>
    <t xml:space="preserve">Oostburg                                           </t>
  </si>
  <si>
    <t xml:space="preserve">Oregon                                             </t>
  </si>
  <si>
    <t xml:space="preserve">Orfordville                                        </t>
  </si>
  <si>
    <t xml:space="preserve">Osceola                                            </t>
  </si>
  <si>
    <t xml:space="preserve">Oshkosh                                            </t>
  </si>
  <si>
    <t xml:space="preserve">Osseo                                              </t>
  </si>
  <si>
    <t xml:space="preserve">Owen                                               </t>
  </si>
  <si>
    <t xml:space="preserve">Paddock Lake                                       </t>
  </si>
  <si>
    <t xml:space="preserve">Palmyra                                            </t>
  </si>
  <si>
    <t xml:space="preserve">Park Falls                                         </t>
  </si>
  <si>
    <t xml:space="preserve">Pepin                                              </t>
  </si>
  <si>
    <t xml:space="preserve">Pewaukee                                           </t>
  </si>
  <si>
    <t xml:space="preserve">Phillips                                           </t>
  </si>
  <si>
    <t xml:space="preserve">Pittsville                                         </t>
  </si>
  <si>
    <t xml:space="preserve">Plain                                              </t>
  </si>
  <si>
    <t xml:space="preserve">Plainfield                                         </t>
  </si>
  <si>
    <t xml:space="preserve">Platteville                                        </t>
  </si>
  <si>
    <t xml:space="preserve">Pleasant Prairie                                   </t>
  </si>
  <si>
    <t xml:space="preserve">Plover                                             </t>
  </si>
  <si>
    <t xml:space="preserve">Plymouth                                           </t>
  </si>
  <si>
    <t xml:space="preserve">Port Edwards                                       </t>
  </si>
  <si>
    <t xml:space="preserve">Port Washington                                    </t>
  </si>
  <si>
    <t xml:space="preserve">Portage                                            </t>
  </si>
  <si>
    <t xml:space="preserve">Pound                                              </t>
  </si>
  <si>
    <t xml:space="preserve">Prairie Du Chien                                   </t>
  </si>
  <si>
    <t xml:space="preserve">Prairie Du Sac                                     </t>
  </si>
  <si>
    <t xml:space="preserve">Prairie Farm                                       </t>
  </si>
  <si>
    <t xml:space="preserve">Prentice                                           </t>
  </si>
  <si>
    <t xml:space="preserve">Prescott                                           </t>
  </si>
  <si>
    <t xml:space="preserve">Princeton                                          </t>
  </si>
  <si>
    <t xml:space="preserve">Pulaski                                            </t>
  </si>
  <si>
    <t xml:space="preserve">Racine                                             </t>
  </si>
  <si>
    <t xml:space="preserve">Randolph                                           </t>
  </si>
  <si>
    <t xml:space="preserve">Random Lake                                        </t>
  </si>
  <si>
    <t xml:space="preserve">Redgranite                                         </t>
  </si>
  <si>
    <t xml:space="preserve">Reedsburg                                          </t>
  </si>
  <si>
    <t xml:space="preserve">Reeseville                                         </t>
  </si>
  <si>
    <t xml:space="preserve">Rhinelander                                        </t>
  </si>
  <si>
    <t xml:space="preserve">Rib Lake                                           </t>
  </si>
  <si>
    <t xml:space="preserve">Rice Lake                                          </t>
  </si>
  <si>
    <t xml:space="preserve">Richland Center                                    </t>
  </si>
  <si>
    <t xml:space="preserve">Ridgeland                                          </t>
  </si>
  <si>
    <t xml:space="preserve">Ridgeway                                           </t>
  </si>
  <si>
    <t xml:space="preserve">Rio                                                </t>
  </si>
  <si>
    <t xml:space="preserve">Ripon                                              </t>
  </si>
  <si>
    <t xml:space="preserve">River Falls                                        </t>
  </si>
  <si>
    <t xml:space="preserve">Roberts                                            </t>
  </si>
  <si>
    <t xml:space="preserve">Rockland                                           </t>
  </si>
  <si>
    <t xml:space="preserve">Rome                                               </t>
  </si>
  <si>
    <t xml:space="preserve">Rosendale                                          </t>
  </si>
  <si>
    <t xml:space="preserve">Rothschild                                         </t>
  </si>
  <si>
    <t xml:space="preserve">Saint Croix Falls                                  </t>
  </si>
  <si>
    <t xml:space="preserve">Saint Francis                                      </t>
  </si>
  <si>
    <t xml:space="preserve">Salem Lakes                                        </t>
  </si>
  <si>
    <t xml:space="preserve">Sauk City                                          </t>
  </si>
  <si>
    <t xml:space="preserve">Saukville                                          </t>
  </si>
  <si>
    <t xml:space="preserve">Schofield                                          </t>
  </si>
  <si>
    <t xml:space="preserve">Seymour                                            </t>
  </si>
  <si>
    <t xml:space="preserve">Sharon                                             </t>
  </si>
  <si>
    <t xml:space="preserve">Shawano                                            </t>
  </si>
  <si>
    <t xml:space="preserve">Sheboygan                                          </t>
  </si>
  <si>
    <t xml:space="preserve">Sheboygan Falls                                    </t>
  </si>
  <si>
    <t xml:space="preserve">Shell Lake                                         </t>
  </si>
  <si>
    <t xml:space="preserve">Sherwood                                           </t>
  </si>
  <si>
    <t xml:space="preserve">Shorewood                                          </t>
  </si>
  <si>
    <t xml:space="preserve">Shorewood Hills                                    </t>
  </si>
  <si>
    <t xml:space="preserve">Shullsburg                                         </t>
  </si>
  <si>
    <t xml:space="preserve">Siren                                              </t>
  </si>
  <si>
    <t xml:space="preserve">Sister Bay                                         </t>
  </si>
  <si>
    <t xml:space="preserve">Slinger                                            </t>
  </si>
  <si>
    <t xml:space="preserve">Solon Springs                                      </t>
  </si>
  <si>
    <t xml:space="preserve">Somers                                             </t>
  </si>
  <si>
    <t xml:space="preserve">Somerset                                           </t>
  </si>
  <si>
    <t xml:space="preserve">South Milwaukee                                    </t>
  </si>
  <si>
    <t xml:space="preserve">Sparta                                             </t>
  </si>
  <si>
    <t xml:space="preserve">Spencer                                            </t>
  </si>
  <si>
    <t xml:space="preserve">Spooner                                            </t>
  </si>
  <si>
    <t xml:space="preserve">Spring Green                                       </t>
  </si>
  <si>
    <t xml:space="preserve">Spring Valley                                      </t>
  </si>
  <si>
    <t xml:space="preserve">Stanley                                            </t>
  </si>
  <si>
    <t xml:space="preserve">Stetsonville                                       </t>
  </si>
  <si>
    <t xml:space="preserve">Stevens Point                                      </t>
  </si>
  <si>
    <t xml:space="preserve">Stoughton                                          </t>
  </si>
  <si>
    <t xml:space="preserve">Stratford                                          </t>
  </si>
  <si>
    <t xml:space="preserve">Strum                                              </t>
  </si>
  <si>
    <t xml:space="preserve">Sturgeon Bay                                       </t>
  </si>
  <si>
    <t xml:space="preserve">Sturtevant                                         </t>
  </si>
  <si>
    <t xml:space="preserve">Suamico                                            </t>
  </si>
  <si>
    <t xml:space="preserve">Sun Prairie                                        </t>
  </si>
  <si>
    <t xml:space="preserve">Superior                                           </t>
  </si>
  <si>
    <t xml:space="preserve">Suring                                             </t>
  </si>
  <si>
    <t xml:space="preserve">Sussex                                             </t>
  </si>
  <si>
    <t xml:space="preserve">Taylor                                             </t>
  </si>
  <si>
    <t xml:space="preserve">Thorp                                              </t>
  </si>
  <si>
    <t xml:space="preserve">Tigerton                                           </t>
  </si>
  <si>
    <t xml:space="preserve">Tomah                                              </t>
  </si>
  <si>
    <t xml:space="preserve">Tomahawk                                           </t>
  </si>
  <si>
    <t xml:space="preserve">Trempealeau                                        </t>
  </si>
  <si>
    <t xml:space="preserve">Turtle Lake                                        </t>
  </si>
  <si>
    <t xml:space="preserve">Twin Lakes                                         </t>
  </si>
  <si>
    <t xml:space="preserve">Two Rivers                                         </t>
  </si>
  <si>
    <t xml:space="preserve">Union Grove                                        </t>
  </si>
  <si>
    <t xml:space="preserve">Unity                                              </t>
  </si>
  <si>
    <t xml:space="preserve">Valders                                            </t>
  </si>
  <si>
    <t xml:space="preserve">Verona                                             </t>
  </si>
  <si>
    <t xml:space="preserve">Vesper                                             </t>
  </si>
  <si>
    <t xml:space="preserve">Viola                                              </t>
  </si>
  <si>
    <t xml:space="preserve">Viroqua                                            </t>
  </si>
  <si>
    <t xml:space="preserve">Wales                                              </t>
  </si>
  <si>
    <t xml:space="preserve">Walworth                                           </t>
  </si>
  <si>
    <t xml:space="preserve">Warrens                                            </t>
  </si>
  <si>
    <t xml:space="preserve">Washburn                                           </t>
  </si>
  <si>
    <t xml:space="preserve">Waterford                                          </t>
  </si>
  <si>
    <t xml:space="preserve">Waterloo                                           </t>
  </si>
  <si>
    <t xml:space="preserve">Watertown                                          </t>
  </si>
  <si>
    <t xml:space="preserve">Waukesha                                           </t>
  </si>
  <si>
    <t xml:space="preserve">Waunakee                                           </t>
  </si>
  <si>
    <t xml:space="preserve">Waupaca                                            </t>
  </si>
  <si>
    <t xml:space="preserve">Waupun                                             </t>
  </si>
  <si>
    <t xml:space="preserve">Wausau                                             </t>
  </si>
  <si>
    <t xml:space="preserve">Wautoma                                            </t>
  </si>
  <si>
    <t xml:space="preserve">Wauwatosa                                          </t>
  </si>
  <si>
    <t xml:space="preserve">Wauzeka                                            </t>
  </si>
  <si>
    <t xml:space="preserve">Webster                                            </t>
  </si>
  <si>
    <t xml:space="preserve">West Allis                                         </t>
  </si>
  <si>
    <t xml:space="preserve">West Baraboo                                       </t>
  </si>
  <si>
    <t xml:space="preserve">West Bend                                          </t>
  </si>
  <si>
    <t xml:space="preserve">West Milwaukee                                     </t>
  </si>
  <si>
    <t xml:space="preserve">West Salem                                         </t>
  </si>
  <si>
    <t xml:space="preserve">Westby                                             </t>
  </si>
  <si>
    <t xml:space="preserve">Westfield                                          </t>
  </si>
  <si>
    <t xml:space="preserve">Weston                                             </t>
  </si>
  <si>
    <t xml:space="preserve">Weyauwega                                          </t>
  </si>
  <si>
    <t xml:space="preserve">Weyerhaeuser                                       </t>
  </si>
  <si>
    <t xml:space="preserve">Whitefish Bay                                      </t>
  </si>
  <si>
    <t xml:space="preserve">Whitehall                                          </t>
  </si>
  <si>
    <t xml:space="preserve">Whitelaw                                           </t>
  </si>
  <si>
    <t xml:space="preserve">Whitewater                                         </t>
  </si>
  <si>
    <t xml:space="preserve">Whiting                                            </t>
  </si>
  <si>
    <t xml:space="preserve">Wild Rose                                          </t>
  </si>
  <si>
    <t xml:space="preserve">Wilton                                             </t>
  </si>
  <si>
    <t xml:space="preserve">Windsor                                            </t>
  </si>
  <si>
    <t xml:space="preserve">Winneconne                                         </t>
  </si>
  <si>
    <t xml:space="preserve">Wisconsin Dells                                    </t>
  </si>
  <si>
    <t xml:space="preserve">Wisconsin Rapids                                   </t>
  </si>
  <si>
    <t xml:space="preserve">Withee                                             </t>
  </si>
  <si>
    <t xml:space="preserve">Wittenberg                                         </t>
  </si>
  <si>
    <t xml:space="preserve">Woodville                                          </t>
  </si>
  <si>
    <t xml:space="preserve">Wrightstown                                        </t>
  </si>
  <si>
    <t>*A negative increment is treated as zero increment</t>
  </si>
  <si>
    <t xml:space="preserve">          NOTE:  With the exception of Muni Equalized Value column  totals do not include Environmental Remediation TID information</t>
  </si>
  <si>
    <t xml:space="preserve">          2018 TID Total Value Increment    :</t>
  </si>
  <si>
    <t xml:space="preserve">          2018 Muni Total TID Current Value :</t>
  </si>
  <si>
    <t xml:space="preserve">          2018 Muni Total Equalized Value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</si>
</sst>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98"/>
  <sheetViews>
    <sheetView tabSelected="1" workbookViewId="0">
      <selection activeCell="E2098" sqref="E2098"/>
    </sheetView>
  </sheetViews>
  <sheetFormatPr defaultRowHeight="15" x14ac:dyDescent="0.25"/>
  <cols>
    <col min="1" max="1" width="55.85546875" customWidth="1"/>
    <col min="2" max="2" width="9.42578125" bestFit="1" customWidth="1"/>
    <col min="3" max="3" width="8.7109375" bestFit="1" customWidth="1"/>
    <col min="4" max="4" width="5.5703125" bestFit="1" customWidth="1"/>
    <col min="5" max="5" width="13.140625" bestFit="1" customWidth="1"/>
    <col min="6" max="6" width="30.28515625" bestFit="1" customWidth="1"/>
    <col min="7" max="7" width="2.42578125" bestFit="1" customWidth="1"/>
    <col min="8" max="8" width="16.7109375" bestFit="1" customWidth="1"/>
    <col min="9" max="10" width="8.5703125" bestFit="1" customWidth="1"/>
    <col min="11" max="11" width="16.140625" bestFit="1" customWidth="1"/>
  </cols>
  <sheetData>
    <row r="2" spans="1:11" x14ac:dyDescent="0.25">
      <c r="A2" t="s">
        <v>0</v>
      </c>
      <c r="K2" t="s">
        <v>1</v>
      </c>
    </row>
    <row r="3" spans="1:11" x14ac:dyDescent="0.25">
      <c r="A3" t="s">
        <v>2</v>
      </c>
      <c r="K3" t="s">
        <v>3</v>
      </c>
    </row>
    <row r="4" spans="1:11" x14ac:dyDescent="0.25">
      <c r="K4" t="s">
        <v>4</v>
      </c>
    </row>
    <row r="6" spans="1:11" x14ac:dyDescent="0.25">
      <c r="A6" t="s">
        <v>5</v>
      </c>
      <c r="B6" t="s">
        <v>6</v>
      </c>
      <c r="C6" t="s">
        <v>7</v>
      </c>
      <c r="D6" t="s">
        <v>8</v>
      </c>
      <c r="E6" t="s">
        <v>9</v>
      </c>
      <c r="F6" t="s">
        <v>10</v>
      </c>
      <c r="G6" t="s">
        <v>11</v>
      </c>
      <c r="H6" t="s">
        <v>12</v>
      </c>
      <c r="I6" t="s">
        <v>13</v>
      </c>
      <c r="J6" t="s">
        <v>13</v>
      </c>
    </row>
    <row r="7" spans="1:11" x14ac:dyDescent="0.25">
      <c r="A7" t="s">
        <v>5</v>
      </c>
      <c r="B7" t="s">
        <v>14</v>
      </c>
      <c r="C7" t="s">
        <v>7</v>
      </c>
      <c r="D7" t="s">
        <v>15</v>
      </c>
      <c r="E7" t="s">
        <v>16</v>
      </c>
      <c r="F7" t="s">
        <v>17</v>
      </c>
      <c r="G7" t="s">
        <v>11</v>
      </c>
      <c r="H7" t="s">
        <v>18</v>
      </c>
      <c r="I7" t="s">
        <v>13</v>
      </c>
      <c r="J7" t="s">
        <v>13</v>
      </c>
    </row>
    <row r="8" spans="1:11" x14ac:dyDescent="0.25">
      <c r="A8" t="s">
        <v>19</v>
      </c>
      <c r="B8" t="s">
        <v>20</v>
      </c>
      <c r="C8" t="s">
        <v>21</v>
      </c>
      <c r="D8" t="s">
        <v>22</v>
      </c>
      <c r="E8" t="s">
        <v>23</v>
      </c>
      <c r="F8" t="s">
        <v>24</v>
      </c>
      <c r="G8" t="s">
        <v>11</v>
      </c>
      <c r="H8" t="s">
        <v>25</v>
      </c>
      <c r="I8" t="s">
        <v>26</v>
      </c>
      <c r="J8" t="s">
        <v>27</v>
      </c>
      <c r="K8" t="s">
        <v>28</v>
      </c>
    </row>
    <row r="9" spans="1:11" x14ac:dyDescent="0.25">
      <c r="A9" t="s">
        <v>29</v>
      </c>
      <c r="B9" t="s">
        <v>30</v>
      </c>
      <c r="C9" t="s">
        <v>31</v>
      </c>
      <c r="D9" t="s">
        <v>32</v>
      </c>
      <c r="E9" t="s">
        <v>33</v>
      </c>
      <c r="F9" t="s">
        <v>34</v>
      </c>
      <c r="G9" t="s">
        <v>35</v>
      </c>
      <c r="H9" t="s">
        <v>36</v>
      </c>
      <c r="I9" t="s">
        <v>30</v>
      </c>
      <c r="J9" t="s">
        <v>30</v>
      </c>
      <c r="K9" t="s">
        <v>30</v>
      </c>
    </row>
    <row r="10" spans="1:11" x14ac:dyDescent="0.25">
      <c r="A10" t="s">
        <v>37</v>
      </c>
      <c r="B10" t="str">
        <f>"10201"</f>
        <v>10201</v>
      </c>
      <c r="C10" t="str">
        <f>"005"</f>
        <v>005</v>
      </c>
      <c r="D10">
        <v>2008</v>
      </c>
      <c r="E10">
        <v>540000</v>
      </c>
      <c r="F10">
        <v>81200</v>
      </c>
      <c r="G10" t="s">
        <v>11</v>
      </c>
      <c r="H10" t="s">
        <v>38</v>
      </c>
      <c r="I10" t="s">
        <v>13</v>
      </c>
      <c r="J10" t="s">
        <v>13</v>
      </c>
    </row>
    <row r="11" spans="1:11" x14ac:dyDescent="0.25">
      <c r="A11" t="s">
        <v>5</v>
      </c>
      <c r="B11" t="str">
        <f>"37201"</f>
        <v>37201</v>
      </c>
      <c r="C11" t="str">
        <f>"005"</f>
        <v>005</v>
      </c>
      <c r="D11">
        <v>2008</v>
      </c>
      <c r="E11">
        <v>14039900</v>
      </c>
      <c r="F11">
        <v>2085800</v>
      </c>
      <c r="G11" t="s">
        <v>11</v>
      </c>
      <c r="H11" t="s">
        <v>38</v>
      </c>
      <c r="I11" t="s">
        <v>13</v>
      </c>
      <c r="J11" t="s">
        <v>13</v>
      </c>
    </row>
    <row r="12" spans="1:11" x14ac:dyDescent="0.25">
      <c r="A12" t="s">
        <v>5</v>
      </c>
      <c r="B12" t="str">
        <f>"37201"</f>
        <v>37201</v>
      </c>
      <c r="C12" t="str">
        <f>"006"</f>
        <v>006</v>
      </c>
      <c r="D12">
        <v>2016</v>
      </c>
      <c r="E12">
        <v>21740000</v>
      </c>
      <c r="F12">
        <v>15992000</v>
      </c>
      <c r="G12" t="s">
        <v>11</v>
      </c>
      <c r="H12" t="s">
        <v>38</v>
      </c>
      <c r="I12" t="s">
        <v>13</v>
      </c>
      <c r="J12" t="s">
        <v>13</v>
      </c>
    </row>
    <row r="13" spans="1:11" x14ac:dyDescent="0.25">
      <c r="A13" t="s">
        <v>5</v>
      </c>
      <c r="B13" t="str">
        <f>"10201"</f>
        <v>10201</v>
      </c>
      <c r="C13" t="str">
        <f>"007"</f>
        <v>007</v>
      </c>
      <c r="D13">
        <v>2016</v>
      </c>
      <c r="E13">
        <v>2090900</v>
      </c>
      <c r="F13">
        <v>471400</v>
      </c>
      <c r="G13" t="s">
        <v>11</v>
      </c>
      <c r="H13" t="s">
        <v>38</v>
      </c>
      <c r="I13" t="s">
        <v>13</v>
      </c>
      <c r="J13" t="s">
        <v>13</v>
      </c>
    </row>
    <row r="14" spans="1:11" x14ac:dyDescent="0.25">
      <c r="A14" t="s">
        <v>39</v>
      </c>
      <c r="B14" t="s">
        <v>13</v>
      </c>
      <c r="C14" t="s">
        <v>7</v>
      </c>
      <c r="D14" t="s">
        <v>8</v>
      </c>
      <c r="E14">
        <v>38410800</v>
      </c>
      <c r="F14">
        <v>18630400</v>
      </c>
      <c r="G14" t="s">
        <v>11</v>
      </c>
      <c r="H14">
        <v>130972600</v>
      </c>
      <c r="I14" t="s">
        <v>13</v>
      </c>
      <c r="J14" t="s">
        <v>13</v>
      </c>
      <c r="K14">
        <v>14.22</v>
      </c>
    </row>
    <row r="16" spans="1:11" x14ac:dyDescent="0.25">
      <c r="A16" t="s">
        <v>40</v>
      </c>
      <c r="B16" t="str">
        <f>"01201"</f>
        <v>01201</v>
      </c>
      <c r="C16" t="str">
        <f>"002"</f>
        <v>002</v>
      </c>
      <c r="D16">
        <v>1996</v>
      </c>
      <c r="E16">
        <v>18008200</v>
      </c>
      <c r="F16">
        <v>8423000</v>
      </c>
      <c r="G16" t="s">
        <v>11</v>
      </c>
      <c r="H16" t="s">
        <v>38</v>
      </c>
      <c r="I16" t="s">
        <v>13</v>
      </c>
      <c r="J16" t="s">
        <v>13</v>
      </c>
    </row>
    <row r="17" spans="1:11" x14ac:dyDescent="0.25">
      <c r="A17" t="s">
        <v>5</v>
      </c>
      <c r="B17" t="str">
        <f>"01201"</f>
        <v>01201</v>
      </c>
      <c r="C17" t="str">
        <f>"003"</f>
        <v>003</v>
      </c>
      <c r="D17">
        <v>1996</v>
      </c>
      <c r="E17">
        <v>15257700</v>
      </c>
      <c r="F17">
        <v>10088000</v>
      </c>
      <c r="G17" t="s">
        <v>11</v>
      </c>
      <c r="H17" t="s">
        <v>38</v>
      </c>
      <c r="I17" t="s">
        <v>13</v>
      </c>
      <c r="J17" t="s">
        <v>13</v>
      </c>
    </row>
    <row r="18" spans="1:11" x14ac:dyDescent="0.25">
      <c r="A18" t="s">
        <v>39</v>
      </c>
      <c r="B18" t="s">
        <v>13</v>
      </c>
      <c r="C18" t="s">
        <v>7</v>
      </c>
      <c r="D18" t="s">
        <v>8</v>
      </c>
      <c r="E18">
        <v>33265900</v>
      </c>
      <c r="F18">
        <v>18511000</v>
      </c>
      <c r="G18" t="s">
        <v>11</v>
      </c>
      <c r="H18">
        <v>78118000</v>
      </c>
      <c r="I18" t="s">
        <v>13</v>
      </c>
      <c r="J18" t="s">
        <v>13</v>
      </c>
      <c r="K18">
        <v>23.7</v>
      </c>
    </row>
    <row r="20" spans="1:11" x14ac:dyDescent="0.25">
      <c r="A20" t="s">
        <v>41</v>
      </c>
      <c r="B20" t="str">
        <f>"23101"</f>
        <v>23101</v>
      </c>
      <c r="C20" t="str">
        <f>"002"</f>
        <v>002</v>
      </c>
      <c r="D20">
        <v>1995</v>
      </c>
      <c r="E20">
        <v>5395100</v>
      </c>
      <c r="F20">
        <v>4185600</v>
      </c>
      <c r="G20" t="s">
        <v>11</v>
      </c>
      <c r="H20" t="s">
        <v>38</v>
      </c>
      <c r="I20" t="s">
        <v>13</v>
      </c>
      <c r="J20" t="s">
        <v>13</v>
      </c>
    </row>
    <row r="21" spans="1:11" x14ac:dyDescent="0.25">
      <c r="A21" t="s">
        <v>39</v>
      </c>
      <c r="B21" t="s">
        <v>13</v>
      </c>
      <c r="C21" t="s">
        <v>7</v>
      </c>
      <c r="D21" t="s">
        <v>8</v>
      </c>
      <c r="E21">
        <v>5395100</v>
      </c>
      <c r="F21">
        <v>4185600</v>
      </c>
      <c r="G21" t="s">
        <v>11</v>
      </c>
      <c r="H21">
        <v>54630500</v>
      </c>
      <c r="I21" t="s">
        <v>13</v>
      </c>
      <c r="J21" t="s">
        <v>13</v>
      </c>
      <c r="K21">
        <v>7.66</v>
      </c>
    </row>
    <row r="23" spans="1:11" x14ac:dyDescent="0.25">
      <c r="A23" t="s">
        <v>42</v>
      </c>
      <c r="B23" t="str">
        <f>"31201"</f>
        <v>31201</v>
      </c>
      <c r="C23" t="str">
        <f>"001"</f>
        <v>001</v>
      </c>
      <c r="D23">
        <v>2005</v>
      </c>
      <c r="E23">
        <v>7238500</v>
      </c>
      <c r="F23">
        <v>-660700</v>
      </c>
      <c r="G23" t="s">
        <v>43</v>
      </c>
      <c r="H23" t="s">
        <v>38</v>
      </c>
      <c r="I23" t="s">
        <v>13</v>
      </c>
      <c r="J23" t="s">
        <v>13</v>
      </c>
    </row>
    <row r="24" spans="1:11" x14ac:dyDescent="0.25">
      <c r="A24" t="s">
        <v>5</v>
      </c>
      <c r="B24" t="str">
        <f>"31201"</f>
        <v>31201</v>
      </c>
      <c r="C24" t="str">
        <f>"002"</f>
        <v>002</v>
      </c>
      <c r="D24">
        <v>2006</v>
      </c>
      <c r="E24">
        <v>5648000</v>
      </c>
      <c r="F24">
        <v>3737300</v>
      </c>
      <c r="G24" t="s">
        <v>11</v>
      </c>
      <c r="H24" t="s">
        <v>38</v>
      </c>
      <c r="I24" t="s">
        <v>13</v>
      </c>
      <c r="J24" t="s">
        <v>13</v>
      </c>
    </row>
    <row r="25" spans="1:11" x14ac:dyDescent="0.25">
      <c r="A25" t="s">
        <v>39</v>
      </c>
      <c r="B25" t="s">
        <v>13</v>
      </c>
      <c r="C25" t="s">
        <v>7</v>
      </c>
      <c r="D25" t="s">
        <v>8</v>
      </c>
      <c r="E25">
        <v>12886500</v>
      </c>
      <c r="F25">
        <v>3737300</v>
      </c>
      <c r="G25" t="s">
        <v>11</v>
      </c>
      <c r="H25">
        <v>171509700</v>
      </c>
      <c r="I25" t="s">
        <v>13</v>
      </c>
      <c r="J25" t="s">
        <v>13</v>
      </c>
      <c r="K25">
        <v>2.1800000000000002</v>
      </c>
    </row>
    <row r="27" spans="1:11" x14ac:dyDescent="0.25">
      <c r="A27" t="s">
        <v>44</v>
      </c>
      <c r="B27" t="str">
        <f>"05102"</f>
        <v>05102</v>
      </c>
      <c r="C27" t="str">
        <f>"001"</f>
        <v>001</v>
      </c>
      <c r="D27">
        <v>2012</v>
      </c>
      <c r="E27">
        <v>109283000</v>
      </c>
      <c r="F27">
        <v>24875600</v>
      </c>
      <c r="G27" t="s">
        <v>11</v>
      </c>
      <c r="H27" t="s">
        <v>38</v>
      </c>
      <c r="I27" t="s">
        <v>13</v>
      </c>
      <c r="J27" t="s">
        <v>13</v>
      </c>
    </row>
    <row r="28" spans="1:11" x14ac:dyDescent="0.25">
      <c r="A28" t="s">
        <v>39</v>
      </c>
      <c r="B28" t="s">
        <v>13</v>
      </c>
      <c r="C28" t="s">
        <v>7</v>
      </c>
      <c r="D28" t="s">
        <v>8</v>
      </c>
      <c r="E28">
        <v>109283000</v>
      </c>
      <c r="F28">
        <v>24875600</v>
      </c>
      <c r="G28" t="s">
        <v>11</v>
      </c>
      <c r="H28">
        <v>995941900</v>
      </c>
      <c r="I28" t="s">
        <v>13</v>
      </c>
      <c r="J28" t="s">
        <v>13</v>
      </c>
      <c r="K28">
        <v>2.5</v>
      </c>
    </row>
    <row r="30" spans="1:11" x14ac:dyDescent="0.25">
      <c r="A30" t="s">
        <v>45</v>
      </c>
      <c r="B30" t="str">
        <f>"06201"</f>
        <v>06201</v>
      </c>
      <c r="C30" t="str">
        <f>"001"</f>
        <v>001</v>
      </c>
      <c r="D30">
        <v>1994</v>
      </c>
      <c r="E30">
        <v>4029000</v>
      </c>
      <c r="F30">
        <v>3259900</v>
      </c>
      <c r="G30" t="s">
        <v>11</v>
      </c>
      <c r="H30" t="s">
        <v>38</v>
      </c>
      <c r="I30" t="s">
        <v>13</v>
      </c>
      <c r="J30" t="s">
        <v>13</v>
      </c>
    </row>
    <row r="31" spans="1:11" x14ac:dyDescent="0.25">
      <c r="A31" t="s">
        <v>39</v>
      </c>
      <c r="B31" t="s">
        <v>13</v>
      </c>
      <c r="C31" t="s">
        <v>7</v>
      </c>
      <c r="D31" t="s">
        <v>8</v>
      </c>
      <c r="E31">
        <v>4029000</v>
      </c>
      <c r="F31">
        <v>3259900</v>
      </c>
      <c r="G31" t="s">
        <v>11</v>
      </c>
      <c r="H31">
        <v>55352600</v>
      </c>
      <c r="I31" t="s">
        <v>13</v>
      </c>
      <c r="J31" t="s">
        <v>13</v>
      </c>
      <c r="K31">
        <v>5.89</v>
      </c>
    </row>
    <row r="33" spans="1:11" x14ac:dyDescent="0.25">
      <c r="A33" t="s">
        <v>46</v>
      </c>
      <c r="B33" t="str">
        <f>"03101"</f>
        <v>03101</v>
      </c>
      <c r="C33" t="str">
        <f>"001"</f>
        <v>001</v>
      </c>
      <c r="D33">
        <v>1990</v>
      </c>
      <c r="E33">
        <v>6973600</v>
      </c>
      <c r="F33">
        <v>6685300</v>
      </c>
      <c r="G33" t="s">
        <v>11</v>
      </c>
      <c r="H33" t="s">
        <v>38</v>
      </c>
      <c r="I33" t="s">
        <v>13</v>
      </c>
      <c r="J33" t="s">
        <v>13</v>
      </c>
    </row>
    <row r="34" spans="1:11" x14ac:dyDescent="0.25">
      <c r="A34" t="s">
        <v>5</v>
      </c>
      <c r="B34" t="str">
        <f>"03101"</f>
        <v>03101</v>
      </c>
      <c r="C34" t="str">
        <f>"002"</f>
        <v>002</v>
      </c>
      <c r="D34">
        <v>1992</v>
      </c>
      <c r="E34">
        <v>1709500</v>
      </c>
      <c r="F34">
        <v>1562800</v>
      </c>
      <c r="G34" t="s">
        <v>11</v>
      </c>
      <c r="H34" t="s">
        <v>38</v>
      </c>
      <c r="I34" t="s">
        <v>13</v>
      </c>
      <c r="J34" t="s">
        <v>13</v>
      </c>
    </row>
    <row r="35" spans="1:11" x14ac:dyDescent="0.25">
      <c r="A35" t="s">
        <v>39</v>
      </c>
      <c r="B35" t="s">
        <v>13</v>
      </c>
      <c r="C35" t="s">
        <v>7</v>
      </c>
      <c r="D35" t="s">
        <v>8</v>
      </c>
      <c r="E35">
        <v>8683100</v>
      </c>
      <c r="F35">
        <v>8248100</v>
      </c>
      <c r="G35" t="s">
        <v>11</v>
      </c>
      <c r="H35">
        <v>30273500</v>
      </c>
      <c r="I35" t="s">
        <v>13</v>
      </c>
      <c r="J35" t="s">
        <v>13</v>
      </c>
      <c r="K35">
        <v>27.25</v>
      </c>
    </row>
    <row r="37" spans="1:11" x14ac:dyDescent="0.25">
      <c r="A37" t="s">
        <v>47</v>
      </c>
      <c r="B37" t="str">
        <f>"18201"</f>
        <v>18201</v>
      </c>
      <c r="C37" t="str">
        <f>"002"</f>
        <v>002</v>
      </c>
      <c r="D37">
        <v>2000</v>
      </c>
      <c r="E37">
        <v>12426000</v>
      </c>
      <c r="F37">
        <v>11231100</v>
      </c>
      <c r="G37" t="s">
        <v>11</v>
      </c>
      <c r="H37" t="s">
        <v>38</v>
      </c>
      <c r="I37" t="s">
        <v>13</v>
      </c>
      <c r="J37" t="s">
        <v>13</v>
      </c>
    </row>
    <row r="38" spans="1:11" x14ac:dyDescent="0.25">
      <c r="A38" t="s">
        <v>5</v>
      </c>
      <c r="B38" t="str">
        <f>"18201"</f>
        <v>18201</v>
      </c>
      <c r="C38" t="str">
        <f>"003"</f>
        <v>003</v>
      </c>
      <c r="D38">
        <v>2001</v>
      </c>
      <c r="E38">
        <v>207096500</v>
      </c>
      <c r="F38">
        <v>202259200</v>
      </c>
      <c r="G38" t="s">
        <v>11</v>
      </c>
      <c r="H38" t="s">
        <v>38</v>
      </c>
      <c r="I38" t="s">
        <v>13</v>
      </c>
      <c r="J38" t="s">
        <v>13</v>
      </c>
    </row>
    <row r="39" spans="1:11" x14ac:dyDescent="0.25">
      <c r="A39" t="s">
        <v>5</v>
      </c>
      <c r="B39" t="str">
        <f>"18201"</f>
        <v>18201</v>
      </c>
      <c r="C39" t="str">
        <f>"004"</f>
        <v>004</v>
      </c>
      <c r="D39">
        <v>2008</v>
      </c>
      <c r="E39">
        <v>19140000</v>
      </c>
      <c r="F39">
        <v>11448500</v>
      </c>
      <c r="G39" t="s">
        <v>11</v>
      </c>
      <c r="H39" t="s">
        <v>38</v>
      </c>
      <c r="I39" t="s">
        <v>13</v>
      </c>
      <c r="J39" t="s">
        <v>13</v>
      </c>
    </row>
    <row r="40" spans="1:11" x14ac:dyDescent="0.25">
      <c r="A40" t="s">
        <v>39</v>
      </c>
      <c r="B40" t="s">
        <v>13</v>
      </c>
      <c r="C40" t="s">
        <v>7</v>
      </c>
      <c r="D40" t="s">
        <v>8</v>
      </c>
      <c r="E40">
        <v>238662500</v>
      </c>
      <c r="F40">
        <v>224938800</v>
      </c>
      <c r="G40" t="s">
        <v>11</v>
      </c>
      <c r="H40">
        <v>682442800</v>
      </c>
      <c r="I40" t="s">
        <v>13</v>
      </c>
      <c r="J40" t="s">
        <v>13</v>
      </c>
      <c r="K40">
        <v>32.96</v>
      </c>
    </row>
    <row r="42" spans="1:11" x14ac:dyDescent="0.25">
      <c r="A42" t="s">
        <v>48</v>
      </c>
      <c r="B42" t="str">
        <f>"48201"</f>
        <v>48201</v>
      </c>
      <c r="C42" t="str">
        <f>"005"</f>
        <v>005</v>
      </c>
      <c r="D42">
        <v>1992</v>
      </c>
      <c r="E42">
        <v>6609700</v>
      </c>
      <c r="F42">
        <v>6527500</v>
      </c>
      <c r="G42" t="s">
        <v>11</v>
      </c>
      <c r="H42" t="s">
        <v>38</v>
      </c>
      <c r="I42" t="s">
        <v>13</v>
      </c>
      <c r="J42" t="s">
        <v>13</v>
      </c>
    </row>
    <row r="43" spans="1:11" x14ac:dyDescent="0.25">
      <c r="A43" t="s">
        <v>5</v>
      </c>
      <c r="B43" t="str">
        <f>"48201"</f>
        <v>48201</v>
      </c>
      <c r="C43" t="str">
        <f>"006"</f>
        <v>006</v>
      </c>
      <c r="D43">
        <v>2004</v>
      </c>
      <c r="E43">
        <v>24766100</v>
      </c>
      <c r="F43">
        <v>10325200</v>
      </c>
      <c r="G43" t="s">
        <v>11</v>
      </c>
      <c r="H43" t="s">
        <v>38</v>
      </c>
      <c r="I43" t="s">
        <v>13</v>
      </c>
      <c r="J43" t="s">
        <v>13</v>
      </c>
    </row>
    <row r="44" spans="1:11" x14ac:dyDescent="0.25">
      <c r="A44" t="s">
        <v>5</v>
      </c>
      <c r="B44" t="str">
        <f>"48201"</f>
        <v>48201</v>
      </c>
      <c r="C44" t="str">
        <f>"007"</f>
        <v>007</v>
      </c>
      <c r="D44">
        <v>2010</v>
      </c>
      <c r="E44">
        <v>5344100</v>
      </c>
      <c r="F44">
        <v>2025600</v>
      </c>
      <c r="G44" t="s">
        <v>11</v>
      </c>
      <c r="H44" t="s">
        <v>38</v>
      </c>
      <c r="I44" t="s">
        <v>13</v>
      </c>
      <c r="J44" t="s">
        <v>13</v>
      </c>
    </row>
    <row r="45" spans="1:11" x14ac:dyDescent="0.25">
      <c r="A45" t="s">
        <v>5</v>
      </c>
      <c r="B45" t="str">
        <f>"48201"</f>
        <v>48201</v>
      </c>
      <c r="C45" t="str">
        <f>"008"</f>
        <v>008</v>
      </c>
      <c r="D45">
        <v>2016</v>
      </c>
      <c r="E45">
        <v>5128000</v>
      </c>
      <c r="F45">
        <v>83400</v>
      </c>
      <c r="G45" t="s">
        <v>11</v>
      </c>
      <c r="H45" t="s">
        <v>38</v>
      </c>
      <c r="I45" t="s">
        <v>13</v>
      </c>
      <c r="J45" t="s">
        <v>13</v>
      </c>
    </row>
    <row r="46" spans="1:11" x14ac:dyDescent="0.25">
      <c r="A46" t="s">
        <v>39</v>
      </c>
      <c r="B46" t="s">
        <v>13</v>
      </c>
      <c r="C46" t="s">
        <v>7</v>
      </c>
      <c r="D46" t="s">
        <v>8</v>
      </c>
      <c r="E46">
        <v>41847900</v>
      </c>
      <c r="F46">
        <v>18961700</v>
      </c>
      <c r="G46" t="s">
        <v>11</v>
      </c>
      <c r="H46">
        <v>207722600</v>
      </c>
      <c r="I46" t="s">
        <v>13</v>
      </c>
      <c r="J46" t="s">
        <v>13</v>
      </c>
      <c r="K46">
        <v>9.1300000000000008</v>
      </c>
    </row>
    <row r="48" spans="1:11" x14ac:dyDescent="0.25">
      <c r="A48" t="s">
        <v>49</v>
      </c>
      <c r="B48" t="str">
        <f>"49102"</f>
        <v>49102</v>
      </c>
      <c r="C48" t="str">
        <f>"001"</f>
        <v>001</v>
      </c>
      <c r="D48">
        <v>1996</v>
      </c>
      <c r="E48">
        <v>7486200</v>
      </c>
      <c r="F48">
        <v>7211700</v>
      </c>
      <c r="G48" t="s">
        <v>11</v>
      </c>
      <c r="H48" t="s">
        <v>38</v>
      </c>
      <c r="I48" t="s">
        <v>13</v>
      </c>
      <c r="J48" t="s">
        <v>13</v>
      </c>
    </row>
    <row r="49" spans="1:11" x14ac:dyDescent="0.25">
      <c r="A49" t="s">
        <v>5</v>
      </c>
      <c r="B49" t="str">
        <f>"49102"</f>
        <v>49102</v>
      </c>
      <c r="C49" t="str">
        <f>"002"</f>
        <v>002</v>
      </c>
      <c r="D49">
        <v>2003</v>
      </c>
      <c r="E49">
        <v>701700</v>
      </c>
      <c r="F49">
        <v>684500</v>
      </c>
      <c r="G49" t="s">
        <v>11</v>
      </c>
      <c r="H49" t="s">
        <v>38</v>
      </c>
      <c r="I49" t="s">
        <v>13</v>
      </c>
      <c r="J49" t="s">
        <v>13</v>
      </c>
    </row>
    <row r="50" spans="1:11" x14ac:dyDescent="0.25">
      <c r="A50" t="s">
        <v>39</v>
      </c>
      <c r="B50" t="s">
        <v>13</v>
      </c>
      <c r="C50" t="s">
        <v>7</v>
      </c>
      <c r="D50" t="s">
        <v>8</v>
      </c>
      <c r="E50">
        <v>8187900</v>
      </c>
      <c r="F50">
        <v>7896200</v>
      </c>
      <c r="G50" t="s">
        <v>11</v>
      </c>
      <c r="H50">
        <v>67325100</v>
      </c>
      <c r="I50" t="s">
        <v>13</v>
      </c>
      <c r="J50" t="s">
        <v>13</v>
      </c>
      <c r="K50">
        <v>11.73</v>
      </c>
    </row>
    <row r="52" spans="1:11" x14ac:dyDescent="0.25">
      <c r="A52" t="s">
        <v>50</v>
      </c>
      <c r="B52" t="str">
        <f>"34201"</f>
        <v>34201</v>
      </c>
      <c r="C52" t="str">
        <f>"003"</f>
        <v>003</v>
      </c>
      <c r="D52">
        <v>1999</v>
      </c>
      <c r="E52">
        <v>5544400</v>
      </c>
      <c r="F52">
        <v>378400</v>
      </c>
      <c r="G52" t="s">
        <v>11</v>
      </c>
      <c r="H52" t="s">
        <v>38</v>
      </c>
      <c r="I52" t="s">
        <v>13</v>
      </c>
      <c r="J52" t="s">
        <v>13</v>
      </c>
    </row>
    <row r="53" spans="1:11" x14ac:dyDescent="0.25">
      <c r="A53" t="s">
        <v>5</v>
      </c>
      <c r="B53" t="str">
        <f>"34201"</f>
        <v>34201</v>
      </c>
      <c r="C53" t="str">
        <f>"004"</f>
        <v>004</v>
      </c>
      <c r="D53">
        <v>1999</v>
      </c>
      <c r="E53">
        <v>22861300</v>
      </c>
      <c r="F53">
        <v>4537300</v>
      </c>
      <c r="G53" t="s">
        <v>11</v>
      </c>
      <c r="H53" t="s">
        <v>38</v>
      </c>
      <c r="I53" t="s">
        <v>13</v>
      </c>
      <c r="J53" t="s">
        <v>13</v>
      </c>
    </row>
    <row r="54" spans="1:11" x14ac:dyDescent="0.25">
      <c r="A54" t="s">
        <v>5</v>
      </c>
      <c r="B54" t="str">
        <f>"34201"</f>
        <v>34201</v>
      </c>
      <c r="C54" t="str">
        <f>"005"</f>
        <v>005</v>
      </c>
      <c r="D54">
        <v>2001</v>
      </c>
      <c r="E54">
        <v>12790100</v>
      </c>
      <c r="F54">
        <v>3485900</v>
      </c>
      <c r="G54" t="s">
        <v>11</v>
      </c>
      <c r="H54" t="s">
        <v>38</v>
      </c>
      <c r="I54" t="s">
        <v>13</v>
      </c>
      <c r="J54" t="s">
        <v>13</v>
      </c>
    </row>
    <row r="55" spans="1:11" x14ac:dyDescent="0.25">
      <c r="A55" t="s">
        <v>5</v>
      </c>
      <c r="B55" t="str">
        <f>"34201"</f>
        <v>34201</v>
      </c>
      <c r="C55" t="str">
        <f>"006"</f>
        <v>006</v>
      </c>
      <c r="D55">
        <v>2008</v>
      </c>
      <c r="E55">
        <v>8201700</v>
      </c>
      <c r="F55">
        <v>7571900</v>
      </c>
      <c r="G55" t="s">
        <v>11</v>
      </c>
      <c r="H55" t="s">
        <v>38</v>
      </c>
      <c r="I55" t="s">
        <v>13</v>
      </c>
      <c r="J55" t="s">
        <v>13</v>
      </c>
    </row>
    <row r="56" spans="1:11" x14ac:dyDescent="0.25">
      <c r="A56" t="s">
        <v>5</v>
      </c>
      <c r="B56" t="str">
        <f>"34201"</f>
        <v>34201</v>
      </c>
      <c r="C56" t="str">
        <f>"007"</f>
        <v>007</v>
      </c>
      <c r="D56">
        <v>2010</v>
      </c>
      <c r="E56">
        <v>5437700</v>
      </c>
      <c r="F56">
        <v>-820500</v>
      </c>
      <c r="G56" t="s">
        <v>43</v>
      </c>
      <c r="H56" t="s">
        <v>38</v>
      </c>
      <c r="I56" t="s">
        <v>13</v>
      </c>
      <c r="J56" t="s">
        <v>13</v>
      </c>
    </row>
    <row r="57" spans="1:11" x14ac:dyDescent="0.25">
      <c r="A57" t="s">
        <v>39</v>
      </c>
      <c r="B57" t="s">
        <v>13</v>
      </c>
      <c r="C57" t="s">
        <v>7</v>
      </c>
      <c r="D57" t="s">
        <v>8</v>
      </c>
      <c r="E57">
        <v>54835200</v>
      </c>
      <c r="F57">
        <v>15973500</v>
      </c>
      <c r="G57" t="s">
        <v>11</v>
      </c>
      <c r="H57">
        <v>380547600</v>
      </c>
      <c r="I57" t="s">
        <v>13</v>
      </c>
      <c r="J57" t="s">
        <v>13</v>
      </c>
      <c r="K57">
        <v>4.2</v>
      </c>
    </row>
    <row r="59" spans="1:11" x14ac:dyDescent="0.25">
      <c r="A59" t="s">
        <v>51</v>
      </c>
      <c r="B59" t="str">
        <f>"44201"</f>
        <v>44201</v>
      </c>
      <c r="C59" t="str">
        <f>"003"</f>
        <v>003</v>
      </c>
      <c r="D59">
        <v>1993</v>
      </c>
      <c r="E59">
        <v>66625000</v>
      </c>
      <c r="F59">
        <v>47684200</v>
      </c>
      <c r="G59" t="s">
        <v>11</v>
      </c>
      <c r="H59" t="s">
        <v>38</v>
      </c>
      <c r="I59" t="s">
        <v>13</v>
      </c>
      <c r="J59" t="s">
        <v>13</v>
      </c>
    </row>
    <row r="60" spans="1:11" x14ac:dyDescent="0.25">
      <c r="A60" t="s">
        <v>5</v>
      </c>
      <c r="B60" t="str">
        <f>"08201"</f>
        <v>08201</v>
      </c>
      <c r="C60" t="str">
        <f>"006"</f>
        <v>006</v>
      </c>
      <c r="D60">
        <v>2000</v>
      </c>
      <c r="E60">
        <v>126319900</v>
      </c>
      <c r="F60">
        <v>114178300</v>
      </c>
      <c r="G60" t="s">
        <v>11</v>
      </c>
      <c r="H60" t="s">
        <v>38</v>
      </c>
      <c r="I60" t="s">
        <v>13</v>
      </c>
      <c r="J60" t="s">
        <v>13</v>
      </c>
    </row>
    <row r="61" spans="1:11" x14ac:dyDescent="0.25">
      <c r="A61" t="s">
        <v>5</v>
      </c>
      <c r="B61" t="str">
        <f>"70201"</f>
        <v>70201</v>
      </c>
      <c r="C61" t="str">
        <f>"007"</f>
        <v>007</v>
      </c>
      <c r="D61">
        <v>2007</v>
      </c>
      <c r="E61">
        <v>44650100</v>
      </c>
      <c r="F61">
        <v>18993100</v>
      </c>
      <c r="G61" t="s">
        <v>11</v>
      </c>
      <c r="H61" t="s">
        <v>38</v>
      </c>
      <c r="I61" t="s">
        <v>13</v>
      </c>
      <c r="J61" t="s">
        <v>13</v>
      </c>
    </row>
    <row r="62" spans="1:11" x14ac:dyDescent="0.25">
      <c r="A62" t="s">
        <v>5</v>
      </c>
      <c r="B62" t="str">
        <f>"44201"</f>
        <v>44201</v>
      </c>
      <c r="C62" t="str">
        <f>"008"</f>
        <v>008</v>
      </c>
      <c r="D62">
        <v>2009</v>
      </c>
      <c r="E62">
        <v>50720000</v>
      </c>
      <c r="F62">
        <v>44584900</v>
      </c>
      <c r="G62" t="s">
        <v>11</v>
      </c>
      <c r="H62" t="s">
        <v>38</v>
      </c>
      <c r="I62" t="s">
        <v>13</v>
      </c>
      <c r="J62" t="s">
        <v>13</v>
      </c>
    </row>
    <row r="63" spans="1:11" x14ac:dyDescent="0.25">
      <c r="A63" t="s">
        <v>5</v>
      </c>
      <c r="B63" t="str">
        <f>"44201"</f>
        <v>44201</v>
      </c>
      <c r="C63" t="str">
        <f>"009"</f>
        <v>009</v>
      </c>
      <c r="D63">
        <v>2013</v>
      </c>
      <c r="E63">
        <v>22337500</v>
      </c>
      <c r="F63">
        <v>824600</v>
      </c>
      <c r="G63" t="s">
        <v>11</v>
      </c>
      <c r="H63" t="s">
        <v>38</v>
      </c>
      <c r="I63" t="s">
        <v>13</v>
      </c>
      <c r="J63" t="s">
        <v>13</v>
      </c>
    </row>
    <row r="64" spans="1:11" x14ac:dyDescent="0.25">
      <c r="A64" t="s">
        <v>5</v>
      </c>
      <c r="B64" t="str">
        <f>"44201"</f>
        <v>44201</v>
      </c>
      <c r="C64" t="str">
        <f>"010"</f>
        <v>010</v>
      </c>
      <c r="D64">
        <v>2013</v>
      </c>
      <c r="E64">
        <v>24196200</v>
      </c>
      <c r="F64">
        <v>-347700</v>
      </c>
      <c r="G64" t="s">
        <v>43</v>
      </c>
      <c r="H64" t="s">
        <v>38</v>
      </c>
      <c r="I64" t="s">
        <v>13</v>
      </c>
      <c r="J64" t="s">
        <v>13</v>
      </c>
    </row>
    <row r="65" spans="1:11" x14ac:dyDescent="0.25">
      <c r="A65" t="s">
        <v>5</v>
      </c>
      <c r="B65" t="str">
        <f>"44201"</f>
        <v>44201</v>
      </c>
      <c r="C65" t="str">
        <f>"011"</f>
        <v>011</v>
      </c>
      <c r="D65">
        <v>2017</v>
      </c>
      <c r="E65">
        <v>90259800</v>
      </c>
      <c r="F65">
        <v>7160600</v>
      </c>
      <c r="G65" t="s">
        <v>11</v>
      </c>
      <c r="H65" t="s">
        <v>38</v>
      </c>
      <c r="I65" t="s">
        <v>13</v>
      </c>
      <c r="J65" t="s">
        <v>13</v>
      </c>
    </row>
    <row r="66" spans="1:11" x14ac:dyDescent="0.25">
      <c r="A66" t="s">
        <v>5</v>
      </c>
      <c r="B66" t="str">
        <f>"44201"</f>
        <v>44201</v>
      </c>
      <c r="C66" t="str">
        <f>"012"</f>
        <v>012</v>
      </c>
      <c r="D66">
        <v>2017</v>
      </c>
      <c r="E66">
        <v>22689200</v>
      </c>
      <c r="F66">
        <v>-285700</v>
      </c>
      <c r="G66" t="s">
        <v>43</v>
      </c>
      <c r="H66" t="s">
        <v>38</v>
      </c>
      <c r="I66" t="s">
        <v>13</v>
      </c>
      <c r="J66" t="s">
        <v>13</v>
      </c>
    </row>
    <row r="67" spans="1:11" x14ac:dyDescent="0.25">
      <c r="A67" t="s">
        <v>39</v>
      </c>
      <c r="B67" t="s">
        <v>13</v>
      </c>
      <c r="C67" t="s">
        <v>7</v>
      </c>
      <c r="D67" t="s">
        <v>8</v>
      </c>
      <c r="E67">
        <v>447797700</v>
      </c>
      <c r="F67">
        <v>233425700</v>
      </c>
      <c r="G67" t="s">
        <v>11</v>
      </c>
      <c r="H67">
        <v>5443435200</v>
      </c>
      <c r="I67" t="s">
        <v>13</v>
      </c>
      <c r="J67" t="s">
        <v>13</v>
      </c>
      <c r="K67">
        <v>4.29</v>
      </c>
    </row>
    <row r="69" spans="1:11" x14ac:dyDescent="0.25">
      <c r="A69" t="s">
        <v>52</v>
      </c>
      <c r="B69" t="str">
        <f>"61201"</f>
        <v>61201</v>
      </c>
      <c r="C69" t="str">
        <f>"003"</f>
        <v>003</v>
      </c>
      <c r="D69">
        <v>1994</v>
      </c>
      <c r="E69">
        <v>16478300</v>
      </c>
      <c r="F69">
        <v>16298200</v>
      </c>
      <c r="G69" t="s">
        <v>11</v>
      </c>
      <c r="H69" t="s">
        <v>38</v>
      </c>
      <c r="I69" t="s">
        <v>13</v>
      </c>
      <c r="J69" t="s">
        <v>13</v>
      </c>
    </row>
    <row r="70" spans="1:11" x14ac:dyDescent="0.25">
      <c r="A70" t="s">
        <v>5</v>
      </c>
      <c r="B70" t="str">
        <f>"61201"</f>
        <v>61201</v>
      </c>
      <c r="C70" t="str">
        <f>"004"</f>
        <v>004</v>
      </c>
      <c r="D70">
        <v>1994</v>
      </c>
      <c r="E70">
        <v>24231500</v>
      </c>
      <c r="F70">
        <v>23644400</v>
      </c>
      <c r="G70" t="s">
        <v>11</v>
      </c>
      <c r="H70" t="s">
        <v>38</v>
      </c>
      <c r="I70" t="s">
        <v>13</v>
      </c>
      <c r="J70" t="s">
        <v>13</v>
      </c>
    </row>
    <row r="71" spans="1:11" x14ac:dyDescent="0.25">
      <c r="A71" t="s">
        <v>39</v>
      </c>
      <c r="B71" t="s">
        <v>13</v>
      </c>
      <c r="C71" t="s">
        <v>7</v>
      </c>
      <c r="D71" t="s">
        <v>8</v>
      </c>
      <c r="E71">
        <v>40709800</v>
      </c>
      <c r="F71">
        <v>39942600</v>
      </c>
      <c r="G71" t="s">
        <v>11</v>
      </c>
      <c r="H71">
        <v>187715400</v>
      </c>
      <c r="I71" t="s">
        <v>13</v>
      </c>
      <c r="J71" t="s">
        <v>13</v>
      </c>
      <c r="K71">
        <v>21.28</v>
      </c>
    </row>
    <row r="73" spans="1:11" x14ac:dyDescent="0.25">
      <c r="A73" t="s">
        <v>53</v>
      </c>
      <c r="B73" t="str">
        <f>"25101"</f>
        <v>25101</v>
      </c>
      <c r="C73" t="str">
        <f>"001"</f>
        <v>001</v>
      </c>
      <c r="D73">
        <v>2006</v>
      </c>
      <c r="E73">
        <v>10442400</v>
      </c>
      <c r="F73">
        <v>5222100</v>
      </c>
      <c r="G73" t="s">
        <v>11</v>
      </c>
      <c r="H73" t="s">
        <v>38</v>
      </c>
      <c r="I73" t="s">
        <v>13</v>
      </c>
      <c r="J73" t="s">
        <v>13</v>
      </c>
    </row>
    <row r="74" spans="1:11" x14ac:dyDescent="0.25">
      <c r="A74" t="s">
        <v>39</v>
      </c>
      <c r="B74" t="s">
        <v>13</v>
      </c>
      <c r="C74" t="s">
        <v>7</v>
      </c>
      <c r="D74" t="s">
        <v>8</v>
      </c>
      <c r="E74">
        <v>10442400</v>
      </c>
      <c r="F74">
        <v>5222100</v>
      </c>
      <c r="G74" t="s">
        <v>11</v>
      </c>
      <c r="H74">
        <v>47833600</v>
      </c>
      <c r="I74" t="s">
        <v>13</v>
      </c>
      <c r="J74" t="s">
        <v>13</v>
      </c>
      <c r="K74">
        <v>10.92</v>
      </c>
    </row>
    <row r="76" spans="1:11" x14ac:dyDescent="0.25">
      <c r="A76" t="s">
        <v>54</v>
      </c>
      <c r="B76" t="str">
        <f>"33101"</f>
        <v>33101</v>
      </c>
      <c r="C76" t="str">
        <f>"003"</f>
        <v>003</v>
      </c>
      <c r="D76">
        <v>2012</v>
      </c>
      <c r="E76">
        <v>1741500</v>
      </c>
      <c r="F76">
        <v>-10000</v>
      </c>
      <c r="G76" t="s">
        <v>43</v>
      </c>
      <c r="H76" t="s">
        <v>38</v>
      </c>
      <c r="I76" t="s">
        <v>13</v>
      </c>
      <c r="J76" t="s">
        <v>13</v>
      </c>
    </row>
    <row r="77" spans="1:11" x14ac:dyDescent="0.25">
      <c r="A77" t="s">
        <v>39</v>
      </c>
      <c r="B77" t="s">
        <v>13</v>
      </c>
      <c r="C77" t="s">
        <v>7</v>
      </c>
      <c r="D77" t="s">
        <v>8</v>
      </c>
      <c r="E77">
        <v>1741500</v>
      </c>
      <c r="F77">
        <v>0</v>
      </c>
      <c r="G77" t="s">
        <v>11</v>
      </c>
      <c r="H77">
        <v>38668500</v>
      </c>
      <c r="I77" t="s">
        <v>13</v>
      </c>
      <c r="J77" t="s">
        <v>13</v>
      </c>
      <c r="K77">
        <v>0</v>
      </c>
    </row>
    <row r="79" spans="1:11" x14ac:dyDescent="0.25">
      <c r="A79" t="s">
        <v>55</v>
      </c>
      <c r="B79" t="str">
        <f>"11101"</f>
        <v>11101</v>
      </c>
      <c r="C79" t="str">
        <f>"001"</f>
        <v>001</v>
      </c>
      <c r="D79">
        <v>1999</v>
      </c>
      <c r="E79">
        <v>10119200</v>
      </c>
      <c r="F79">
        <v>7616300</v>
      </c>
      <c r="G79" t="s">
        <v>11</v>
      </c>
      <c r="H79" t="s">
        <v>38</v>
      </c>
      <c r="I79" t="s">
        <v>13</v>
      </c>
      <c r="J79" t="s">
        <v>13</v>
      </c>
    </row>
    <row r="80" spans="1:11" x14ac:dyDescent="0.25">
      <c r="A80" t="s">
        <v>39</v>
      </c>
      <c r="B80" t="s">
        <v>13</v>
      </c>
      <c r="C80" t="s">
        <v>7</v>
      </c>
      <c r="D80" t="s">
        <v>8</v>
      </c>
      <c r="E80">
        <v>10119200</v>
      </c>
      <c r="F80">
        <v>7616300</v>
      </c>
      <c r="G80" t="s">
        <v>11</v>
      </c>
      <c r="H80">
        <v>78380100</v>
      </c>
      <c r="I80" t="s">
        <v>13</v>
      </c>
      <c r="J80" t="s">
        <v>13</v>
      </c>
      <c r="K80">
        <v>9.7200000000000006</v>
      </c>
    </row>
    <row r="82" spans="1:11" x14ac:dyDescent="0.25">
      <c r="A82" t="s">
        <v>56</v>
      </c>
      <c r="B82" t="str">
        <f>"02201"</f>
        <v>02201</v>
      </c>
      <c r="C82" t="str">
        <f>"006"</f>
        <v>006</v>
      </c>
      <c r="D82">
        <v>1994</v>
      </c>
      <c r="E82">
        <v>17382800</v>
      </c>
      <c r="F82">
        <v>11723200</v>
      </c>
      <c r="G82" t="s">
        <v>11</v>
      </c>
      <c r="H82" t="s">
        <v>38</v>
      </c>
      <c r="I82" t="s">
        <v>13</v>
      </c>
      <c r="J82" t="s">
        <v>13</v>
      </c>
    </row>
    <row r="83" spans="1:11" x14ac:dyDescent="0.25">
      <c r="A83" t="s">
        <v>5</v>
      </c>
      <c r="B83" t="str">
        <f>"02201"</f>
        <v>02201</v>
      </c>
      <c r="C83" t="str">
        <f>"009"</f>
        <v>009</v>
      </c>
      <c r="D83">
        <v>2006</v>
      </c>
      <c r="E83">
        <v>10142000</v>
      </c>
      <c r="F83">
        <v>7782400</v>
      </c>
      <c r="G83" t="s">
        <v>11</v>
      </c>
      <c r="H83" t="s">
        <v>38</v>
      </c>
      <c r="I83" t="s">
        <v>13</v>
      </c>
      <c r="J83" t="s">
        <v>13</v>
      </c>
    </row>
    <row r="84" spans="1:11" x14ac:dyDescent="0.25">
      <c r="A84" t="s">
        <v>5</v>
      </c>
      <c r="B84" t="str">
        <f>"02201"</f>
        <v>02201</v>
      </c>
      <c r="C84" t="str">
        <f>"010"</f>
        <v>010</v>
      </c>
      <c r="D84">
        <v>2017</v>
      </c>
      <c r="E84">
        <v>2441900</v>
      </c>
      <c r="F84">
        <v>-267300</v>
      </c>
      <c r="G84" t="s">
        <v>43</v>
      </c>
      <c r="H84" t="s">
        <v>38</v>
      </c>
      <c r="I84" t="s">
        <v>13</v>
      </c>
      <c r="J84" t="s">
        <v>13</v>
      </c>
    </row>
    <row r="85" spans="1:11" x14ac:dyDescent="0.25">
      <c r="A85" t="s">
        <v>39</v>
      </c>
      <c r="B85" t="s">
        <v>13</v>
      </c>
      <c r="C85" t="s">
        <v>7</v>
      </c>
      <c r="D85" t="s">
        <v>8</v>
      </c>
      <c r="E85">
        <v>29966700</v>
      </c>
      <c r="F85">
        <v>19505600</v>
      </c>
      <c r="G85" t="s">
        <v>11</v>
      </c>
      <c r="H85">
        <v>454973200</v>
      </c>
      <c r="I85" t="s">
        <v>13</v>
      </c>
      <c r="J85" t="s">
        <v>13</v>
      </c>
      <c r="K85">
        <v>4.29</v>
      </c>
    </row>
    <row r="87" spans="1:11" x14ac:dyDescent="0.25">
      <c r="A87" t="s">
        <v>57</v>
      </c>
      <c r="B87" t="str">
        <f>"05104"</f>
        <v>05104</v>
      </c>
      <c r="C87" t="str">
        <f>"003"</f>
        <v>003</v>
      </c>
      <c r="D87">
        <v>2008</v>
      </c>
      <c r="E87">
        <v>479644100</v>
      </c>
      <c r="F87">
        <v>130390200</v>
      </c>
      <c r="G87" t="s">
        <v>11</v>
      </c>
      <c r="H87" t="s">
        <v>38</v>
      </c>
      <c r="I87" t="s">
        <v>13</v>
      </c>
      <c r="J87" t="s">
        <v>13</v>
      </c>
    </row>
    <row r="88" spans="1:11" x14ac:dyDescent="0.25">
      <c r="A88" t="s">
        <v>5</v>
      </c>
      <c r="B88" t="str">
        <f>"05104"</f>
        <v>05104</v>
      </c>
      <c r="C88" t="str">
        <f>"004"</f>
        <v>004</v>
      </c>
      <c r="D88">
        <v>2008</v>
      </c>
      <c r="E88">
        <v>77698300</v>
      </c>
      <c r="F88">
        <v>61710900</v>
      </c>
      <c r="G88" t="s">
        <v>11</v>
      </c>
      <c r="H88" t="s">
        <v>38</v>
      </c>
      <c r="I88" t="s">
        <v>13</v>
      </c>
      <c r="J88" t="s">
        <v>13</v>
      </c>
    </row>
    <row r="89" spans="1:11" x14ac:dyDescent="0.25">
      <c r="A89" t="s">
        <v>5</v>
      </c>
      <c r="B89" t="str">
        <f>"05104"</f>
        <v>05104</v>
      </c>
      <c r="C89" t="str">
        <f>"005"</f>
        <v>005</v>
      </c>
      <c r="D89">
        <v>2014</v>
      </c>
      <c r="E89">
        <v>48580400</v>
      </c>
      <c r="F89">
        <v>337200</v>
      </c>
      <c r="G89" t="s">
        <v>11</v>
      </c>
      <c r="H89" t="s">
        <v>38</v>
      </c>
      <c r="I89" t="s">
        <v>13</v>
      </c>
      <c r="J89" t="s">
        <v>13</v>
      </c>
    </row>
    <row r="90" spans="1:11" x14ac:dyDescent="0.25">
      <c r="A90" t="s">
        <v>39</v>
      </c>
      <c r="B90" t="s">
        <v>13</v>
      </c>
      <c r="C90" t="s">
        <v>7</v>
      </c>
      <c r="D90" t="s">
        <v>8</v>
      </c>
      <c r="E90">
        <v>605922800</v>
      </c>
      <c r="F90">
        <v>192438300</v>
      </c>
      <c r="G90" t="s">
        <v>11</v>
      </c>
      <c r="H90">
        <v>2397222200</v>
      </c>
      <c r="I90" t="s">
        <v>13</v>
      </c>
      <c r="J90" t="s">
        <v>13</v>
      </c>
      <c r="K90">
        <v>8.0299999999999994</v>
      </c>
    </row>
    <row r="92" spans="1:11" x14ac:dyDescent="0.25">
      <c r="A92" t="s">
        <v>58</v>
      </c>
      <c r="B92" t="str">
        <f>"37102"</f>
        <v>37102</v>
      </c>
      <c r="C92" t="str">
        <f>"001"</f>
        <v>001</v>
      </c>
      <c r="D92">
        <v>1995</v>
      </c>
      <c r="E92">
        <v>3628400</v>
      </c>
      <c r="F92">
        <v>3583900</v>
      </c>
      <c r="G92" t="s">
        <v>11</v>
      </c>
      <c r="H92" t="s">
        <v>38</v>
      </c>
      <c r="I92" t="s">
        <v>13</v>
      </c>
      <c r="J92" t="s">
        <v>13</v>
      </c>
    </row>
    <row r="93" spans="1:11" x14ac:dyDescent="0.25">
      <c r="A93" t="s">
        <v>5</v>
      </c>
      <c r="B93" t="str">
        <f>"37102"</f>
        <v>37102</v>
      </c>
      <c r="C93" t="str">
        <f>"002"</f>
        <v>002</v>
      </c>
      <c r="D93">
        <v>2007</v>
      </c>
      <c r="E93">
        <v>5625500</v>
      </c>
      <c r="F93">
        <v>3736000</v>
      </c>
      <c r="G93" t="s">
        <v>11</v>
      </c>
      <c r="H93" t="s">
        <v>38</v>
      </c>
      <c r="I93" t="s">
        <v>13</v>
      </c>
      <c r="J93" t="s">
        <v>13</v>
      </c>
    </row>
    <row r="94" spans="1:11" x14ac:dyDescent="0.25">
      <c r="A94" t="s">
        <v>39</v>
      </c>
      <c r="B94" t="s">
        <v>13</v>
      </c>
      <c r="C94" t="s">
        <v>7</v>
      </c>
      <c r="D94" t="s">
        <v>8</v>
      </c>
      <c r="E94">
        <v>9253900</v>
      </c>
      <c r="F94">
        <v>7319900</v>
      </c>
      <c r="G94" t="s">
        <v>11</v>
      </c>
      <c r="H94">
        <v>54545600</v>
      </c>
      <c r="I94" t="s">
        <v>13</v>
      </c>
      <c r="J94" t="s">
        <v>13</v>
      </c>
      <c r="K94">
        <v>13.42</v>
      </c>
    </row>
    <row r="96" spans="1:11" x14ac:dyDescent="0.25">
      <c r="A96" t="s">
        <v>59</v>
      </c>
      <c r="B96" t="str">
        <f>"71101"</f>
        <v>71101</v>
      </c>
      <c r="C96" t="str">
        <f>"001"</f>
        <v>001</v>
      </c>
      <c r="D96">
        <v>2006</v>
      </c>
      <c r="E96">
        <v>3592400</v>
      </c>
      <c r="F96">
        <v>1519400</v>
      </c>
      <c r="G96" t="s">
        <v>11</v>
      </c>
      <c r="H96" t="s">
        <v>38</v>
      </c>
      <c r="I96" t="s">
        <v>13</v>
      </c>
      <c r="J96" t="s">
        <v>13</v>
      </c>
    </row>
    <row r="97" spans="1:11" x14ac:dyDescent="0.25">
      <c r="A97" t="s">
        <v>5</v>
      </c>
      <c r="B97" t="str">
        <f>"71101"</f>
        <v>71101</v>
      </c>
      <c r="C97" t="str">
        <f>"002"</f>
        <v>002</v>
      </c>
      <c r="D97">
        <v>2015</v>
      </c>
      <c r="E97">
        <v>2324400</v>
      </c>
      <c r="F97">
        <v>524000</v>
      </c>
      <c r="G97" t="s">
        <v>11</v>
      </c>
      <c r="H97" t="s">
        <v>38</v>
      </c>
      <c r="I97" t="s">
        <v>13</v>
      </c>
      <c r="J97" t="s">
        <v>13</v>
      </c>
    </row>
    <row r="98" spans="1:11" x14ac:dyDescent="0.25">
      <c r="A98" t="s">
        <v>39</v>
      </c>
      <c r="B98" t="s">
        <v>13</v>
      </c>
      <c r="C98" t="s">
        <v>7</v>
      </c>
      <c r="D98" t="s">
        <v>8</v>
      </c>
      <c r="E98">
        <v>5916800</v>
      </c>
      <c r="F98">
        <v>2043400</v>
      </c>
      <c r="G98" t="s">
        <v>11</v>
      </c>
      <c r="H98">
        <v>36737700</v>
      </c>
      <c r="I98" t="s">
        <v>13</v>
      </c>
      <c r="J98" t="s">
        <v>13</v>
      </c>
      <c r="K98">
        <v>5.56</v>
      </c>
    </row>
    <row r="100" spans="1:11" x14ac:dyDescent="0.25">
      <c r="A100" t="s">
        <v>60</v>
      </c>
      <c r="B100" t="str">
        <f>"18202"</f>
        <v>18202</v>
      </c>
      <c r="C100" t="str">
        <f>"004"</f>
        <v>004</v>
      </c>
      <c r="D100">
        <v>2005</v>
      </c>
      <c r="E100">
        <v>19832400</v>
      </c>
      <c r="F100">
        <v>15876700</v>
      </c>
      <c r="G100" t="s">
        <v>11</v>
      </c>
      <c r="H100" t="s">
        <v>38</v>
      </c>
      <c r="I100" t="s">
        <v>13</v>
      </c>
      <c r="J100" t="s">
        <v>13</v>
      </c>
    </row>
    <row r="101" spans="1:11" x14ac:dyDescent="0.25">
      <c r="A101" t="s">
        <v>39</v>
      </c>
      <c r="B101" t="s">
        <v>13</v>
      </c>
      <c r="C101" t="s">
        <v>7</v>
      </c>
      <c r="D101" t="s">
        <v>8</v>
      </c>
      <c r="E101">
        <v>19832400</v>
      </c>
      <c r="F101">
        <v>15876700</v>
      </c>
      <c r="G101" t="s">
        <v>11</v>
      </c>
      <c r="H101">
        <v>89933700</v>
      </c>
      <c r="I101" t="s">
        <v>13</v>
      </c>
      <c r="J101" t="s">
        <v>13</v>
      </c>
      <c r="K101">
        <v>17.649999999999999</v>
      </c>
    </row>
    <row r="103" spans="1:11" x14ac:dyDescent="0.25">
      <c r="A103" t="s">
        <v>61</v>
      </c>
      <c r="B103" t="str">
        <f>"25102"</f>
        <v>25102</v>
      </c>
      <c r="C103" t="str">
        <f>"001"</f>
        <v>001</v>
      </c>
      <c r="D103">
        <v>1995</v>
      </c>
      <c r="E103">
        <v>5715300</v>
      </c>
      <c r="F103">
        <v>3546800</v>
      </c>
      <c r="G103" t="s">
        <v>11</v>
      </c>
      <c r="H103" t="s">
        <v>38</v>
      </c>
      <c r="I103" t="s">
        <v>13</v>
      </c>
      <c r="J103" t="s">
        <v>13</v>
      </c>
    </row>
    <row r="104" spans="1:11" x14ac:dyDescent="0.25">
      <c r="A104" t="s">
        <v>39</v>
      </c>
      <c r="B104" t="s">
        <v>13</v>
      </c>
      <c r="C104" t="s">
        <v>7</v>
      </c>
      <c r="D104" t="s">
        <v>8</v>
      </c>
      <c r="E104">
        <v>5715300</v>
      </c>
      <c r="F104">
        <v>3546800</v>
      </c>
      <c r="G104" t="s">
        <v>11</v>
      </c>
      <c r="H104">
        <v>17807300</v>
      </c>
      <c r="I104" t="s">
        <v>13</v>
      </c>
      <c r="J104" t="s">
        <v>13</v>
      </c>
      <c r="K104">
        <v>19.920000000000002</v>
      </c>
    </row>
    <row r="106" spans="1:11" x14ac:dyDescent="0.25">
      <c r="A106" t="s">
        <v>62</v>
      </c>
      <c r="B106" t="str">
        <f>"55106"</f>
        <v>55106</v>
      </c>
      <c r="C106" t="str">
        <f>"005"</f>
        <v>005</v>
      </c>
      <c r="D106">
        <v>1995</v>
      </c>
      <c r="E106">
        <v>3060400</v>
      </c>
      <c r="F106">
        <v>3037900</v>
      </c>
      <c r="G106" t="s">
        <v>11</v>
      </c>
      <c r="H106" t="s">
        <v>38</v>
      </c>
      <c r="I106" t="s">
        <v>13</v>
      </c>
      <c r="J106" t="s">
        <v>13</v>
      </c>
    </row>
    <row r="107" spans="1:11" x14ac:dyDescent="0.25">
      <c r="A107" t="s">
        <v>5</v>
      </c>
      <c r="B107" t="str">
        <f>"55106"</f>
        <v>55106</v>
      </c>
      <c r="C107" t="str">
        <f>"006"</f>
        <v>006</v>
      </c>
      <c r="D107">
        <v>2005</v>
      </c>
      <c r="E107">
        <v>12672300</v>
      </c>
      <c r="F107">
        <v>447800</v>
      </c>
      <c r="G107" t="s">
        <v>11</v>
      </c>
      <c r="H107" t="s">
        <v>38</v>
      </c>
      <c r="I107" t="s">
        <v>13</v>
      </c>
      <c r="J107" t="s">
        <v>13</v>
      </c>
    </row>
    <row r="108" spans="1:11" x14ac:dyDescent="0.25">
      <c r="A108" t="s">
        <v>5</v>
      </c>
      <c r="B108" t="str">
        <f>"55106"</f>
        <v>55106</v>
      </c>
      <c r="C108" t="str">
        <f>"007"</f>
        <v>007</v>
      </c>
      <c r="D108">
        <v>2007</v>
      </c>
      <c r="E108">
        <v>19641000</v>
      </c>
      <c r="F108">
        <v>14638800</v>
      </c>
      <c r="G108" t="s">
        <v>11</v>
      </c>
      <c r="H108" t="s">
        <v>38</v>
      </c>
      <c r="I108" t="s">
        <v>13</v>
      </c>
      <c r="J108" t="s">
        <v>13</v>
      </c>
    </row>
    <row r="109" spans="1:11" x14ac:dyDescent="0.25">
      <c r="A109" t="s">
        <v>39</v>
      </c>
      <c r="B109" t="s">
        <v>13</v>
      </c>
      <c r="C109" t="s">
        <v>7</v>
      </c>
      <c r="D109" t="s">
        <v>8</v>
      </c>
      <c r="E109">
        <v>35373700</v>
      </c>
      <c r="F109">
        <v>18124500</v>
      </c>
      <c r="G109" t="s">
        <v>11</v>
      </c>
      <c r="H109">
        <v>297460500</v>
      </c>
      <c r="I109" t="s">
        <v>13</v>
      </c>
      <c r="J109" t="s">
        <v>13</v>
      </c>
      <c r="K109">
        <v>6.09</v>
      </c>
    </row>
    <row r="111" spans="1:11" x14ac:dyDescent="0.25">
      <c r="A111" t="s">
        <v>63</v>
      </c>
      <c r="B111" t="str">
        <f>"48106"</f>
        <v>48106</v>
      </c>
      <c r="C111" t="str">
        <f>"002"</f>
        <v>002</v>
      </c>
      <c r="D111">
        <v>1995</v>
      </c>
      <c r="E111">
        <v>2943300</v>
      </c>
      <c r="F111">
        <v>2931500</v>
      </c>
      <c r="G111" t="s">
        <v>11</v>
      </c>
      <c r="H111" t="s">
        <v>38</v>
      </c>
      <c r="I111" t="s">
        <v>13</v>
      </c>
      <c r="J111" t="s">
        <v>13</v>
      </c>
    </row>
    <row r="112" spans="1:11" x14ac:dyDescent="0.25">
      <c r="A112" t="s">
        <v>5</v>
      </c>
      <c r="B112" t="str">
        <f>"48106"</f>
        <v>48106</v>
      </c>
      <c r="C112" t="str">
        <f>"003"</f>
        <v>003</v>
      </c>
      <c r="D112">
        <v>2004</v>
      </c>
      <c r="E112">
        <v>95800</v>
      </c>
      <c r="F112">
        <v>73500</v>
      </c>
      <c r="G112" t="s">
        <v>11</v>
      </c>
      <c r="H112" t="s">
        <v>38</v>
      </c>
      <c r="I112" t="s">
        <v>13</v>
      </c>
      <c r="J112" t="s">
        <v>13</v>
      </c>
    </row>
    <row r="113" spans="1:11" x14ac:dyDescent="0.25">
      <c r="A113" t="s">
        <v>5</v>
      </c>
      <c r="B113" t="str">
        <f>"48106"</f>
        <v>48106</v>
      </c>
      <c r="C113" t="str">
        <f>"005"</f>
        <v>005</v>
      </c>
      <c r="D113">
        <v>2006</v>
      </c>
      <c r="E113">
        <v>8197100</v>
      </c>
      <c r="F113">
        <v>462000</v>
      </c>
      <c r="G113" t="s">
        <v>11</v>
      </c>
      <c r="H113" t="s">
        <v>38</v>
      </c>
      <c r="I113" t="s">
        <v>13</v>
      </c>
      <c r="J113" t="s">
        <v>13</v>
      </c>
    </row>
    <row r="114" spans="1:11" x14ac:dyDescent="0.25">
      <c r="A114" t="s">
        <v>5</v>
      </c>
      <c r="B114" t="str">
        <f>"48106"</f>
        <v>48106</v>
      </c>
      <c r="C114" t="str">
        <f>"006"</f>
        <v>006</v>
      </c>
      <c r="D114">
        <v>2013</v>
      </c>
      <c r="E114">
        <v>8903300</v>
      </c>
      <c r="F114">
        <v>1109700</v>
      </c>
      <c r="G114" t="s">
        <v>11</v>
      </c>
      <c r="H114" t="s">
        <v>38</v>
      </c>
      <c r="I114" t="s">
        <v>13</v>
      </c>
      <c r="J114" t="s">
        <v>13</v>
      </c>
    </row>
    <row r="115" spans="1:11" x14ac:dyDescent="0.25">
      <c r="A115" t="s">
        <v>39</v>
      </c>
      <c r="B115" t="s">
        <v>13</v>
      </c>
      <c r="C115" t="s">
        <v>7</v>
      </c>
      <c r="D115" t="s">
        <v>8</v>
      </c>
      <c r="E115">
        <v>20139500</v>
      </c>
      <c r="F115">
        <v>4576700</v>
      </c>
      <c r="G115" t="s">
        <v>11</v>
      </c>
      <c r="H115">
        <v>139168300</v>
      </c>
      <c r="I115" t="s">
        <v>13</v>
      </c>
      <c r="J115" t="s">
        <v>13</v>
      </c>
      <c r="K115">
        <v>3.29</v>
      </c>
    </row>
    <row r="117" spans="1:11" x14ac:dyDescent="0.25">
      <c r="A117" t="s">
        <v>64</v>
      </c>
      <c r="B117" t="str">
        <f>"32106"</f>
        <v>32106</v>
      </c>
      <c r="C117" t="str">
        <f>"001"</f>
        <v>001</v>
      </c>
      <c r="D117">
        <v>2008</v>
      </c>
      <c r="E117">
        <v>345700</v>
      </c>
      <c r="F117">
        <v>-139100</v>
      </c>
      <c r="G117" t="s">
        <v>43</v>
      </c>
      <c r="H117" t="s">
        <v>38</v>
      </c>
      <c r="I117" t="s">
        <v>13</v>
      </c>
      <c r="J117" t="s">
        <v>13</v>
      </c>
    </row>
    <row r="118" spans="1:11" x14ac:dyDescent="0.25">
      <c r="A118" t="s">
        <v>5</v>
      </c>
      <c r="B118" t="str">
        <f>"32106"</f>
        <v>32106</v>
      </c>
      <c r="C118" t="str">
        <f>"002"</f>
        <v>002</v>
      </c>
      <c r="D118">
        <v>2015</v>
      </c>
      <c r="E118">
        <v>2176100</v>
      </c>
      <c r="F118">
        <v>1555600</v>
      </c>
      <c r="G118" t="s">
        <v>11</v>
      </c>
      <c r="H118" t="s">
        <v>38</v>
      </c>
      <c r="I118" t="s">
        <v>13</v>
      </c>
      <c r="J118" t="s">
        <v>13</v>
      </c>
    </row>
    <row r="119" spans="1:11" x14ac:dyDescent="0.25">
      <c r="A119" t="s">
        <v>39</v>
      </c>
      <c r="B119" t="s">
        <v>13</v>
      </c>
      <c r="C119" t="s">
        <v>7</v>
      </c>
      <c r="D119" t="s">
        <v>8</v>
      </c>
      <c r="E119">
        <v>2521800</v>
      </c>
      <c r="F119">
        <v>1555600</v>
      </c>
      <c r="G119" t="s">
        <v>11</v>
      </c>
      <c r="H119">
        <v>84266400</v>
      </c>
      <c r="I119" t="s">
        <v>13</v>
      </c>
      <c r="J119" t="s">
        <v>13</v>
      </c>
      <c r="K119">
        <v>1.85</v>
      </c>
    </row>
    <row r="121" spans="1:11" x14ac:dyDescent="0.25">
      <c r="A121" t="s">
        <v>65</v>
      </c>
      <c r="B121" t="str">
        <f>"56206"</f>
        <v>56206</v>
      </c>
      <c r="C121" t="str">
        <f>"006"</f>
        <v>006</v>
      </c>
      <c r="D121">
        <v>1999</v>
      </c>
      <c r="E121">
        <v>44080400</v>
      </c>
      <c r="F121">
        <v>35922400</v>
      </c>
      <c r="G121" t="s">
        <v>11</v>
      </c>
      <c r="H121" t="s">
        <v>38</v>
      </c>
      <c r="I121" t="s">
        <v>13</v>
      </c>
      <c r="J121" t="s">
        <v>13</v>
      </c>
    </row>
    <row r="122" spans="1:11" x14ac:dyDescent="0.25">
      <c r="A122" t="s">
        <v>5</v>
      </c>
      <c r="B122" t="str">
        <f>"56206"</f>
        <v>56206</v>
      </c>
      <c r="C122" t="str">
        <f>"007"</f>
        <v>007</v>
      </c>
      <c r="D122">
        <v>2006</v>
      </c>
      <c r="E122">
        <v>9108000</v>
      </c>
      <c r="F122">
        <v>8859700</v>
      </c>
      <c r="G122" t="s">
        <v>11</v>
      </c>
      <c r="H122" t="s">
        <v>38</v>
      </c>
      <c r="I122" t="s">
        <v>13</v>
      </c>
      <c r="J122" t="s">
        <v>13</v>
      </c>
    </row>
    <row r="123" spans="1:11" x14ac:dyDescent="0.25">
      <c r="A123" t="s">
        <v>5</v>
      </c>
      <c r="B123" t="str">
        <f>"56206"</f>
        <v>56206</v>
      </c>
      <c r="C123" t="str">
        <f>"008"</f>
        <v>008</v>
      </c>
      <c r="D123">
        <v>2006</v>
      </c>
      <c r="E123">
        <v>17702200</v>
      </c>
      <c r="F123">
        <v>185600</v>
      </c>
      <c r="G123" t="s">
        <v>11</v>
      </c>
      <c r="H123" t="s">
        <v>38</v>
      </c>
      <c r="I123" t="s">
        <v>13</v>
      </c>
      <c r="J123" t="s">
        <v>13</v>
      </c>
    </row>
    <row r="124" spans="1:11" x14ac:dyDescent="0.25">
      <c r="A124" t="s">
        <v>5</v>
      </c>
      <c r="B124" t="str">
        <f>"56206"</f>
        <v>56206</v>
      </c>
      <c r="C124" t="str">
        <f>"009"</f>
        <v>009</v>
      </c>
      <c r="D124">
        <v>2008</v>
      </c>
      <c r="E124">
        <v>0</v>
      </c>
      <c r="F124">
        <v>-344100</v>
      </c>
      <c r="G124" t="s">
        <v>43</v>
      </c>
      <c r="H124" t="s">
        <v>38</v>
      </c>
      <c r="I124" t="s">
        <v>13</v>
      </c>
      <c r="J124" t="s">
        <v>13</v>
      </c>
    </row>
    <row r="125" spans="1:11" x14ac:dyDescent="0.25">
      <c r="A125" t="s">
        <v>39</v>
      </c>
      <c r="B125" t="s">
        <v>13</v>
      </c>
      <c r="C125" t="s">
        <v>7</v>
      </c>
      <c r="D125" t="s">
        <v>8</v>
      </c>
      <c r="E125">
        <v>70890600</v>
      </c>
      <c r="F125">
        <v>44967700</v>
      </c>
      <c r="G125" t="s">
        <v>11</v>
      </c>
      <c r="H125">
        <v>860306700</v>
      </c>
      <c r="I125" t="s">
        <v>13</v>
      </c>
      <c r="J125" t="s">
        <v>13</v>
      </c>
      <c r="K125">
        <v>5.23</v>
      </c>
    </row>
    <row r="127" spans="1:11" x14ac:dyDescent="0.25">
      <c r="A127" t="s">
        <v>66</v>
      </c>
      <c r="B127" t="str">
        <f>"25106"</f>
        <v>25106</v>
      </c>
      <c r="C127" t="str">
        <f>"001"</f>
        <v>001</v>
      </c>
      <c r="D127">
        <v>2002</v>
      </c>
      <c r="E127">
        <v>7629500</v>
      </c>
      <c r="F127">
        <v>5897200</v>
      </c>
      <c r="G127" t="s">
        <v>11</v>
      </c>
      <c r="H127" t="s">
        <v>38</v>
      </c>
      <c r="I127" t="s">
        <v>13</v>
      </c>
      <c r="J127" t="s">
        <v>13</v>
      </c>
    </row>
    <row r="128" spans="1:11" x14ac:dyDescent="0.25">
      <c r="A128" t="s">
        <v>5</v>
      </c>
      <c r="B128" t="str">
        <f>"25106"</f>
        <v>25106</v>
      </c>
      <c r="C128" t="str">
        <f>"002"</f>
        <v>002</v>
      </c>
      <c r="D128">
        <v>2015</v>
      </c>
      <c r="E128">
        <v>28903400</v>
      </c>
      <c r="F128">
        <v>28671400</v>
      </c>
      <c r="G128" t="s">
        <v>11</v>
      </c>
      <c r="H128" t="s">
        <v>38</v>
      </c>
      <c r="I128" t="s">
        <v>13</v>
      </c>
      <c r="J128" t="s">
        <v>13</v>
      </c>
    </row>
    <row r="129" spans="1:11" x14ac:dyDescent="0.25">
      <c r="A129" t="s">
        <v>39</v>
      </c>
      <c r="B129" t="s">
        <v>13</v>
      </c>
      <c r="C129" t="s">
        <v>7</v>
      </c>
      <c r="D129" t="s">
        <v>8</v>
      </c>
      <c r="E129">
        <v>36532900</v>
      </c>
      <c r="F129">
        <v>34568600</v>
      </c>
      <c r="G129" t="s">
        <v>11</v>
      </c>
      <c r="H129">
        <v>133999500</v>
      </c>
      <c r="I129" t="s">
        <v>13</v>
      </c>
      <c r="J129" t="s">
        <v>13</v>
      </c>
      <c r="K129">
        <v>25.8</v>
      </c>
    </row>
    <row r="131" spans="1:11" x14ac:dyDescent="0.25">
      <c r="A131" t="s">
        <v>67</v>
      </c>
      <c r="B131" t="str">
        <f>"03206"</f>
        <v>03206</v>
      </c>
      <c r="C131" t="str">
        <f>"002"</f>
        <v>002</v>
      </c>
      <c r="D131">
        <v>2000</v>
      </c>
      <c r="E131">
        <v>3441200</v>
      </c>
      <c r="F131">
        <v>1449800</v>
      </c>
      <c r="G131" t="s">
        <v>11</v>
      </c>
      <c r="H131" t="s">
        <v>38</v>
      </c>
      <c r="I131" t="s">
        <v>13</v>
      </c>
      <c r="J131" t="s">
        <v>13</v>
      </c>
    </row>
    <row r="132" spans="1:11" x14ac:dyDescent="0.25">
      <c r="A132" t="s">
        <v>5</v>
      </c>
      <c r="B132" t="str">
        <f>"03206"</f>
        <v>03206</v>
      </c>
      <c r="C132" t="str">
        <f>"003"</f>
        <v>003</v>
      </c>
      <c r="D132">
        <v>2005</v>
      </c>
      <c r="E132">
        <v>11161600</v>
      </c>
      <c r="F132">
        <v>1336200</v>
      </c>
      <c r="G132" t="s">
        <v>11</v>
      </c>
      <c r="H132" t="s">
        <v>38</v>
      </c>
      <c r="I132" t="s">
        <v>13</v>
      </c>
      <c r="J132" t="s">
        <v>13</v>
      </c>
    </row>
    <row r="133" spans="1:11" x14ac:dyDescent="0.25">
      <c r="A133" t="s">
        <v>5</v>
      </c>
      <c r="B133" t="str">
        <f>"03206"</f>
        <v>03206</v>
      </c>
      <c r="C133" t="str">
        <f>"004"</f>
        <v>004</v>
      </c>
      <c r="D133">
        <v>2007</v>
      </c>
      <c r="E133">
        <v>14599600</v>
      </c>
      <c r="F133">
        <v>2072400</v>
      </c>
      <c r="G133" t="s">
        <v>11</v>
      </c>
      <c r="H133" t="s">
        <v>38</v>
      </c>
      <c r="I133" t="s">
        <v>13</v>
      </c>
      <c r="J133" t="s">
        <v>13</v>
      </c>
    </row>
    <row r="134" spans="1:11" x14ac:dyDescent="0.25">
      <c r="A134" t="s">
        <v>5</v>
      </c>
      <c r="B134" t="str">
        <f>"03206"</f>
        <v>03206</v>
      </c>
      <c r="C134" t="str">
        <f>"005"</f>
        <v>005</v>
      </c>
      <c r="D134">
        <v>2010</v>
      </c>
      <c r="E134">
        <v>6810600</v>
      </c>
      <c r="F134">
        <v>1114400</v>
      </c>
      <c r="G134" t="s">
        <v>11</v>
      </c>
      <c r="H134" t="s">
        <v>38</v>
      </c>
      <c r="I134" t="s">
        <v>13</v>
      </c>
      <c r="J134" t="s">
        <v>13</v>
      </c>
    </row>
    <row r="135" spans="1:11" x14ac:dyDescent="0.25">
      <c r="A135" t="s">
        <v>5</v>
      </c>
      <c r="B135" t="str">
        <f>"03206"</f>
        <v>03206</v>
      </c>
      <c r="C135" t="str">
        <f>"006"</f>
        <v>006</v>
      </c>
      <c r="D135">
        <v>2015</v>
      </c>
      <c r="E135">
        <v>7033600</v>
      </c>
      <c r="F135">
        <v>2230300</v>
      </c>
      <c r="G135" t="s">
        <v>11</v>
      </c>
      <c r="H135" t="s">
        <v>38</v>
      </c>
      <c r="I135" t="s">
        <v>13</v>
      </c>
      <c r="J135" t="s">
        <v>13</v>
      </c>
    </row>
    <row r="136" spans="1:11" x14ac:dyDescent="0.25">
      <c r="A136" t="s">
        <v>39</v>
      </c>
      <c r="B136" t="s">
        <v>13</v>
      </c>
      <c r="C136" t="s">
        <v>7</v>
      </c>
      <c r="D136" t="s">
        <v>8</v>
      </c>
      <c r="E136">
        <v>43046600</v>
      </c>
      <c r="F136">
        <v>8203100</v>
      </c>
      <c r="G136" t="s">
        <v>11</v>
      </c>
      <c r="H136">
        <v>142349100</v>
      </c>
      <c r="I136" t="s">
        <v>13</v>
      </c>
      <c r="J136" t="s">
        <v>13</v>
      </c>
      <c r="K136">
        <v>5.76</v>
      </c>
    </row>
    <row r="138" spans="1:11" x14ac:dyDescent="0.25">
      <c r="A138" t="s">
        <v>68</v>
      </c>
      <c r="B138" t="str">
        <f>"14206"</f>
        <v>14206</v>
      </c>
      <c r="C138" t="str">
        <f>"004"</f>
        <v>004</v>
      </c>
      <c r="D138">
        <v>1994</v>
      </c>
      <c r="E138">
        <v>78818900</v>
      </c>
      <c r="F138">
        <v>68753800</v>
      </c>
      <c r="G138" t="s">
        <v>11</v>
      </c>
      <c r="H138" t="s">
        <v>38</v>
      </c>
      <c r="I138" t="s">
        <v>13</v>
      </c>
      <c r="J138" t="s">
        <v>13</v>
      </c>
    </row>
    <row r="139" spans="1:11" x14ac:dyDescent="0.25">
      <c r="A139" t="s">
        <v>5</v>
      </c>
      <c r="B139" t="str">
        <f>"14206"</f>
        <v>14206</v>
      </c>
      <c r="C139" t="str">
        <f>"006"</f>
        <v>006</v>
      </c>
      <c r="D139">
        <v>2009</v>
      </c>
      <c r="E139">
        <v>7316300</v>
      </c>
      <c r="F139">
        <v>6483600</v>
      </c>
      <c r="G139" t="s">
        <v>11</v>
      </c>
      <c r="H139" t="s">
        <v>38</v>
      </c>
      <c r="I139" t="s">
        <v>13</v>
      </c>
      <c r="J139" t="s">
        <v>13</v>
      </c>
    </row>
    <row r="140" spans="1:11" x14ac:dyDescent="0.25">
      <c r="A140" t="s">
        <v>5</v>
      </c>
      <c r="B140" t="str">
        <f>"14206"</f>
        <v>14206</v>
      </c>
      <c r="C140" t="str">
        <f>"007"</f>
        <v>007</v>
      </c>
      <c r="D140">
        <v>2016</v>
      </c>
      <c r="E140">
        <v>21064100</v>
      </c>
      <c r="F140">
        <v>21064100</v>
      </c>
      <c r="G140" t="s">
        <v>11</v>
      </c>
      <c r="H140" t="s">
        <v>38</v>
      </c>
      <c r="I140" t="s">
        <v>13</v>
      </c>
      <c r="J140" t="s">
        <v>13</v>
      </c>
    </row>
    <row r="141" spans="1:11" x14ac:dyDescent="0.25">
      <c r="A141" t="s">
        <v>39</v>
      </c>
      <c r="B141" t="s">
        <v>13</v>
      </c>
      <c r="C141" t="s">
        <v>7</v>
      </c>
      <c r="D141" t="s">
        <v>8</v>
      </c>
      <c r="E141">
        <v>107199300</v>
      </c>
      <c r="F141">
        <v>96301500</v>
      </c>
      <c r="G141" t="s">
        <v>11</v>
      </c>
      <c r="H141">
        <v>1158146300</v>
      </c>
      <c r="I141" t="s">
        <v>13</v>
      </c>
      <c r="J141" t="s">
        <v>13</v>
      </c>
      <c r="K141">
        <v>8.32</v>
      </c>
    </row>
    <row r="143" spans="1:11" x14ac:dyDescent="0.25">
      <c r="A143" t="s">
        <v>69</v>
      </c>
      <c r="B143" t="str">
        <f>"45106"</f>
        <v>45106</v>
      </c>
      <c r="C143" t="str">
        <f>"004"</f>
        <v>004</v>
      </c>
      <c r="D143">
        <v>1995</v>
      </c>
      <c r="E143">
        <v>40811100</v>
      </c>
      <c r="F143">
        <v>40386200</v>
      </c>
      <c r="G143" t="s">
        <v>11</v>
      </c>
      <c r="H143" t="s">
        <v>38</v>
      </c>
      <c r="I143" t="s">
        <v>13</v>
      </c>
      <c r="J143" t="s">
        <v>13</v>
      </c>
    </row>
    <row r="144" spans="1:11" x14ac:dyDescent="0.25">
      <c r="A144" t="s">
        <v>39</v>
      </c>
      <c r="B144" t="s">
        <v>13</v>
      </c>
      <c r="C144" t="s">
        <v>7</v>
      </c>
      <c r="D144" t="s">
        <v>8</v>
      </c>
      <c r="E144">
        <v>40811100</v>
      </c>
      <c r="F144">
        <v>40386200</v>
      </c>
      <c r="G144" t="s">
        <v>11</v>
      </c>
      <c r="H144">
        <v>197623200</v>
      </c>
      <c r="I144" t="s">
        <v>13</v>
      </c>
      <c r="J144" t="s">
        <v>13</v>
      </c>
      <c r="K144">
        <v>20.440000000000001</v>
      </c>
    </row>
    <row r="146" spans="1:11" x14ac:dyDescent="0.25">
      <c r="A146" t="s">
        <v>70</v>
      </c>
      <c r="B146" t="str">
        <f>"13106"</f>
        <v>13106</v>
      </c>
      <c r="C146" t="str">
        <f>"003"</f>
        <v>003</v>
      </c>
      <c r="D146">
        <v>2009</v>
      </c>
      <c r="E146">
        <v>4560300</v>
      </c>
      <c r="F146">
        <v>4397900</v>
      </c>
      <c r="G146" t="s">
        <v>11</v>
      </c>
      <c r="H146" t="s">
        <v>38</v>
      </c>
      <c r="I146" t="s">
        <v>13</v>
      </c>
      <c r="J146" t="s">
        <v>13</v>
      </c>
    </row>
    <row r="147" spans="1:11" x14ac:dyDescent="0.25">
      <c r="A147" t="s">
        <v>5</v>
      </c>
      <c r="B147" t="str">
        <f>"13106"</f>
        <v>13106</v>
      </c>
      <c r="C147" t="str">
        <f>"004"</f>
        <v>004</v>
      </c>
      <c r="D147">
        <v>2009</v>
      </c>
      <c r="E147">
        <v>1739700</v>
      </c>
      <c r="F147">
        <v>-591900</v>
      </c>
      <c r="G147" t="s">
        <v>43</v>
      </c>
      <c r="H147" t="s">
        <v>38</v>
      </c>
      <c r="I147" t="s">
        <v>13</v>
      </c>
      <c r="J147" t="s">
        <v>13</v>
      </c>
    </row>
    <row r="148" spans="1:11" x14ac:dyDescent="0.25">
      <c r="A148" t="s">
        <v>5</v>
      </c>
      <c r="B148" t="str">
        <f>"23106"</f>
        <v>23106</v>
      </c>
      <c r="C148" t="str">
        <f>"005"</f>
        <v>005</v>
      </c>
      <c r="D148">
        <v>2009</v>
      </c>
      <c r="E148">
        <v>370900</v>
      </c>
      <c r="F148">
        <v>2100</v>
      </c>
      <c r="G148" t="s">
        <v>11</v>
      </c>
      <c r="H148" t="s">
        <v>38</v>
      </c>
      <c r="I148" t="s">
        <v>13</v>
      </c>
      <c r="J148" t="s">
        <v>13</v>
      </c>
    </row>
    <row r="149" spans="1:11" x14ac:dyDescent="0.25">
      <c r="A149" t="s">
        <v>5</v>
      </c>
      <c r="B149" t="str">
        <f>"13106"</f>
        <v>13106</v>
      </c>
      <c r="C149" t="str">
        <f>"005"</f>
        <v>005</v>
      </c>
      <c r="D149">
        <v>2009</v>
      </c>
      <c r="E149">
        <v>6173100</v>
      </c>
      <c r="F149">
        <v>-817100</v>
      </c>
      <c r="G149" t="s">
        <v>43</v>
      </c>
      <c r="H149" t="s">
        <v>38</v>
      </c>
      <c r="I149" t="s">
        <v>13</v>
      </c>
      <c r="J149" t="s">
        <v>13</v>
      </c>
    </row>
    <row r="150" spans="1:11" x14ac:dyDescent="0.25">
      <c r="A150" t="s">
        <v>39</v>
      </c>
      <c r="B150" t="s">
        <v>13</v>
      </c>
      <c r="C150" t="s">
        <v>7</v>
      </c>
      <c r="D150" t="s">
        <v>8</v>
      </c>
      <c r="E150">
        <v>12844000</v>
      </c>
      <c r="F150">
        <v>4400000</v>
      </c>
      <c r="G150" t="s">
        <v>11</v>
      </c>
      <c r="H150">
        <v>226723700</v>
      </c>
      <c r="I150" t="s">
        <v>13</v>
      </c>
      <c r="J150" t="s">
        <v>13</v>
      </c>
      <c r="K150">
        <v>1.94</v>
      </c>
    </row>
    <row r="152" spans="1:11" x14ac:dyDescent="0.25">
      <c r="A152" t="s">
        <v>71</v>
      </c>
      <c r="B152" t="str">
        <f>"05106"</f>
        <v>05106</v>
      </c>
      <c r="C152" t="str">
        <f>"001"</f>
        <v>001</v>
      </c>
      <c r="D152">
        <v>2013</v>
      </c>
      <c r="E152">
        <v>33286800</v>
      </c>
      <c r="F152">
        <v>26088100</v>
      </c>
      <c r="G152" t="s">
        <v>11</v>
      </c>
      <c r="H152" t="s">
        <v>38</v>
      </c>
      <c r="I152" t="s">
        <v>13</v>
      </c>
      <c r="J152" t="s">
        <v>13</v>
      </c>
    </row>
    <row r="153" spans="1:11" x14ac:dyDescent="0.25">
      <c r="A153" t="s">
        <v>5</v>
      </c>
      <c r="B153" t="str">
        <f>"05106"</f>
        <v>05106</v>
      </c>
      <c r="C153" t="str">
        <f>"002"</f>
        <v>002</v>
      </c>
      <c r="D153">
        <v>2016</v>
      </c>
      <c r="E153">
        <v>3668900</v>
      </c>
      <c r="F153">
        <v>1277800</v>
      </c>
      <c r="G153" t="s">
        <v>11</v>
      </c>
      <c r="H153" t="s">
        <v>38</v>
      </c>
      <c r="I153" t="s">
        <v>13</v>
      </c>
      <c r="J153" t="s">
        <v>13</v>
      </c>
    </row>
    <row r="154" spans="1:11" x14ac:dyDescent="0.25">
      <c r="A154" t="s">
        <v>39</v>
      </c>
      <c r="B154" t="s">
        <v>13</v>
      </c>
      <c r="C154" t="s">
        <v>7</v>
      </c>
      <c r="D154" t="s">
        <v>8</v>
      </c>
      <c r="E154">
        <v>36955700</v>
      </c>
      <c r="F154">
        <v>27365900</v>
      </c>
      <c r="G154" t="s">
        <v>11</v>
      </c>
      <c r="H154">
        <v>1372766500</v>
      </c>
      <c r="I154" t="s">
        <v>13</v>
      </c>
      <c r="J154" t="s">
        <v>13</v>
      </c>
      <c r="K154">
        <v>1.99</v>
      </c>
    </row>
    <row r="156" spans="1:11" x14ac:dyDescent="0.25">
      <c r="A156" t="s">
        <v>72</v>
      </c>
      <c r="B156" t="str">
        <f>"33106"</f>
        <v>33106</v>
      </c>
      <c r="C156" t="str">
        <f>"001"</f>
        <v>001</v>
      </c>
      <c r="D156">
        <v>2004</v>
      </c>
      <c r="E156">
        <v>6824000</v>
      </c>
      <c r="F156">
        <v>6768000</v>
      </c>
      <c r="G156" t="s">
        <v>11</v>
      </c>
      <c r="H156" t="s">
        <v>38</v>
      </c>
      <c r="I156" t="s">
        <v>13</v>
      </c>
      <c r="J156" t="s">
        <v>13</v>
      </c>
    </row>
    <row r="157" spans="1:11" x14ac:dyDescent="0.25">
      <c r="A157" t="s">
        <v>39</v>
      </c>
      <c r="B157" t="s">
        <v>13</v>
      </c>
      <c r="C157" t="s">
        <v>7</v>
      </c>
      <c r="D157" t="s">
        <v>8</v>
      </c>
      <c r="E157">
        <v>6824000</v>
      </c>
      <c r="F157">
        <v>6768000</v>
      </c>
      <c r="G157" t="s">
        <v>11</v>
      </c>
      <c r="H157">
        <v>72714400</v>
      </c>
      <c r="I157" t="s">
        <v>13</v>
      </c>
      <c r="J157" t="s">
        <v>13</v>
      </c>
      <c r="K157">
        <v>9.31</v>
      </c>
    </row>
    <row r="159" spans="1:11" x14ac:dyDescent="0.25">
      <c r="A159" t="s">
        <v>73</v>
      </c>
      <c r="B159" t="str">
        <f t="shared" ref="B159:B166" si="0">"53206"</f>
        <v>53206</v>
      </c>
      <c r="C159" t="str">
        <f>"006"</f>
        <v>006</v>
      </c>
      <c r="D159">
        <v>1991</v>
      </c>
      <c r="E159">
        <v>43725900</v>
      </c>
      <c r="F159">
        <v>29652800</v>
      </c>
      <c r="G159" t="s">
        <v>11</v>
      </c>
      <c r="H159" t="s">
        <v>38</v>
      </c>
      <c r="I159" t="s">
        <v>13</v>
      </c>
      <c r="J159" t="s">
        <v>13</v>
      </c>
    </row>
    <row r="160" spans="1:11" x14ac:dyDescent="0.25">
      <c r="A160" t="s">
        <v>5</v>
      </c>
      <c r="B160" t="str">
        <f t="shared" si="0"/>
        <v>53206</v>
      </c>
      <c r="C160" t="str">
        <f>"008"</f>
        <v>008</v>
      </c>
      <c r="D160">
        <v>1995</v>
      </c>
      <c r="E160">
        <v>15476500</v>
      </c>
      <c r="F160">
        <v>13830200</v>
      </c>
      <c r="G160" t="s">
        <v>11</v>
      </c>
      <c r="H160" t="s">
        <v>38</v>
      </c>
      <c r="I160" t="s">
        <v>13</v>
      </c>
      <c r="J160" t="s">
        <v>13</v>
      </c>
    </row>
    <row r="161" spans="1:11" x14ac:dyDescent="0.25">
      <c r="A161" t="s">
        <v>5</v>
      </c>
      <c r="B161" t="str">
        <f t="shared" si="0"/>
        <v>53206</v>
      </c>
      <c r="C161" t="str">
        <f>"009"</f>
        <v>009</v>
      </c>
      <c r="D161">
        <v>1998</v>
      </c>
      <c r="E161">
        <v>9386700</v>
      </c>
      <c r="F161">
        <v>5720400</v>
      </c>
      <c r="G161" t="s">
        <v>11</v>
      </c>
      <c r="H161" t="s">
        <v>38</v>
      </c>
      <c r="I161" t="s">
        <v>13</v>
      </c>
      <c r="J161" t="s">
        <v>13</v>
      </c>
    </row>
    <row r="162" spans="1:11" x14ac:dyDescent="0.25">
      <c r="A162" t="s">
        <v>5</v>
      </c>
      <c r="B162" t="str">
        <f t="shared" si="0"/>
        <v>53206</v>
      </c>
      <c r="C162" t="str">
        <f>"010"</f>
        <v>010</v>
      </c>
      <c r="D162">
        <v>2001</v>
      </c>
      <c r="E162">
        <v>142655100</v>
      </c>
      <c r="F162">
        <v>140891700</v>
      </c>
      <c r="G162" t="s">
        <v>11</v>
      </c>
      <c r="H162" t="s">
        <v>38</v>
      </c>
      <c r="I162" t="s">
        <v>13</v>
      </c>
      <c r="J162" t="s">
        <v>13</v>
      </c>
    </row>
    <row r="163" spans="1:11" x14ac:dyDescent="0.25">
      <c r="A163" t="s">
        <v>5</v>
      </c>
      <c r="B163" t="str">
        <f t="shared" si="0"/>
        <v>53206</v>
      </c>
      <c r="C163" t="str">
        <f>"011"</f>
        <v>011</v>
      </c>
      <c r="D163">
        <v>2002</v>
      </c>
      <c r="E163">
        <v>9279700</v>
      </c>
      <c r="F163">
        <v>7316500</v>
      </c>
      <c r="G163" t="s">
        <v>11</v>
      </c>
      <c r="H163" t="s">
        <v>38</v>
      </c>
      <c r="I163" t="s">
        <v>13</v>
      </c>
      <c r="J163" t="s">
        <v>13</v>
      </c>
    </row>
    <row r="164" spans="1:11" x14ac:dyDescent="0.25">
      <c r="A164" t="s">
        <v>5</v>
      </c>
      <c r="B164" t="str">
        <f t="shared" si="0"/>
        <v>53206</v>
      </c>
      <c r="C164" t="str">
        <f>"012"</f>
        <v>012</v>
      </c>
      <c r="D164">
        <v>2003</v>
      </c>
      <c r="E164">
        <v>2161200</v>
      </c>
      <c r="F164">
        <v>1365900</v>
      </c>
      <c r="G164" t="s">
        <v>11</v>
      </c>
      <c r="H164" t="s">
        <v>38</v>
      </c>
      <c r="I164" t="s">
        <v>13</v>
      </c>
      <c r="J164" t="s">
        <v>13</v>
      </c>
    </row>
    <row r="165" spans="1:11" x14ac:dyDescent="0.25">
      <c r="A165" t="s">
        <v>5</v>
      </c>
      <c r="B165" t="str">
        <f t="shared" si="0"/>
        <v>53206</v>
      </c>
      <c r="C165" t="str">
        <f>"013"</f>
        <v>013</v>
      </c>
      <c r="D165">
        <v>2005</v>
      </c>
      <c r="E165">
        <v>44897300</v>
      </c>
      <c r="F165">
        <v>21042800</v>
      </c>
      <c r="G165" t="s">
        <v>11</v>
      </c>
      <c r="H165" t="s">
        <v>38</v>
      </c>
      <c r="I165" t="s">
        <v>13</v>
      </c>
      <c r="J165" t="s">
        <v>13</v>
      </c>
    </row>
    <row r="166" spans="1:11" x14ac:dyDescent="0.25">
      <c r="A166" t="s">
        <v>5</v>
      </c>
      <c r="B166" t="str">
        <f t="shared" si="0"/>
        <v>53206</v>
      </c>
      <c r="C166" t="str">
        <f>"014"</f>
        <v>014</v>
      </c>
      <c r="D166">
        <v>2007</v>
      </c>
      <c r="E166">
        <v>12730400</v>
      </c>
      <c r="F166">
        <v>2219700</v>
      </c>
      <c r="G166" t="s">
        <v>11</v>
      </c>
      <c r="H166" t="s">
        <v>38</v>
      </c>
      <c r="I166" t="s">
        <v>13</v>
      </c>
      <c r="J166" t="s">
        <v>13</v>
      </c>
    </row>
    <row r="167" spans="1:11" x14ac:dyDescent="0.25">
      <c r="A167" t="s">
        <v>39</v>
      </c>
      <c r="B167" t="s">
        <v>13</v>
      </c>
      <c r="C167" t="s">
        <v>7</v>
      </c>
      <c r="D167" t="s">
        <v>8</v>
      </c>
      <c r="E167">
        <v>280312800</v>
      </c>
      <c r="F167">
        <v>222040000</v>
      </c>
      <c r="G167" t="s">
        <v>11</v>
      </c>
      <c r="H167">
        <v>1650289200</v>
      </c>
      <c r="I167" t="s">
        <v>13</v>
      </c>
      <c r="J167" t="s">
        <v>13</v>
      </c>
      <c r="K167">
        <v>13.45</v>
      </c>
    </row>
    <row r="169" spans="1:11" x14ac:dyDescent="0.25">
      <c r="A169" t="s">
        <v>74</v>
      </c>
      <c r="B169" t="str">
        <f>"24206"</f>
        <v>24206</v>
      </c>
      <c r="C169" t="str">
        <f>"009"</f>
        <v>009</v>
      </c>
      <c r="D169">
        <v>1991</v>
      </c>
      <c r="E169">
        <v>626000</v>
      </c>
      <c r="F169">
        <v>496700</v>
      </c>
      <c r="G169" t="s">
        <v>11</v>
      </c>
      <c r="H169" t="s">
        <v>38</v>
      </c>
      <c r="I169" t="s">
        <v>13</v>
      </c>
      <c r="J169" t="s">
        <v>13</v>
      </c>
    </row>
    <row r="170" spans="1:11" x14ac:dyDescent="0.25">
      <c r="A170" t="s">
        <v>5</v>
      </c>
      <c r="B170" t="str">
        <f>"69206"</f>
        <v>69206</v>
      </c>
      <c r="C170" t="str">
        <f>"010"</f>
        <v>010</v>
      </c>
      <c r="D170">
        <v>1993</v>
      </c>
      <c r="E170">
        <v>7433400</v>
      </c>
      <c r="F170">
        <v>7384100</v>
      </c>
      <c r="G170" t="s">
        <v>11</v>
      </c>
      <c r="H170" t="s">
        <v>38</v>
      </c>
      <c r="I170" t="s">
        <v>13</v>
      </c>
      <c r="J170" t="s">
        <v>13</v>
      </c>
    </row>
    <row r="171" spans="1:11" x14ac:dyDescent="0.25">
      <c r="A171" t="s">
        <v>5</v>
      </c>
      <c r="B171" t="str">
        <f>"24206"</f>
        <v>24206</v>
      </c>
      <c r="C171" t="str">
        <f>"014"</f>
        <v>014</v>
      </c>
      <c r="D171">
        <v>2006</v>
      </c>
      <c r="E171">
        <v>2911600</v>
      </c>
      <c r="F171">
        <v>2719300</v>
      </c>
      <c r="G171" t="s">
        <v>11</v>
      </c>
      <c r="H171" t="s">
        <v>38</v>
      </c>
      <c r="I171" t="s">
        <v>13</v>
      </c>
      <c r="J171" t="s">
        <v>13</v>
      </c>
    </row>
    <row r="172" spans="1:11" x14ac:dyDescent="0.25">
      <c r="A172" t="s">
        <v>5</v>
      </c>
      <c r="B172" t="str">
        <f>"24206"</f>
        <v>24206</v>
      </c>
      <c r="C172" t="str">
        <f>"015"</f>
        <v>015</v>
      </c>
      <c r="D172">
        <v>2008</v>
      </c>
      <c r="E172">
        <v>11615600</v>
      </c>
      <c r="F172">
        <v>-875900</v>
      </c>
      <c r="G172" t="s">
        <v>43</v>
      </c>
      <c r="H172" t="s">
        <v>38</v>
      </c>
      <c r="I172" t="s">
        <v>13</v>
      </c>
      <c r="J172" t="s">
        <v>13</v>
      </c>
    </row>
    <row r="173" spans="1:11" x14ac:dyDescent="0.25">
      <c r="A173" t="s">
        <v>39</v>
      </c>
      <c r="B173" t="s">
        <v>13</v>
      </c>
      <c r="C173" t="s">
        <v>7</v>
      </c>
      <c r="D173" t="s">
        <v>8</v>
      </c>
      <c r="E173">
        <v>22586600</v>
      </c>
      <c r="F173">
        <v>10600100</v>
      </c>
      <c r="G173" t="s">
        <v>11</v>
      </c>
      <c r="H173">
        <v>271219000</v>
      </c>
      <c r="I173" t="s">
        <v>13</v>
      </c>
      <c r="J173" t="s">
        <v>13</v>
      </c>
      <c r="K173">
        <v>3.91</v>
      </c>
    </row>
    <row r="175" spans="1:11" x14ac:dyDescent="0.25">
      <c r="A175" t="s">
        <v>75</v>
      </c>
      <c r="B175" t="str">
        <f>"67106"</f>
        <v>67106</v>
      </c>
      <c r="C175" t="str">
        <f>"001"</f>
        <v>001</v>
      </c>
      <c r="D175">
        <v>2013</v>
      </c>
      <c r="E175">
        <v>14443800</v>
      </c>
      <c r="F175">
        <v>-236800</v>
      </c>
      <c r="G175" t="s">
        <v>43</v>
      </c>
      <c r="H175" t="s">
        <v>38</v>
      </c>
      <c r="I175" t="s">
        <v>13</v>
      </c>
      <c r="J175" t="s">
        <v>13</v>
      </c>
    </row>
    <row r="176" spans="1:11" x14ac:dyDescent="0.25">
      <c r="A176" t="s">
        <v>39</v>
      </c>
      <c r="B176" t="s">
        <v>13</v>
      </c>
      <c r="C176" t="s">
        <v>7</v>
      </c>
      <c r="D176" t="s">
        <v>8</v>
      </c>
      <c r="E176">
        <v>14443800</v>
      </c>
      <c r="F176">
        <v>0</v>
      </c>
      <c r="G176" t="s">
        <v>11</v>
      </c>
      <c r="H176">
        <v>177465300</v>
      </c>
      <c r="I176" t="s">
        <v>13</v>
      </c>
      <c r="J176" t="s">
        <v>13</v>
      </c>
      <c r="K176">
        <v>0</v>
      </c>
    </row>
    <row r="178" spans="1:11" x14ac:dyDescent="0.25">
      <c r="A178" t="s">
        <v>76</v>
      </c>
      <c r="B178" t="str">
        <f>"65106"</f>
        <v>65106</v>
      </c>
      <c r="C178" t="str">
        <f>"001"</f>
        <v>001</v>
      </c>
      <c r="D178">
        <v>2004</v>
      </c>
      <c r="E178">
        <v>3178800</v>
      </c>
      <c r="F178">
        <v>1273800</v>
      </c>
      <c r="G178" t="s">
        <v>11</v>
      </c>
      <c r="H178" t="s">
        <v>38</v>
      </c>
      <c r="I178" t="s">
        <v>13</v>
      </c>
      <c r="J178" t="s">
        <v>13</v>
      </c>
    </row>
    <row r="179" spans="1:11" x14ac:dyDescent="0.25">
      <c r="A179" t="s">
        <v>5</v>
      </c>
      <c r="B179" t="str">
        <f>"65106"</f>
        <v>65106</v>
      </c>
      <c r="C179" t="str">
        <f>"002"</f>
        <v>002</v>
      </c>
      <c r="D179">
        <v>2005</v>
      </c>
      <c r="E179">
        <v>3016800</v>
      </c>
      <c r="F179">
        <v>842500</v>
      </c>
      <c r="G179" t="s">
        <v>11</v>
      </c>
      <c r="H179" t="s">
        <v>38</v>
      </c>
      <c r="I179" t="s">
        <v>13</v>
      </c>
      <c r="J179" t="s">
        <v>13</v>
      </c>
    </row>
    <row r="180" spans="1:11" x14ac:dyDescent="0.25">
      <c r="A180" t="s">
        <v>39</v>
      </c>
      <c r="B180" t="s">
        <v>13</v>
      </c>
      <c r="C180" t="s">
        <v>7</v>
      </c>
      <c r="D180" t="s">
        <v>8</v>
      </c>
      <c r="E180">
        <v>6195600</v>
      </c>
      <c r="F180">
        <v>2116300</v>
      </c>
      <c r="G180" t="s">
        <v>11</v>
      </c>
      <c r="H180">
        <v>32120500</v>
      </c>
      <c r="I180" t="s">
        <v>13</v>
      </c>
      <c r="J180" t="s">
        <v>13</v>
      </c>
      <c r="K180">
        <v>6.59</v>
      </c>
    </row>
    <row r="182" spans="1:11" x14ac:dyDescent="0.25">
      <c r="A182" t="s">
        <v>77</v>
      </c>
      <c r="B182" t="str">
        <f>"58106"</f>
        <v>58106</v>
      </c>
      <c r="C182" t="str">
        <f>"001"</f>
        <v>001</v>
      </c>
      <c r="D182">
        <v>1997</v>
      </c>
      <c r="E182">
        <v>23052100</v>
      </c>
      <c r="F182">
        <v>9751200</v>
      </c>
      <c r="G182" t="s">
        <v>11</v>
      </c>
      <c r="H182" t="s">
        <v>38</v>
      </c>
      <c r="I182" t="s">
        <v>13</v>
      </c>
      <c r="J182" t="s">
        <v>13</v>
      </c>
    </row>
    <row r="183" spans="1:11" x14ac:dyDescent="0.25">
      <c r="A183" t="s">
        <v>39</v>
      </c>
      <c r="B183" t="s">
        <v>13</v>
      </c>
      <c r="C183" t="s">
        <v>7</v>
      </c>
      <c r="D183" t="s">
        <v>8</v>
      </c>
      <c r="E183">
        <v>23052100</v>
      </c>
      <c r="F183">
        <v>9751200</v>
      </c>
      <c r="G183" t="s">
        <v>11</v>
      </c>
      <c r="H183">
        <v>33332400</v>
      </c>
      <c r="I183" t="s">
        <v>13</v>
      </c>
      <c r="J183" t="s">
        <v>13</v>
      </c>
      <c r="K183">
        <v>29.25</v>
      </c>
    </row>
    <row r="185" spans="1:11" x14ac:dyDescent="0.25">
      <c r="A185" t="s">
        <v>78</v>
      </c>
      <c r="B185" t="str">
        <f>"71106"</f>
        <v>71106</v>
      </c>
      <c r="C185" t="str">
        <f>"001"</f>
        <v>001</v>
      </c>
      <c r="D185">
        <v>2006</v>
      </c>
      <c r="E185">
        <v>4665800</v>
      </c>
      <c r="F185">
        <v>1165100</v>
      </c>
      <c r="G185" t="s">
        <v>11</v>
      </c>
      <c r="H185" t="s">
        <v>38</v>
      </c>
      <c r="I185" t="s">
        <v>13</v>
      </c>
      <c r="J185" t="s">
        <v>13</v>
      </c>
    </row>
    <row r="186" spans="1:11" x14ac:dyDescent="0.25">
      <c r="A186" t="s">
        <v>5</v>
      </c>
      <c r="B186" t="str">
        <f>"71106"</f>
        <v>71106</v>
      </c>
      <c r="C186" t="str">
        <f>"002"</f>
        <v>002</v>
      </c>
      <c r="D186">
        <v>2006</v>
      </c>
      <c r="E186">
        <v>23532700</v>
      </c>
      <c r="F186">
        <v>18421700</v>
      </c>
      <c r="G186" t="s">
        <v>11</v>
      </c>
      <c r="H186" t="s">
        <v>38</v>
      </c>
      <c r="I186" t="s">
        <v>13</v>
      </c>
      <c r="J186" t="s">
        <v>13</v>
      </c>
    </row>
    <row r="187" spans="1:11" x14ac:dyDescent="0.25">
      <c r="A187" t="s">
        <v>5</v>
      </c>
      <c r="B187" t="str">
        <f>"71106"</f>
        <v>71106</v>
      </c>
      <c r="C187" t="str">
        <f>"003"</f>
        <v>003</v>
      </c>
      <c r="D187">
        <v>2009</v>
      </c>
      <c r="E187">
        <v>5602100</v>
      </c>
      <c r="F187">
        <v>1704900</v>
      </c>
      <c r="G187" t="s">
        <v>11</v>
      </c>
      <c r="H187" t="s">
        <v>38</v>
      </c>
      <c r="I187" t="s">
        <v>13</v>
      </c>
      <c r="J187" t="s">
        <v>13</v>
      </c>
    </row>
    <row r="188" spans="1:11" x14ac:dyDescent="0.25">
      <c r="A188" t="s">
        <v>39</v>
      </c>
      <c r="B188" t="s">
        <v>13</v>
      </c>
      <c r="C188" t="s">
        <v>7</v>
      </c>
      <c r="D188" t="s">
        <v>8</v>
      </c>
      <c r="E188">
        <v>33800600</v>
      </c>
      <c r="F188">
        <v>21291700</v>
      </c>
      <c r="G188" t="s">
        <v>11</v>
      </c>
      <c r="H188">
        <v>90509600</v>
      </c>
      <c r="I188" t="s">
        <v>13</v>
      </c>
      <c r="J188" t="s">
        <v>13</v>
      </c>
      <c r="K188">
        <v>23.52</v>
      </c>
    </row>
    <row r="190" spans="1:11" x14ac:dyDescent="0.25">
      <c r="A190" t="s">
        <v>79</v>
      </c>
      <c r="B190" t="str">
        <f>"44107"</f>
        <v>44107</v>
      </c>
      <c r="C190" t="str">
        <f>"002"</f>
        <v>002</v>
      </c>
      <c r="D190">
        <v>1993</v>
      </c>
      <c r="E190">
        <v>17673300</v>
      </c>
      <c r="F190">
        <v>15560600</v>
      </c>
      <c r="G190" t="s">
        <v>11</v>
      </c>
      <c r="H190" t="s">
        <v>38</v>
      </c>
      <c r="I190" t="s">
        <v>13</v>
      </c>
      <c r="J190" t="s">
        <v>13</v>
      </c>
    </row>
    <row r="191" spans="1:11" x14ac:dyDescent="0.25">
      <c r="A191" t="s">
        <v>39</v>
      </c>
      <c r="B191" t="s">
        <v>13</v>
      </c>
      <c r="C191" t="s">
        <v>7</v>
      </c>
      <c r="D191" t="s">
        <v>8</v>
      </c>
      <c r="E191">
        <v>17673300</v>
      </c>
      <c r="F191">
        <v>15560600</v>
      </c>
      <c r="G191" t="s">
        <v>11</v>
      </c>
      <c r="H191">
        <v>69657000</v>
      </c>
      <c r="I191" t="s">
        <v>13</v>
      </c>
      <c r="J191" t="s">
        <v>13</v>
      </c>
      <c r="K191">
        <v>22.34</v>
      </c>
    </row>
    <row r="193" spans="1:11" x14ac:dyDescent="0.25">
      <c r="A193" t="s">
        <v>80</v>
      </c>
      <c r="B193" t="str">
        <f>"13107"</f>
        <v>13107</v>
      </c>
      <c r="C193" t="str">
        <f>"003"</f>
        <v>003</v>
      </c>
      <c r="D193">
        <v>2009</v>
      </c>
      <c r="E193">
        <v>4777800</v>
      </c>
      <c r="F193">
        <v>1688500</v>
      </c>
      <c r="G193" t="s">
        <v>11</v>
      </c>
      <c r="H193" t="s">
        <v>38</v>
      </c>
      <c r="I193" t="s">
        <v>13</v>
      </c>
      <c r="J193" t="s">
        <v>13</v>
      </c>
    </row>
    <row r="194" spans="1:11" x14ac:dyDescent="0.25">
      <c r="A194" t="s">
        <v>5</v>
      </c>
      <c r="B194" t="str">
        <f>"13107"</f>
        <v>13107</v>
      </c>
      <c r="C194" t="str">
        <f>"004"</f>
        <v>004</v>
      </c>
      <c r="D194">
        <v>2009</v>
      </c>
      <c r="E194">
        <v>1968300</v>
      </c>
      <c r="F194">
        <v>-954200</v>
      </c>
      <c r="G194" t="s">
        <v>43</v>
      </c>
      <c r="H194" t="s">
        <v>38</v>
      </c>
      <c r="I194" t="s">
        <v>13</v>
      </c>
      <c r="J194" t="s">
        <v>13</v>
      </c>
    </row>
    <row r="195" spans="1:11" x14ac:dyDescent="0.25">
      <c r="A195" t="s">
        <v>39</v>
      </c>
      <c r="B195" t="s">
        <v>13</v>
      </c>
      <c r="C195" t="s">
        <v>7</v>
      </c>
      <c r="D195" t="s">
        <v>8</v>
      </c>
      <c r="E195">
        <v>6746100</v>
      </c>
      <c r="F195">
        <v>1688500</v>
      </c>
      <c r="G195" t="s">
        <v>11</v>
      </c>
      <c r="H195">
        <v>117254600</v>
      </c>
      <c r="I195" t="s">
        <v>13</v>
      </c>
      <c r="J195" t="s">
        <v>13</v>
      </c>
      <c r="K195">
        <v>1.44</v>
      </c>
    </row>
    <row r="197" spans="1:11" x14ac:dyDescent="0.25">
      <c r="A197" t="s">
        <v>81</v>
      </c>
      <c r="B197" t="str">
        <f t="shared" ref="B197:B202" si="1">"27206"</f>
        <v>27206</v>
      </c>
      <c r="C197" t="str">
        <f>"001"</f>
        <v>001</v>
      </c>
      <c r="D197">
        <v>2000</v>
      </c>
      <c r="E197">
        <v>5315700</v>
      </c>
      <c r="F197">
        <v>4388500</v>
      </c>
      <c r="G197" t="s">
        <v>11</v>
      </c>
      <c r="H197" t="s">
        <v>38</v>
      </c>
      <c r="I197" t="s">
        <v>13</v>
      </c>
      <c r="J197" t="s">
        <v>13</v>
      </c>
    </row>
    <row r="198" spans="1:11" x14ac:dyDescent="0.25">
      <c r="A198" t="s">
        <v>5</v>
      </c>
      <c r="B198" t="str">
        <f t="shared" si="1"/>
        <v>27206</v>
      </c>
      <c r="C198" t="str">
        <f>"003"</f>
        <v>003</v>
      </c>
      <c r="D198">
        <v>2002</v>
      </c>
      <c r="E198">
        <v>13504300</v>
      </c>
      <c r="F198">
        <v>13008200</v>
      </c>
      <c r="G198" t="s">
        <v>11</v>
      </c>
      <c r="H198" t="s">
        <v>38</v>
      </c>
      <c r="I198" t="s">
        <v>13</v>
      </c>
      <c r="J198" t="s">
        <v>13</v>
      </c>
    </row>
    <row r="199" spans="1:11" x14ac:dyDescent="0.25">
      <c r="A199" t="s">
        <v>5</v>
      </c>
      <c r="B199" t="str">
        <f t="shared" si="1"/>
        <v>27206</v>
      </c>
      <c r="C199" t="str">
        <f>"004"</f>
        <v>004</v>
      </c>
      <c r="D199">
        <v>2003</v>
      </c>
      <c r="E199">
        <v>4195500</v>
      </c>
      <c r="F199">
        <v>3733300</v>
      </c>
      <c r="G199" t="s">
        <v>11</v>
      </c>
      <c r="H199" t="s">
        <v>38</v>
      </c>
      <c r="I199" t="s">
        <v>13</v>
      </c>
      <c r="J199" t="s">
        <v>13</v>
      </c>
    </row>
    <row r="200" spans="1:11" x14ac:dyDescent="0.25">
      <c r="A200" t="s">
        <v>5</v>
      </c>
      <c r="B200" t="str">
        <f t="shared" si="1"/>
        <v>27206</v>
      </c>
      <c r="C200" t="str">
        <f>"005"</f>
        <v>005</v>
      </c>
      <c r="D200">
        <v>2008</v>
      </c>
      <c r="E200">
        <v>723300</v>
      </c>
      <c r="F200">
        <v>1600</v>
      </c>
      <c r="G200" t="s">
        <v>11</v>
      </c>
      <c r="H200" t="s">
        <v>38</v>
      </c>
      <c r="I200" t="s">
        <v>13</v>
      </c>
      <c r="J200" t="s">
        <v>13</v>
      </c>
    </row>
    <row r="201" spans="1:11" x14ac:dyDescent="0.25">
      <c r="A201" t="s">
        <v>5</v>
      </c>
      <c r="B201" t="str">
        <f t="shared" si="1"/>
        <v>27206</v>
      </c>
      <c r="C201" t="str">
        <f>"006"</f>
        <v>006</v>
      </c>
      <c r="D201">
        <v>2017</v>
      </c>
      <c r="E201">
        <v>7679500</v>
      </c>
      <c r="F201">
        <v>-112700</v>
      </c>
      <c r="G201" t="s">
        <v>43</v>
      </c>
      <c r="H201" t="s">
        <v>38</v>
      </c>
      <c r="I201" t="s">
        <v>13</v>
      </c>
      <c r="J201" t="s">
        <v>13</v>
      </c>
    </row>
    <row r="202" spans="1:11" x14ac:dyDescent="0.25">
      <c r="A202" t="s">
        <v>5</v>
      </c>
      <c r="B202" t="str">
        <f t="shared" si="1"/>
        <v>27206</v>
      </c>
      <c r="C202" t="str">
        <f>"007"</f>
        <v>007</v>
      </c>
      <c r="D202">
        <v>2017</v>
      </c>
      <c r="E202">
        <v>0</v>
      </c>
      <c r="F202">
        <v>0</v>
      </c>
      <c r="G202" t="s">
        <v>11</v>
      </c>
      <c r="H202" t="s">
        <v>38</v>
      </c>
      <c r="I202" t="s">
        <v>13</v>
      </c>
      <c r="J202" t="s">
        <v>13</v>
      </c>
    </row>
    <row r="203" spans="1:11" x14ac:dyDescent="0.25">
      <c r="A203" t="s">
        <v>39</v>
      </c>
      <c r="B203" t="s">
        <v>13</v>
      </c>
      <c r="C203" t="s">
        <v>7</v>
      </c>
      <c r="D203" t="s">
        <v>8</v>
      </c>
      <c r="E203">
        <v>31418300</v>
      </c>
      <c r="F203">
        <v>21131600</v>
      </c>
      <c r="G203" t="s">
        <v>11</v>
      </c>
      <c r="H203">
        <v>238618100</v>
      </c>
      <c r="I203" t="s">
        <v>13</v>
      </c>
      <c r="J203" t="s">
        <v>13</v>
      </c>
      <c r="K203">
        <v>8.86</v>
      </c>
    </row>
    <row r="205" spans="1:11" x14ac:dyDescent="0.25">
      <c r="A205" t="s">
        <v>82</v>
      </c>
      <c r="B205" t="str">
        <f>"61206"</f>
        <v>61206</v>
      </c>
      <c r="C205" t="str">
        <f>"004"</f>
        <v>004</v>
      </c>
      <c r="D205">
        <v>2007</v>
      </c>
      <c r="E205">
        <v>4216100</v>
      </c>
      <c r="F205">
        <v>4198200</v>
      </c>
      <c r="G205" t="s">
        <v>11</v>
      </c>
      <c r="H205" t="s">
        <v>38</v>
      </c>
      <c r="I205" t="s">
        <v>13</v>
      </c>
      <c r="J205" t="s">
        <v>13</v>
      </c>
    </row>
    <row r="206" spans="1:11" x14ac:dyDescent="0.25">
      <c r="A206" t="s">
        <v>5</v>
      </c>
      <c r="B206" t="str">
        <f>"61206"</f>
        <v>61206</v>
      </c>
      <c r="C206" t="str">
        <f>"005"</f>
        <v>005</v>
      </c>
      <c r="D206">
        <v>2008</v>
      </c>
      <c r="E206">
        <v>2587300</v>
      </c>
      <c r="F206">
        <v>2533200</v>
      </c>
      <c r="G206" t="s">
        <v>11</v>
      </c>
      <c r="H206" t="s">
        <v>38</v>
      </c>
      <c r="I206" t="s">
        <v>13</v>
      </c>
      <c r="J206" t="s">
        <v>13</v>
      </c>
    </row>
    <row r="207" spans="1:11" x14ac:dyDescent="0.25">
      <c r="A207" t="s">
        <v>5</v>
      </c>
      <c r="B207" t="str">
        <f>"61206"</f>
        <v>61206</v>
      </c>
      <c r="C207" t="str">
        <f>"006"</f>
        <v>006</v>
      </c>
      <c r="D207">
        <v>2015</v>
      </c>
      <c r="E207">
        <v>3493500</v>
      </c>
      <c r="F207">
        <v>192700</v>
      </c>
      <c r="G207" t="s">
        <v>11</v>
      </c>
      <c r="H207" t="s">
        <v>38</v>
      </c>
      <c r="I207" t="s">
        <v>13</v>
      </c>
      <c r="J207" t="s">
        <v>13</v>
      </c>
    </row>
    <row r="208" spans="1:11" x14ac:dyDescent="0.25">
      <c r="A208" t="s">
        <v>5</v>
      </c>
      <c r="B208" t="str">
        <f>"61206"</f>
        <v>61206</v>
      </c>
      <c r="C208" t="str">
        <f>"007"</f>
        <v>007</v>
      </c>
      <c r="D208">
        <v>2015</v>
      </c>
      <c r="E208">
        <v>2347600</v>
      </c>
      <c r="F208">
        <v>622600</v>
      </c>
      <c r="G208" t="s">
        <v>11</v>
      </c>
      <c r="H208" t="s">
        <v>38</v>
      </c>
      <c r="I208" t="s">
        <v>13</v>
      </c>
      <c r="J208" t="s">
        <v>13</v>
      </c>
    </row>
    <row r="209" spans="1:11" x14ac:dyDescent="0.25">
      <c r="A209" t="s">
        <v>39</v>
      </c>
      <c r="B209" t="s">
        <v>13</v>
      </c>
      <c r="C209" t="s">
        <v>7</v>
      </c>
      <c r="D209" t="s">
        <v>8</v>
      </c>
      <c r="E209">
        <v>12644500</v>
      </c>
      <c r="F209">
        <v>7546700</v>
      </c>
      <c r="G209" t="s">
        <v>11</v>
      </c>
      <c r="H209">
        <v>121739300</v>
      </c>
      <c r="I209" t="s">
        <v>13</v>
      </c>
      <c r="J209" t="s">
        <v>13</v>
      </c>
      <c r="K209">
        <v>6.2</v>
      </c>
    </row>
    <row r="211" spans="1:11" x14ac:dyDescent="0.25">
      <c r="A211" t="s">
        <v>83</v>
      </c>
      <c r="B211" t="str">
        <f>"09206"</f>
        <v>09206</v>
      </c>
      <c r="C211" t="str">
        <f>"004"</f>
        <v>004</v>
      </c>
      <c r="D211">
        <v>2005</v>
      </c>
      <c r="E211">
        <v>21340700</v>
      </c>
      <c r="F211">
        <v>17553300</v>
      </c>
      <c r="G211" t="s">
        <v>11</v>
      </c>
      <c r="H211" t="s">
        <v>38</v>
      </c>
      <c r="I211" t="s">
        <v>13</v>
      </c>
      <c r="J211" t="s">
        <v>13</v>
      </c>
    </row>
    <row r="212" spans="1:11" x14ac:dyDescent="0.25">
      <c r="A212" t="s">
        <v>39</v>
      </c>
      <c r="B212" t="s">
        <v>13</v>
      </c>
      <c r="C212" t="s">
        <v>7</v>
      </c>
      <c r="D212" t="s">
        <v>8</v>
      </c>
      <c r="E212">
        <v>21340700</v>
      </c>
      <c r="F212">
        <v>17553300</v>
      </c>
      <c r="G212" t="s">
        <v>11</v>
      </c>
      <c r="H212">
        <v>257109700</v>
      </c>
      <c r="I212" t="s">
        <v>13</v>
      </c>
      <c r="J212" t="s">
        <v>13</v>
      </c>
      <c r="K212">
        <v>6.83</v>
      </c>
    </row>
    <row r="214" spans="1:11" x14ac:dyDescent="0.25">
      <c r="A214" t="s">
        <v>84</v>
      </c>
      <c r="B214" t="str">
        <f>"13108"</f>
        <v>13108</v>
      </c>
      <c r="C214" t="str">
        <f>"001"</f>
        <v>001</v>
      </c>
      <c r="D214">
        <v>1995</v>
      </c>
      <c r="E214">
        <v>31822500</v>
      </c>
      <c r="F214">
        <v>30811300</v>
      </c>
      <c r="G214" t="s">
        <v>11</v>
      </c>
      <c r="H214" t="s">
        <v>38</v>
      </c>
      <c r="I214" t="s">
        <v>13</v>
      </c>
      <c r="J214" t="s">
        <v>13</v>
      </c>
    </row>
    <row r="215" spans="1:11" x14ac:dyDescent="0.25">
      <c r="A215" t="s">
        <v>39</v>
      </c>
      <c r="B215" t="s">
        <v>13</v>
      </c>
      <c r="C215" t="s">
        <v>7</v>
      </c>
      <c r="D215" t="s">
        <v>8</v>
      </c>
      <c r="E215">
        <v>31822500</v>
      </c>
      <c r="F215">
        <v>30811300</v>
      </c>
      <c r="G215" t="s">
        <v>11</v>
      </c>
      <c r="H215">
        <v>76766000</v>
      </c>
      <c r="I215" t="s">
        <v>13</v>
      </c>
      <c r="J215" t="s">
        <v>13</v>
      </c>
      <c r="K215">
        <v>40.14</v>
      </c>
    </row>
    <row r="217" spans="1:11" x14ac:dyDescent="0.25">
      <c r="A217" t="s">
        <v>85</v>
      </c>
      <c r="B217" t="str">
        <f>"58107"</f>
        <v>58107</v>
      </c>
      <c r="C217" t="str">
        <f>"001"</f>
        <v>001</v>
      </c>
      <c r="D217">
        <v>1994</v>
      </c>
      <c r="E217">
        <v>14045100</v>
      </c>
      <c r="F217">
        <v>12063500</v>
      </c>
      <c r="G217" t="s">
        <v>11</v>
      </c>
      <c r="H217" t="s">
        <v>38</v>
      </c>
      <c r="I217" t="s">
        <v>13</v>
      </c>
      <c r="J217" t="s">
        <v>13</v>
      </c>
    </row>
    <row r="218" spans="1:11" x14ac:dyDescent="0.25">
      <c r="A218" t="s">
        <v>39</v>
      </c>
      <c r="B218" t="s">
        <v>13</v>
      </c>
      <c r="C218" t="s">
        <v>7</v>
      </c>
      <c r="D218" t="s">
        <v>8</v>
      </c>
      <c r="E218">
        <v>14045100</v>
      </c>
      <c r="F218">
        <v>12063500</v>
      </c>
      <c r="G218" t="s">
        <v>11</v>
      </c>
      <c r="H218">
        <v>74028500</v>
      </c>
      <c r="I218" t="s">
        <v>13</v>
      </c>
      <c r="J218" t="s">
        <v>13</v>
      </c>
      <c r="K218">
        <v>16.3</v>
      </c>
    </row>
    <row r="220" spans="1:11" x14ac:dyDescent="0.25">
      <c r="A220" t="s">
        <v>86</v>
      </c>
      <c r="B220" t="str">
        <f>"22206"</f>
        <v>22206</v>
      </c>
      <c r="C220" t="str">
        <f>"004"</f>
        <v>004</v>
      </c>
      <c r="D220">
        <v>2005</v>
      </c>
      <c r="E220">
        <v>7481200</v>
      </c>
      <c r="F220">
        <v>2390900</v>
      </c>
      <c r="G220" t="s">
        <v>11</v>
      </c>
      <c r="H220" t="s">
        <v>38</v>
      </c>
      <c r="I220" t="s">
        <v>13</v>
      </c>
      <c r="J220" t="s">
        <v>13</v>
      </c>
    </row>
    <row r="221" spans="1:11" x14ac:dyDescent="0.25">
      <c r="A221" t="s">
        <v>39</v>
      </c>
      <c r="B221" t="s">
        <v>13</v>
      </c>
      <c r="C221" t="s">
        <v>7</v>
      </c>
      <c r="D221" t="s">
        <v>8</v>
      </c>
      <c r="E221">
        <v>7481200</v>
      </c>
      <c r="F221">
        <v>2390900</v>
      </c>
      <c r="G221" t="s">
        <v>11</v>
      </c>
      <c r="H221">
        <v>124685600</v>
      </c>
      <c r="I221" t="s">
        <v>13</v>
      </c>
      <c r="J221" t="s">
        <v>13</v>
      </c>
      <c r="K221">
        <v>1.92</v>
      </c>
    </row>
    <row r="223" spans="1:11" x14ac:dyDescent="0.25">
      <c r="A223" t="s">
        <v>87</v>
      </c>
      <c r="B223" t="str">
        <f>"58108"</f>
        <v>58108</v>
      </c>
      <c r="C223" t="str">
        <f>"002"</f>
        <v>002</v>
      </c>
      <c r="D223">
        <v>1997</v>
      </c>
      <c r="E223">
        <v>209200</v>
      </c>
      <c r="F223">
        <v>171800</v>
      </c>
      <c r="G223" t="s">
        <v>11</v>
      </c>
      <c r="H223" t="s">
        <v>38</v>
      </c>
      <c r="I223" t="s">
        <v>13</v>
      </c>
      <c r="J223" t="s">
        <v>13</v>
      </c>
    </row>
    <row r="224" spans="1:11" x14ac:dyDescent="0.25">
      <c r="A224" t="s">
        <v>39</v>
      </c>
      <c r="B224" t="s">
        <v>13</v>
      </c>
      <c r="C224" t="s">
        <v>7</v>
      </c>
      <c r="D224" t="s">
        <v>8</v>
      </c>
      <c r="E224">
        <v>209200</v>
      </c>
      <c r="F224">
        <v>171800</v>
      </c>
      <c r="G224" t="s">
        <v>11</v>
      </c>
      <c r="H224">
        <v>9298100</v>
      </c>
      <c r="I224" t="s">
        <v>13</v>
      </c>
      <c r="J224" t="s">
        <v>13</v>
      </c>
      <c r="K224">
        <v>1.85</v>
      </c>
    </row>
    <row r="226" spans="1:11" x14ac:dyDescent="0.25">
      <c r="A226" t="s">
        <v>88</v>
      </c>
      <c r="B226" t="str">
        <f>"17106"</f>
        <v>17106</v>
      </c>
      <c r="C226" t="str">
        <f>"002"</f>
        <v>002</v>
      </c>
      <c r="D226">
        <v>1996</v>
      </c>
      <c r="E226">
        <v>2439600</v>
      </c>
      <c r="F226">
        <v>2104700</v>
      </c>
      <c r="G226" t="s">
        <v>11</v>
      </c>
      <c r="H226" t="s">
        <v>38</v>
      </c>
      <c r="I226" t="s">
        <v>13</v>
      </c>
      <c r="J226" t="s">
        <v>13</v>
      </c>
    </row>
    <row r="227" spans="1:11" x14ac:dyDescent="0.25">
      <c r="A227" t="s">
        <v>5</v>
      </c>
      <c r="B227" t="str">
        <f>"17106"</f>
        <v>17106</v>
      </c>
      <c r="C227" t="str">
        <f>"003"</f>
        <v>003</v>
      </c>
      <c r="D227">
        <v>2007</v>
      </c>
      <c r="E227">
        <v>1238100</v>
      </c>
      <c r="F227">
        <v>-282400</v>
      </c>
      <c r="G227" t="s">
        <v>43</v>
      </c>
      <c r="H227" t="s">
        <v>38</v>
      </c>
      <c r="I227" t="s">
        <v>13</v>
      </c>
      <c r="J227" t="s">
        <v>13</v>
      </c>
    </row>
    <row r="228" spans="1:11" x14ac:dyDescent="0.25">
      <c r="A228" t="s">
        <v>39</v>
      </c>
      <c r="B228" t="s">
        <v>13</v>
      </c>
      <c r="C228" t="s">
        <v>7</v>
      </c>
      <c r="D228" t="s">
        <v>8</v>
      </c>
      <c r="E228">
        <v>3677700</v>
      </c>
      <c r="F228">
        <v>2104700</v>
      </c>
      <c r="G228" t="s">
        <v>11</v>
      </c>
      <c r="H228">
        <v>47044700</v>
      </c>
      <c r="I228" t="s">
        <v>13</v>
      </c>
      <c r="J228" t="s">
        <v>13</v>
      </c>
      <c r="K228">
        <v>4.47</v>
      </c>
    </row>
    <row r="230" spans="1:11" x14ac:dyDescent="0.25">
      <c r="A230" t="s">
        <v>89</v>
      </c>
      <c r="B230" t="str">
        <f>"09106"</f>
        <v>09106</v>
      </c>
      <c r="C230" t="str">
        <f>"002"</f>
        <v>002</v>
      </c>
      <c r="D230">
        <v>2005</v>
      </c>
      <c r="E230">
        <v>1157100</v>
      </c>
      <c r="F230">
        <v>690300</v>
      </c>
      <c r="G230" t="s">
        <v>11</v>
      </c>
      <c r="H230" t="s">
        <v>38</v>
      </c>
      <c r="I230" t="s">
        <v>13</v>
      </c>
      <c r="J230" t="s">
        <v>13</v>
      </c>
    </row>
    <row r="231" spans="1:11" x14ac:dyDescent="0.25">
      <c r="A231" t="s">
        <v>39</v>
      </c>
      <c r="B231" t="s">
        <v>13</v>
      </c>
      <c r="C231" t="s">
        <v>7</v>
      </c>
      <c r="D231" t="s">
        <v>8</v>
      </c>
      <c r="E231">
        <v>1157100</v>
      </c>
      <c r="F231">
        <v>690300</v>
      </c>
      <c r="G231" t="s">
        <v>11</v>
      </c>
      <c r="H231">
        <v>25580400</v>
      </c>
      <c r="I231" t="s">
        <v>13</v>
      </c>
      <c r="J231" t="s">
        <v>13</v>
      </c>
      <c r="K231">
        <v>2.7</v>
      </c>
    </row>
    <row r="233" spans="1:11" x14ac:dyDescent="0.25">
      <c r="A233" t="s">
        <v>90</v>
      </c>
      <c r="B233" t="str">
        <f>"20106"</f>
        <v>20106</v>
      </c>
      <c r="C233" t="str">
        <f>"001"</f>
        <v>001</v>
      </c>
      <c r="D233">
        <v>1997</v>
      </c>
      <c r="E233">
        <v>7889500</v>
      </c>
      <c r="F233">
        <v>6242700</v>
      </c>
      <c r="G233" t="s">
        <v>11</v>
      </c>
      <c r="H233" t="s">
        <v>38</v>
      </c>
      <c r="I233" t="s">
        <v>13</v>
      </c>
      <c r="J233" t="s">
        <v>13</v>
      </c>
    </row>
    <row r="234" spans="1:11" x14ac:dyDescent="0.25">
      <c r="A234" t="s">
        <v>39</v>
      </c>
      <c r="B234" t="s">
        <v>13</v>
      </c>
      <c r="C234" t="s">
        <v>7</v>
      </c>
      <c r="D234" t="s">
        <v>8</v>
      </c>
      <c r="E234">
        <v>7889500</v>
      </c>
      <c r="F234">
        <v>6242700</v>
      </c>
      <c r="G234" t="s">
        <v>11</v>
      </c>
      <c r="H234">
        <v>43447900</v>
      </c>
      <c r="I234" t="s">
        <v>13</v>
      </c>
      <c r="J234" t="s">
        <v>13</v>
      </c>
      <c r="K234">
        <v>14.37</v>
      </c>
    </row>
    <row r="236" spans="1:11" x14ac:dyDescent="0.25">
      <c r="A236" t="s">
        <v>91</v>
      </c>
      <c r="B236" t="str">
        <f>"08206"</f>
        <v>08206</v>
      </c>
      <c r="C236" t="str">
        <f>"002"</f>
        <v>002</v>
      </c>
      <c r="D236">
        <v>2006</v>
      </c>
      <c r="E236">
        <v>5582900</v>
      </c>
      <c r="F236">
        <v>4585400</v>
      </c>
      <c r="G236" t="s">
        <v>11</v>
      </c>
      <c r="H236" t="s">
        <v>38</v>
      </c>
      <c r="I236" t="s">
        <v>13</v>
      </c>
      <c r="J236" t="s">
        <v>13</v>
      </c>
    </row>
    <row r="237" spans="1:11" x14ac:dyDescent="0.25">
      <c r="A237" t="s">
        <v>5</v>
      </c>
      <c r="B237" t="str">
        <f>"08206"</f>
        <v>08206</v>
      </c>
      <c r="C237" t="str">
        <f>"003"</f>
        <v>003</v>
      </c>
      <c r="D237">
        <v>2007</v>
      </c>
      <c r="E237">
        <v>9148100</v>
      </c>
      <c r="F237">
        <v>9020900</v>
      </c>
      <c r="G237" t="s">
        <v>11</v>
      </c>
      <c r="H237" t="s">
        <v>38</v>
      </c>
      <c r="I237" t="s">
        <v>13</v>
      </c>
      <c r="J237" t="s">
        <v>13</v>
      </c>
    </row>
    <row r="238" spans="1:11" x14ac:dyDescent="0.25">
      <c r="A238" t="s">
        <v>5</v>
      </c>
      <c r="B238" t="str">
        <f>"08206"</f>
        <v>08206</v>
      </c>
      <c r="C238" t="str">
        <f>"004"</f>
        <v>004</v>
      </c>
      <c r="D238">
        <v>2007</v>
      </c>
      <c r="E238">
        <v>17937400</v>
      </c>
      <c r="F238">
        <v>12525000</v>
      </c>
      <c r="G238" t="s">
        <v>11</v>
      </c>
      <c r="H238" t="s">
        <v>38</v>
      </c>
      <c r="I238" t="s">
        <v>13</v>
      </c>
      <c r="J238" t="s">
        <v>13</v>
      </c>
    </row>
    <row r="239" spans="1:11" x14ac:dyDescent="0.25">
      <c r="A239" t="s">
        <v>39</v>
      </c>
      <c r="B239" t="s">
        <v>13</v>
      </c>
      <c r="C239" t="s">
        <v>7</v>
      </c>
      <c r="D239" t="s">
        <v>8</v>
      </c>
      <c r="E239">
        <v>32668400</v>
      </c>
      <c r="F239">
        <v>26131300</v>
      </c>
      <c r="G239" t="s">
        <v>11</v>
      </c>
      <c r="H239">
        <v>215199400</v>
      </c>
      <c r="I239" t="s">
        <v>13</v>
      </c>
      <c r="J239" t="s">
        <v>13</v>
      </c>
      <c r="K239">
        <v>12.14</v>
      </c>
    </row>
    <row r="241" spans="1:11" x14ac:dyDescent="0.25">
      <c r="A241" t="s">
        <v>92</v>
      </c>
      <c r="B241" t="str">
        <f>"23206"</f>
        <v>23206</v>
      </c>
      <c r="C241" t="str">
        <f>"004"</f>
        <v>004</v>
      </c>
      <c r="D241">
        <v>2005</v>
      </c>
      <c r="E241">
        <v>138200</v>
      </c>
      <c r="F241">
        <v>29800</v>
      </c>
      <c r="G241" t="s">
        <v>11</v>
      </c>
      <c r="H241" t="s">
        <v>38</v>
      </c>
      <c r="I241" t="s">
        <v>13</v>
      </c>
      <c r="J241" t="s">
        <v>13</v>
      </c>
    </row>
    <row r="242" spans="1:11" x14ac:dyDescent="0.25">
      <c r="A242" t="s">
        <v>5</v>
      </c>
      <c r="B242" t="str">
        <f>"23206"</f>
        <v>23206</v>
      </c>
      <c r="C242" t="str">
        <f>"005"</f>
        <v>005</v>
      </c>
      <c r="D242">
        <v>2005</v>
      </c>
      <c r="E242">
        <v>1796900</v>
      </c>
      <c r="F242">
        <v>267900</v>
      </c>
      <c r="G242" t="s">
        <v>11</v>
      </c>
      <c r="H242" t="s">
        <v>38</v>
      </c>
      <c r="I242" t="s">
        <v>13</v>
      </c>
      <c r="J242" t="s">
        <v>13</v>
      </c>
    </row>
    <row r="243" spans="1:11" x14ac:dyDescent="0.25">
      <c r="A243" t="s">
        <v>5</v>
      </c>
      <c r="B243" t="str">
        <f>"23206"</f>
        <v>23206</v>
      </c>
      <c r="C243" t="str">
        <f>"006"</f>
        <v>006</v>
      </c>
      <c r="D243">
        <v>2006</v>
      </c>
      <c r="E243">
        <v>1893100</v>
      </c>
      <c r="F243">
        <v>722800</v>
      </c>
      <c r="G243" t="s">
        <v>11</v>
      </c>
      <c r="H243" t="s">
        <v>38</v>
      </c>
      <c r="I243" t="s">
        <v>13</v>
      </c>
      <c r="J243" t="s">
        <v>13</v>
      </c>
    </row>
    <row r="244" spans="1:11" x14ac:dyDescent="0.25">
      <c r="A244" t="s">
        <v>5</v>
      </c>
      <c r="B244" t="str">
        <f>"53210"</f>
        <v>53210</v>
      </c>
      <c r="C244" t="str">
        <f>"006"</f>
        <v>006</v>
      </c>
      <c r="D244">
        <v>2006</v>
      </c>
      <c r="E244">
        <v>1485800</v>
      </c>
      <c r="F244">
        <v>1383700</v>
      </c>
      <c r="G244" t="s">
        <v>11</v>
      </c>
      <c r="H244" t="s">
        <v>38</v>
      </c>
      <c r="I244" t="s">
        <v>13</v>
      </c>
      <c r="J244" t="s">
        <v>13</v>
      </c>
    </row>
    <row r="245" spans="1:11" x14ac:dyDescent="0.25">
      <c r="A245" t="s">
        <v>5</v>
      </c>
      <c r="B245" t="str">
        <f>"23206"</f>
        <v>23206</v>
      </c>
      <c r="C245" t="str">
        <f>"007"</f>
        <v>007</v>
      </c>
      <c r="D245">
        <v>2013</v>
      </c>
      <c r="E245">
        <v>5350600</v>
      </c>
      <c r="F245">
        <v>1231800</v>
      </c>
      <c r="G245" t="s">
        <v>11</v>
      </c>
      <c r="H245" t="s">
        <v>38</v>
      </c>
      <c r="I245" t="s">
        <v>13</v>
      </c>
      <c r="J245" t="s">
        <v>13</v>
      </c>
    </row>
    <row r="246" spans="1:11" x14ac:dyDescent="0.25">
      <c r="A246" t="s">
        <v>39</v>
      </c>
      <c r="B246" t="s">
        <v>13</v>
      </c>
      <c r="C246" t="s">
        <v>7</v>
      </c>
      <c r="D246" t="s">
        <v>8</v>
      </c>
      <c r="E246">
        <v>10664600</v>
      </c>
      <c r="F246">
        <v>3636000</v>
      </c>
      <c r="G246" t="s">
        <v>11</v>
      </c>
      <c r="H246">
        <v>176408300</v>
      </c>
      <c r="I246" t="s">
        <v>13</v>
      </c>
      <c r="J246" t="s">
        <v>13</v>
      </c>
      <c r="K246">
        <v>2.06</v>
      </c>
    </row>
    <row r="248" spans="1:11" x14ac:dyDescent="0.25">
      <c r="A248" t="s">
        <v>93</v>
      </c>
      <c r="B248" t="str">
        <f>"37106"</f>
        <v>37106</v>
      </c>
      <c r="C248" t="str">
        <f>"001"</f>
        <v>001</v>
      </c>
      <c r="D248">
        <v>1997</v>
      </c>
      <c r="E248">
        <v>10225300</v>
      </c>
      <c r="F248">
        <v>9778200</v>
      </c>
      <c r="G248" t="s">
        <v>11</v>
      </c>
      <c r="H248" t="s">
        <v>38</v>
      </c>
      <c r="I248" t="s">
        <v>13</v>
      </c>
      <c r="J248" t="s">
        <v>13</v>
      </c>
    </row>
    <row r="249" spans="1:11" x14ac:dyDescent="0.25">
      <c r="A249" t="s">
        <v>39</v>
      </c>
      <c r="B249" t="s">
        <v>13</v>
      </c>
      <c r="C249" t="s">
        <v>7</v>
      </c>
      <c r="D249" t="s">
        <v>8</v>
      </c>
      <c r="E249">
        <v>10225300</v>
      </c>
      <c r="F249">
        <v>9778200</v>
      </c>
      <c r="G249" t="s">
        <v>11</v>
      </c>
      <c r="H249">
        <v>21702700</v>
      </c>
      <c r="I249" t="s">
        <v>13</v>
      </c>
      <c r="J249" t="s">
        <v>13</v>
      </c>
      <c r="K249">
        <v>45.06</v>
      </c>
    </row>
    <row r="251" spans="1:11" x14ac:dyDescent="0.25">
      <c r="A251" t="s">
        <v>94</v>
      </c>
      <c r="B251" t="str">
        <f>"67002"</f>
        <v>67002</v>
      </c>
      <c r="C251" t="str">
        <f>"001A"</f>
        <v>001A</v>
      </c>
      <c r="D251">
        <v>2014</v>
      </c>
      <c r="E251">
        <v>323163100</v>
      </c>
      <c r="F251">
        <v>257176200</v>
      </c>
      <c r="G251" t="s">
        <v>11</v>
      </c>
      <c r="H251" t="s">
        <v>38</v>
      </c>
      <c r="I251" t="s">
        <v>13</v>
      </c>
      <c r="J251" t="s">
        <v>13</v>
      </c>
    </row>
    <row r="252" spans="1:11" x14ac:dyDescent="0.25">
      <c r="A252" t="s">
        <v>39</v>
      </c>
      <c r="B252" t="s">
        <v>13</v>
      </c>
      <c r="C252" t="s">
        <v>7</v>
      </c>
      <c r="D252" t="s">
        <v>8</v>
      </c>
      <c r="E252">
        <v>323163100</v>
      </c>
      <c r="F252">
        <v>257176200</v>
      </c>
      <c r="G252" t="s">
        <v>11</v>
      </c>
      <c r="H252">
        <v>1305708800</v>
      </c>
      <c r="I252" t="s">
        <v>13</v>
      </c>
      <c r="J252" t="s">
        <v>13</v>
      </c>
      <c r="K252">
        <v>19.7</v>
      </c>
    </row>
    <row r="253" spans="1:11" x14ac:dyDescent="0.25">
      <c r="A253" t="s">
        <v>94</v>
      </c>
      <c r="B253" t="str">
        <f>"67206"</f>
        <v>67206</v>
      </c>
      <c r="C253" t="str">
        <f>"004"</f>
        <v>004</v>
      </c>
      <c r="D253">
        <v>2015</v>
      </c>
      <c r="E253">
        <v>1985500</v>
      </c>
      <c r="F253">
        <v>1826700</v>
      </c>
      <c r="G253" t="s">
        <v>11</v>
      </c>
      <c r="H253" t="s">
        <v>38</v>
      </c>
      <c r="I253" t="s">
        <v>13</v>
      </c>
      <c r="J253" t="s">
        <v>13</v>
      </c>
    </row>
    <row r="254" spans="1:11" x14ac:dyDescent="0.25">
      <c r="A254" t="s">
        <v>5</v>
      </c>
      <c r="B254" t="str">
        <f>"67206"</f>
        <v>67206</v>
      </c>
      <c r="C254" t="str">
        <f>"005"</f>
        <v>005</v>
      </c>
      <c r="D254">
        <v>2015</v>
      </c>
      <c r="E254">
        <v>35967200</v>
      </c>
      <c r="F254">
        <v>34560200</v>
      </c>
      <c r="G254" t="s">
        <v>11</v>
      </c>
      <c r="H254" t="s">
        <v>38</v>
      </c>
      <c r="I254" t="s">
        <v>13</v>
      </c>
      <c r="J254" t="s">
        <v>13</v>
      </c>
    </row>
    <row r="255" spans="1:11" x14ac:dyDescent="0.25">
      <c r="A255" t="s">
        <v>5</v>
      </c>
      <c r="B255" t="str">
        <f>"67206"</f>
        <v>67206</v>
      </c>
      <c r="C255" t="str">
        <f>"006"</f>
        <v>006</v>
      </c>
      <c r="D255">
        <v>2016</v>
      </c>
      <c r="E255">
        <v>44651900</v>
      </c>
      <c r="F255">
        <v>28859500</v>
      </c>
      <c r="G255" t="s">
        <v>11</v>
      </c>
      <c r="H255" t="s">
        <v>38</v>
      </c>
      <c r="I255" t="s">
        <v>13</v>
      </c>
      <c r="J255" t="s">
        <v>13</v>
      </c>
    </row>
    <row r="256" spans="1:11" x14ac:dyDescent="0.25">
      <c r="A256" t="s">
        <v>39</v>
      </c>
      <c r="B256" t="s">
        <v>13</v>
      </c>
      <c r="C256" t="s">
        <v>7</v>
      </c>
      <c r="D256" t="s">
        <v>8</v>
      </c>
      <c r="E256">
        <v>82604600</v>
      </c>
      <c r="F256">
        <v>65246400</v>
      </c>
      <c r="G256" t="s">
        <v>11</v>
      </c>
      <c r="H256">
        <v>7201545000</v>
      </c>
      <c r="I256" t="s">
        <v>13</v>
      </c>
      <c r="J256" t="s">
        <v>13</v>
      </c>
      <c r="K256">
        <v>0.91</v>
      </c>
    </row>
    <row r="258" spans="1:11" x14ac:dyDescent="0.25">
      <c r="A258" t="s">
        <v>95</v>
      </c>
      <c r="B258" t="str">
        <f>"13109"</f>
        <v>13109</v>
      </c>
      <c r="C258" t="str">
        <f>"001"</f>
        <v>001</v>
      </c>
      <c r="D258">
        <v>2008</v>
      </c>
      <c r="E258">
        <v>947000</v>
      </c>
      <c r="F258">
        <v>114000</v>
      </c>
      <c r="G258" t="s">
        <v>11</v>
      </c>
      <c r="H258" t="s">
        <v>38</v>
      </c>
      <c r="I258" t="s">
        <v>13</v>
      </c>
      <c r="J258" t="s">
        <v>13</v>
      </c>
    </row>
    <row r="259" spans="1:11" x14ac:dyDescent="0.25">
      <c r="A259" t="s">
        <v>5</v>
      </c>
      <c r="B259" t="str">
        <f>"23109"</f>
        <v>23109</v>
      </c>
      <c r="C259" t="str">
        <f>"001"</f>
        <v>001</v>
      </c>
      <c r="D259">
        <v>2008</v>
      </c>
      <c r="E259">
        <v>4642200</v>
      </c>
      <c r="F259">
        <v>241600</v>
      </c>
      <c r="G259" t="s">
        <v>11</v>
      </c>
      <c r="H259" t="s">
        <v>38</v>
      </c>
      <c r="I259" t="s">
        <v>13</v>
      </c>
      <c r="J259" t="s">
        <v>13</v>
      </c>
    </row>
    <row r="260" spans="1:11" x14ac:dyDescent="0.25">
      <c r="A260" t="s">
        <v>5</v>
      </c>
      <c r="B260" t="str">
        <f>"13109"</f>
        <v>13109</v>
      </c>
      <c r="C260" t="str">
        <f>"002"</f>
        <v>002</v>
      </c>
      <c r="D260">
        <v>2013</v>
      </c>
      <c r="E260">
        <v>907400</v>
      </c>
      <c r="F260">
        <v>886300</v>
      </c>
      <c r="G260" t="s">
        <v>11</v>
      </c>
      <c r="H260" t="s">
        <v>38</v>
      </c>
      <c r="I260" t="s">
        <v>13</v>
      </c>
      <c r="J260" t="s">
        <v>13</v>
      </c>
    </row>
    <row r="261" spans="1:11" x14ac:dyDescent="0.25">
      <c r="A261" t="s">
        <v>39</v>
      </c>
      <c r="B261" t="s">
        <v>13</v>
      </c>
      <c r="C261" t="s">
        <v>7</v>
      </c>
      <c r="D261" t="s">
        <v>8</v>
      </c>
      <c r="E261">
        <v>6496600</v>
      </c>
      <c r="F261">
        <v>1241900</v>
      </c>
      <c r="G261" t="s">
        <v>11</v>
      </c>
      <c r="H261">
        <v>102107100</v>
      </c>
      <c r="I261" t="s">
        <v>13</v>
      </c>
      <c r="J261" t="s">
        <v>13</v>
      </c>
      <c r="K261">
        <v>1.22</v>
      </c>
    </row>
    <row r="263" spans="1:11" x14ac:dyDescent="0.25">
      <c r="A263" t="s">
        <v>96</v>
      </c>
      <c r="B263" t="str">
        <f>"40107"</f>
        <v>40107</v>
      </c>
      <c r="C263" t="str">
        <f>"002"</f>
        <v>002</v>
      </c>
      <c r="D263">
        <v>1995</v>
      </c>
      <c r="E263">
        <v>36306200</v>
      </c>
      <c r="F263">
        <v>24326300</v>
      </c>
      <c r="G263" t="s">
        <v>11</v>
      </c>
      <c r="H263" t="s">
        <v>38</v>
      </c>
      <c r="I263" t="s">
        <v>13</v>
      </c>
      <c r="J263" t="s">
        <v>13</v>
      </c>
    </row>
    <row r="264" spans="1:11" x14ac:dyDescent="0.25">
      <c r="A264" t="s">
        <v>5</v>
      </c>
      <c r="B264" t="str">
        <f>"40107"</f>
        <v>40107</v>
      </c>
      <c r="C264" t="str">
        <f>"003"</f>
        <v>003</v>
      </c>
      <c r="D264">
        <v>2005</v>
      </c>
      <c r="E264">
        <v>60607800</v>
      </c>
      <c r="F264">
        <v>37638900</v>
      </c>
      <c r="G264" t="s">
        <v>11</v>
      </c>
      <c r="H264" t="s">
        <v>38</v>
      </c>
      <c r="I264" t="s">
        <v>13</v>
      </c>
      <c r="J264" t="s">
        <v>13</v>
      </c>
    </row>
    <row r="265" spans="1:11" x14ac:dyDescent="0.25">
      <c r="A265" t="s">
        <v>5</v>
      </c>
      <c r="B265" t="str">
        <f>"40107"</f>
        <v>40107</v>
      </c>
      <c r="C265" t="str">
        <f>"004"</f>
        <v>004</v>
      </c>
      <c r="D265">
        <v>2005</v>
      </c>
      <c r="E265">
        <v>20759800</v>
      </c>
      <c r="F265">
        <v>961200</v>
      </c>
      <c r="G265" t="s">
        <v>11</v>
      </c>
      <c r="H265" t="s">
        <v>38</v>
      </c>
      <c r="I265" t="s">
        <v>13</v>
      </c>
      <c r="J265" t="s">
        <v>13</v>
      </c>
    </row>
    <row r="266" spans="1:11" x14ac:dyDescent="0.25">
      <c r="A266" t="s">
        <v>39</v>
      </c>
      <c r="B266" t="s">
        <v>13</v>
      </c>
      <c r="C266" t="s">
        <v>7</v>
      </c>
      <c r="D266" t="s">
        <v>8</v>
      </c>
      <c r="E266">
        <v>117673800</v>
      </c>
      <c r="F266">
        <v>62926400</v>
      </c>
      <c r="G266" t="s">
        <v>11</v>
      </c>
      <c r="H266">
        <v>999260900</v>
      </c>
      <c r="I266" t="s">
        <v>13</v>
      </c>
      <c r="J266" t="s">
        <v>13</v>
      </c>
      <c r="K266">
        <v>6.3</v>
      </c>
    </row>
    <row r="268" spans="1:11" x14ac:dyDescent="0.25">
      <c r="A268" t="s">
        <v>97</v>
      </c>
      <c r="B268" t="str">
        <f>"54106"</f>
        <v>54106</v>
      </c>
      <c r="C268" t="str">
        <f>"001"</f>
        <v>001</v>
      </c>
      <c r="D268">
        <v>1998</v>
      </c>
      <c r="E268">
        <v>78400</v>
      </c>
      <c r="F268">
        <v>67100</v>
      </c>
      <c r="G268" t="s">
        <v>11</v>
      </c>
      <c r="H268" t="s">
        <v>38</v>
      </c>
      <c r="I268" t="s">
        <v>13</v>
      </c>
      <c r="J268" t="s">
        <v>13</v>
      </c>
    </row>
    <row r="269" spans="1:11" x14ac:dyDescent="0.25">
      <c r="A269" t="s">
        <v>5</v>
      </c>
      <c r="B269" t="str">
        <f>"54106"</f>
        <v>54106</v>
      </c>
      <c r="C269" t="str">
        <f>"002"</f>
        <v>002</v>
      </c>
      <c r="D269">
        <v>2002</v>
      </c>
      <c r="E269">
        <v>1896600</v>
      </c>
      <c r="F269">
        <v>624200</v>
      </c>
      <c r="G269" t="s">
        <v>11</v>
      </c>
      <c r="H269" t="s">
        <v>38</v>
      </c>
      <c r="I269" t="s">
        <v>13</v>
      </c>
      <c r="J269" t="s">
        <v>13</v>
      </c>
    </row>
    <row r="270" spans="1:11" x14ac:dyDescent="0.25">
      <c r="A270" t="s">
        <v>39</v>
      </c>
      <c r="B270" t="s">
        <v>13</v>
      </c>
      <c r="C270" t="s">
        <v>7</v>
      </c>
      <c r="D270" t="s">
        <v>8</v>
      </c>
      <c r="E270">
        <v>1975000</v>
      </c>
      <c r="F270">
        <v>691300</v>
      </c>
      <c r="G270" t="s">
        <v>11</v>
      </c>
      <c r="H270">
        <v>28261200</v>
      </c>
      <c r="I270" t="s">
        <v>13</v>
      </c>
      <c r="J270" t="s">
        <v>13</v>
      </c>
      <c r="K270">
        <v>2.4500000000000002</v>
      </c>
    </row>
    <row r="272" spans="1:11" x14ac:dyDescent="0.25">
      <c r="A272" t="s">
        <v>98</v>
      </c>
      <c r="B272" t="str">
        <f>"64206"</f>
        <v>64206</v>
      </c>
      <c r="C272" t="str">
        <f>"005"</f>
        <v>005</v>
      </c>
      <c r="D272">
        <v>2015</v>
      </c>
      <c r="E272">
        <v>2990800</v>
      </c>
      <c r="F272">
        <v>2866900</v>
      </c>
      <c r="G272" t="s">
        <v>11</v>
      </c>
      <c r="H272" t="s">
        <v>38</v>
      </c>
      <c r="I272" t="s">
        <v>13</v>
      </c>
      <c r="J272" t="s">
        <v>13</v>
      </c>
    </row>
    <row r="273" spans="1:11" x14ac:dyDescent="0.25">
      <c r="A273" t="s">
        <v>39</v>
      </c>
      <c r="B273" t="s">
        <v>13</v>
      </c>
      <c r="C273" t="s">
        <v>7</v>
      </c>
      <c r="D273" t="s">
        <v>8</v>
      </c>
      <c r="E273">
        <v>2990800</v>
      </c>
      <c r="F273">
        <v>2866900</v>
      </c>
      <c r="G273" t="s">
        <v>11</v>
      </c>
      <c r="H273">
        <v>941440600</v>
      </c>
      <c r="I273" t="s">
        <v>13</v>
      </c>
      <c r="J273" t="s">
        <v>13</v>
      </c>
      <c r="K273">
        <v>0.3</v>
      </c>
    </row>
    <row r="275" spans="1:11" x14ac:dyDescent="0.25">
      <c r="A275" t="s">
        <v>99</v>
      </c>
      <c r="B275" t="str">
        <f>"09111"</f>
        <v>09111</v>
      </c>
      <c r="C275" t="str">
        <f>"003"</f>
        <v>003</v>
      </c>
      <c r="D275">
        <v>2007</v>
      </c>
      <c r="E275">
        <v>386200</v>
      </c>
      <c r="F275">
        <v>28400</v>
      </c>
      <c r="G275" t="s">
        <v>11</v>
      </c>
      <c r="H275" t="s">
        <v>38</v>
      </c>
      <c r="I275" t="s">
        <v>13</v>
      </c>
      <c r="J275" t="s">
        <v>13</v>
      </c>
    </row>
    <row r="276" spans="1:11" x14ac:dyDescent="0.25">
      <c r="A276" t="s">
        <v>5</v>
      </c>
      <c r="B276" t="str">
        <f>"09111"</f>
        <v>09111</v>
      </c>
      <c r="C276" t="str">
        <f>"004"</f>
        <v>004</v>
      </c>
      <c r="D276">
        <v>2013</v>
      </c>
      <c r="E276">
        <v>3056900</v>
      </c>
      <c r="F276">
        <v>811700</v>
      </c>
      <c r="G276" t="s">
        <v>11</v>
      </c>
      <c r="H276" t="s">
        <v>38</v>
      </c>
      <c r="I276" t="s">
        <v>13</v>
      </c>
      <c r="J276" t="s">
        <v>13</v>
      </c>
    </row>
    <row r="277" spans="1:11" x14ac:dyDescent="0.25">
      <c r="A277" t="s">
        <v>39</v>
      </c>
      <c r="B277" t="s">
        <v>13</v>
      </c>
      <c r="C277" t="s">
        <v>7</v>
      </c>
      <c r="D277" t="s">
        <v>8</v>
      </c>
      <c r="E277">
        <v>3443100</v>
      </c>
      <c r="F277">
        <v>840100</v>
      </c>
      <c r="G277" t="s">
        <v>11</v>
      </c>
      <c r="H277">
        <v>82490900</v>
      </c>
      <c r="I277" t="s">
        <v>13</v>
      </c>
      <c r="J277" t="s">
        <v>13</v>
      </c>
      <c r="K277">
        <v>1.02</v>
      </c>
    </row>
    <row r="279" spans="1:11" x14ac:dyDescent="0.25">
      <c r="A279" t="s">
        <v>100</v>
      </c>
      <c r="B279" t="str">
        <f>"51104"</f>
        <v>51104</v>
      </c>
      <c r="C279" t="str">
        <f>"001"</f>
        <v>001</v>
      </c>
      <c r="D279">
        <v>2007</v>
      </c>
      <c r="E279">
        <v>7123500</v>
      </c>
      <c r="F279">
        <v>5291700</v>
      </c>
      <c r="G279" t="s">
        <v>11</v>
      </c>
      <c r="H279" t="s">
        <v>38</v>
      </c>
      <c r="I279" t="s">
        <v>13</v>
      </c>
      <c r="J279" t="s">
        <v>13</v>
      </c>
    </row>
    <row r="280" spans="1:11" x14ac:dyDescent="0.25">
      <c r="A280" t="s">
        <v>5</v>
      </c>
      <c r="B280" t="str">
        <f>"51104"</f>
        <v>51104</v>
      </c>
      <c r="C280" t="str">
        <f>"003"</f>
        <v>003</v>
      </c>
      <c r="D280">
        <v>2011</v>
      </c>
      <c r="E280">
        <v>34997100</v>
      </c>
      <c r="F280">
        <v>6364400</v>
      </c>
      <c r="G280" t="s">
        <v>11</v>
      </c>
      <c r="H280" t="s">
        <v>38</v>
      </c>
      <c r="I280" t="s">
        <v>13</v>
      </c>
      <c r="J280" t="s">
        <v>13</v>
      </c>
    </row>
    <row r="281" spans="1:11" x14ac:dyDescent="0.25">
      <c r="A281" t="s">
        <v>5</v>
      </c>
      <c r="B281" t="str">
        <f>"51104"</f>
        <v>51104</v>
      </c>
      <c r="C281" t="str">
        <f>"004"</f>
        <v>004</v>
      </c>
      <c r="D281">
        <v>2014</v>
      </c>
      <c r="E281">
        <v>30087900</v>
      </c>
      <c r="F281">
        <v>14643700</v>
      </c>
      <c r="G281" t="s">
        <v>11</v>
      </c>
      <c r="H281" t="s">
        <v>38</v>
      </c>
      <c r="I281" t="s">
        <v>13</v>
      </c>
      <c r="J281" t="s">
        <v>13</v>
      </c>
    </row>
    <row r="282" spans="1:11" x14ac:dyDescent="0.25">
      <c r="A282" t="s">
        <v>39</v>
      </c>
      <c r="B282" t="s">
        <v>13</v>
      </c>
      <c r="C282" t="s">
        <v>7</v>
      </c>
      <c r="D282" t="s">
        <v>8</v>
      </c>
      <c r="E282">
        <v>72208500</v>
      </c>
      <c r="F282">
        <v>26299800</v>
      </c>
      <c r="G282" t="s">
        <v>11</v>
      </c>
      <c r="H282">
        <v>2160021000</v>
      </c>
      <c r="I282" t="s">
        <v>13</v>
      </c>
      <c r="J282" t="s">
        <v>13</v>
      </c>
      <c r="K282">
        <v>1.22</v>
      </c>
    </row>
    <row r="284" spans="1:11" x14ac:dyDescent="0.25">
      <c r="A284" t="s">
        <v>101</v>
      </c>
      <c r="B284" t="str">
        <f>"13111"</f>
        <v>13111</v>
      </c>
      <c r="C284" t="str">
        <f>"004"</f>
        <v>004</v>
      </c>
      <c r="D284">
        <v>2013</v>
      </c>
      <c r="E284">
        <v>13413900</v>
      </c>
      <c r="F284">
        <v>3372900</v>
      </c>
      <c r="G284" t="s">
        <v>11</v>
      </c>
      <c r="H284" t="s">
        <v>38</v>
      </c>
      <c r="I284" t="s">
        <v>13</v>
      </c>
      <c r="J284" t="s">
        <v>13</v>
      </c>
    </row>
    <row r="285" spans="1:11" x14ac:dyDescent="0.25">
      <c r="A285" t="s">
        <v>39</v>
      </c>
      <c r="B285" t="s">
        <v>13</v>
      </c>
      <c r="C285" t="s">
        <v>7</v>
      </c>
      <c r="D285" t="s">
        <v>8</v>
      </c>
      <c r="E285">
        <v>13413900</v>
      </c>
      <c r="F285">
        <v>3372900</v>
      </c>
      <c r="G285" t="s">
        <v>11</v>
      </c>
      <c r="H285">
        <v>167749600</v>
      </c>
      <c r="I285" t="s">
        <v>13</v>
      </c>
      <c r="J285" t="s">
        <v>13</v>
      </c>
      <c r="K285">
        <v>2.0099999999999998</v>
      </c>
    </row>
    <row r="287" spans="1:11" x14ac:dyDescent="0.25">
      <c r="A287" t="s">
        <v>102</v>
      </c>
      <c r="B287" t="str">
        <f>"03111"</f>
        <v>03111</v>
      </c>
      <c r="C287" t="str">
        <f>"001"</f>
        <v>001</v>
      </c>
      <c r="D287">
        <v>2005</v>
      </c>
      <c r="E287">
        <v>15134200</v>
      </c>
      <c r="F287">
        <v>12816700</v>
      </c>
      <c r="G287" t="s">
        <v>11</v>
      </c>
      <c r="H287" t="s">
        <v>38</v>
      </c>
      <c r="I287" t="s">
        <v>13</v>
      </c>
      <c r="J287" t="s">
        <v>13</v>
      </c>
    </row>
    <row r="288" spans="1:11" x14ac:dyDescent="0.25">
      <c r="A288" t="s">
        <v>39</v>
      </c>
      <c r="B288" t="s">
        <v>13</v>
      </c>
      <c r="C288" t="s">
        <v>7</v>
      </c>
      <c r="D288" t="s">
        <v>8</v>
      </c>
      <c r="E288">
        <v>15134200</v>
      </c>
      <c r="F288">
        <v>12816700</v>
      </c>
      <c r="G288" t="s">
        <v>11</v>
      </c>
      <c r="H288">
        <v>102806500</v>
      </c>
      <c r="I288" t="s">
        <v>13</v>
      </c>
      <c r="J288" t="s">
        <v>13</v>
      </c>
      <c r="K288">
        <v>12.47</v>
      </c>
    </row>
    <row r="290" spans="1:11" x14ac:dyDescent="0.25">
      <c r="A290" t="s">
        <v>103</v>
      </c>
      <c r="B290" t="str">
        <f>"29111"</f>
        <v>29111</v>
      </c>
      <c r="C290" t="str">
        <f>"001"</f>
        <v>001</v>
      </c>
      <c r="D290">
        <v>1995</v>
      </c>
      <c r="E290">
        <v>5203900</v>
      </c>
      <c r="F290">
        <v>4573700</v>
      </c>
      <c r="G290" t="s">
        <v>11</v>
      </c>
      <c r="H290" t="s">
        <v>38</v>
      </c>
      <c r="I290" t="s">
        <v>13</v>
      </c>
      <c r="J290" t="s">
        <v>13</v>
      </c>
    </row>
    <row r="291" spans="1:11" x14ac:dyDescent="0.25">
      <c r="A291" t="s">
        <v>39</v>
      </c>
      <c r="B291" t="s">
        <v>13</v>
      </c>
      <c r="C291" t="s">
        <v>7</v>
      </c>
      <c r="D291" t="s">
        <v>8</v>
      </c>
      <c r="E291">
        <v>5203900</v>
      </c>
      <c r="F291">
        <v>4573700</v>
      </c>
      <c r="G291" t="s">
        <v>11</v>
      </c>
      <c r="H291">
        <v>21451300</v>
      </c>
      <c r="I291" t="s">
        <v>13</v>
      </c>
      <c r="J291" t="s">
        <v>13</v>
      </c>
      <c r="K291">
        <v>21.32</v>
      </c>
    </row>
    <row r="293" spans="1:11" x14ac:dyDescent="0.25">
      <c r="A293" t="s">
        <v>104</v>
      </c>
      <c r="B293" t="str">
        <f>"20111"</f>
        <v>20111</v>
      </c>
      <c r="C293" t="str">
        <f>"001"</f>
        <v>001</v>
      </c>
      <c r="D293">
        <v>2011</v>
      </c>
      <c r="E293">
        <v>2228000</v>
      </c>
      <c r="F293">
        <v>464700</v>
      </c>
      <c r="G293" t="s">
        <v>11</v>
      </c>
      <c r="H293" t="s">
        <v>38</v>
      </c>
      <c r="I293" t="s">
        <v>13</v>
      </c>
      <c r="J293" t="s">
        <v>13</v>
      </c>
    </row>
    <row r="294" spans="1:11" x14ac:dyDescent="0.25">
      <c r="A294" t="s">
        <v>39</v>
      </c>
      <c r="B294" t="s">
        <v>13</v>
      </c>
      <c r="C294" t="s">
        <v>7</v>
      </c>
      <c r="D294" t="s">
        <v>8</v>
      </c>
      <c r="E294">
        <v>2228000</v>
      </c>
      <c r="F294">
        <v>464700</v>
      </c>
      <c r="G294" t="s">
        <v>11</v>
      </c>
      <c r="H294">
        <v>111229200</v>
      </c>
      <c r="I294" t="s">
        <v>13</v>
      </c>
      <c r="J294" t="s">
        <v>13</v>
      </c>
      <c r="K294">
        <v>0.42</v>
      </c>
    </row>
    <row r="296" spans="1:11" x14ac:dyDescent="0.25">
      <c r="A296" t="s">
        <v>105</v>
      </c>
      <c r="B296" t="str">
        <f>"59111"</f>
        <v>59111</v>
      </c>
      <c r="C296" t="str">
        <f>"001"</f>
        <v>001</v>
      </c>
      <c r="D296">
        <v>2011</v>
      </c>
      <c r="E296">
        <v>1195000</v>
      </c>
      <c r="F296">
        <v>618000</v>
      </c>
      <c r="G296" t="s">
        <v>11</v>
      </c>
      <c r="H296" t="s">
        <v>38</v>
      </c>
      <c r="I296" t="s">
        <v>13</v>
      </c>
      <c r="J296" t="s">
        <v>13</v>
      </c>
    </row>
    <row r="297" spans="1:11" x14ac:dyDescent="0.25">
      <c r="A297" t="s">
        <v>39</v>
      </c>
      <c r="B297" t="s">
        <v>13</v>
      </c>
      <c r="C297" t="s">
        <v>7</v>
      </c>
      <c r="D297" t="s">
        <v>8</v>
      </c>
      <c r="E297">
        <v>1195000</v>
      </c>
      <c r="F297">
        <v>618000</v>
      </c>
      <c r="G297" t="s">
        <v>11</v>
      </c>
      <c r="H297">
        <v>41385200</v>
      </c>
      <c r="I297" t="s">
        <v>13</v>
      </c>
      <c r="J297" t="s">
        <v>13</v>
      </c>
      <c r="K297">
        <v>1.49</v>
      </c>
    </row>
    <row r="299" spans="1:11" x14ac:dyDescent="0.25">
      <c r="A299" t="s">
        <v>106</v>
      </c>
      <c r="B299" t="str">
        <f>"41111"</f>
        <v>41111</v>
      </c>
      <c r="C299" t="str">
        <f>"001"</f>
        <v>001</v>
      </c>
      <c r="D299">
        <v>1993</v>
      </c>
      <c r="E299">
        <v>2582700</v>
      </c>
      <c r="F299">
        <v>2500500</v>
      </c>
      <c r="G299" t="s">
        <v>11</v>
      </c>
      <c r="H299" t="s">
        <v>38</v>
      </c>
      <c r="I299" t="s">
        <v>13</v>
      </c>
      <c r="J299" t="s">
        <v>13</v>
      </c>
    </row>
    <row r="300" spans="1:11" x14ac:dyDescent="0.25">
      <c r="A300" t="s">
        <v>5</v>
      </c>
      <c r="B300" t="str">
        <f>"41111"</f>
        <v>41111</v>
      </c>
      <c r="C300" t="str">
        <f>"002"</f>
        <v>002</v>
      </c>
      <c r="D300">
        <v>1998</v>
      </c>
      <c r="E300">
        <v>1551600</v>
      </c>
      <c r="F300">
        <v>715600</v>
      </c>
      <c r="G300" t="s">
        <v>11</v>
      </c>
      <c r="H300" t="s">
        <v>38</v>
      </c>
      <c r="I300" t="s">
        <v>13</v>
      </c>
      <c r="J300" t="s">
        <v>13</v>
      </c>
    </row>
    <row r="301" spans="1:11" x14ac:dyDescent="0.25">
      <c r="A301" t="s">
        <v>5</v>
      </c>
      <c r="B301" t="str">
        <f>"41111"</f>
        <v>41111</v>
      </c>
      <c r="C301" t="str">
        <f>"003"</f>
        <v>003</v>
      </c>
      <c r="D301">
        <v>2005</v>
      </c>
      <c r="E301">
        <v>43826500</v>
      </c>
      <c r="F301">
        <v>43494200</v>
      </c>
      <c r="G301" t="s">
        <v>11</v>
      </c>
      <c r="H301" t="s">
        <v>38</v>
      </c>
      <c r="I301" t="s">
        <v>13</v>
      </c>
      <c r="J301" t="s">
        <v>13</v>
      </c>
    </row>
    <row r="302" spans="1:11" x14ac:dyDescent="0.25">
      <c r="A302" t="s">
        <v>39</v>
      </c>
      <c r="B302" t="s">
        <v>13</v>
      </c>
      <c r="C302" t="s">
        <v>7</v>
      </c>
      <c r="D302" t="s">
        <v>8</v>
      </c>
      <c r="E302">
        <v>47960800</v>
      </c>
      <c r="F302">
        <v>46710300</v>
      </c>
      <c r="G302" t="s">
        <v>11</v>
      </c>
      <c r="H302">
        <v>87533200</v>
      </c>
      <c r="I302" t="s">
        <v>13</v>
      </c>
      <c r="J302" t="s">
        <v>13</v>
      </c>
      <c r="K302">
        <v>53.36</v>
      </c>
    </row>
    <row r="304" spans="1:11" x14ac:dyDescent="0.25">
      <c r="A304" t="s">
        <v>107</v>
      </c>
      <c r="B304" t="str">
        <f>"59112"</f>
        <v>59112</v>
      </c>
      <c r="C304" t="str">
        <f>"001"</f>
        <v>001</v>
      </c>
      <c r="D304">
        <v>2009</v>
      </c>
      <c r="E304">
        <v>807900</v>
      </c>
      <c r="F304">
        <v>563100</v>
      </c>
      <c r="G304" t="s">
        <v>11</v>
      </c>
      <c r="H304" t="s">
        <v>38</v>
      </c>
      <c r="I304" t="s">
        <v>13</v>
      </c>
      <c r="J304" t="s">
        <v>13</v>
      </c>
    </row>
    <row r="305" spans="1:11" x14ac:dyDescent="0.25">
      <c r="A305" t="s">
        <v>5</v>
      </c>
      <c r="B305" t="str">
        <f>"59112"</f>
        <v>59112</v>
      </c>
      <c r="C305" t="str">
        <f>"002"</f>
        <v>002</v>
      </c>
      <c r="D305">
        <v>2017</v>
      </c>
      <c r="E305">
        <v>2632000</v>
      </c>
      <c r="F305">
        <v>26900</v>
      </c>
      <c r="G305" t="s">
        <v>11</v>
      </c>
      <c r="H305" t="s">
        <v>38</v>
      </c>
      <c r="I305" t="s">
        <v>13</v>
      </c>
      <c r="J305" t="s">
        <v>13</v>
      </c>
    </row>
    <row r="306" spans="1:11" x14ac:dyDescent="0.25">
      <c r="A306" t="s">
        <v>39</v>
      </c>
      <c r="B306" t="s">
        <v>13</v>
      </c>
      <c r="C306" t="s">
        <v>7</v>
      </c>
      <c r="D306" t="s">
        <v>8</v>
      </c>
      <c r="E306">
        <v>3439900</v>
      </c>
      <c r="F306">
        <v>590000</v>
      </c>
      <c r="G306" t="s">
        <v>11</v>
      </c>
      <c r="H306">
        <v>148299100</v>
      </c>
      <c r="I306" t="s">
        <v>13</v>
      </c>
      <c r="J306" t="s">
        <v>13</v>
      </c>
      <c r="K306">
        <v>0.4</v>
      </c>
    </row>
    <row r="308" spans="1:11" x14ac:dyDescent="0.25">
      <c r="A308" t="s">
        <v>108</v>
      </c>
      <c r="B308" t="str">
        <f>"45211"</f>
        <v>45211</v>
      </c>
      <c r="C308" t="str">
        <f>"003"</f>
        <v>003</v>
      </c>
      <c r="D308">
        <v>2015</v>
      </c>
      <c r="E308">
        <v>302800</v>
      </c>
      <c r="F308">
        <v>20300</v>
      </c>
      <c r="G308" t="s">
        <v>11</v>
      </c>
      <c r="H308" t="s">
        <v>38</v>
      </c>
      <c r="I308" t="s">
        <v>13</v>
      </c>
      <c r="J308" t="s">
        <v>13</v>
      </c>
    </row>
    <row r="309" spans="1:11" x14ac:dyDescent="0.25">
      <c r="A309" t="s">
        <v>39</v>
      </c>
      <c r="B309" t="s">
        <v>13</v>
      </c>
      <c r="C309" t="s">
        <v>7</v>
      </c>
      <c r="D309" t="s">
        <v>8</v>
      </c>
      <c r="E309">
        <v>302800</v>
      </c>
      <c r="F309">
        <v>20300</v>
      </c>
      <c r="G309" t="s">
        <v>11</v>
      </c>
      <c r="H309">
        <v>1347465200</v>
      </c>
      <c r="I309" t="s">
        <v>13</v>
      </c>
      <c r="J309" t="s">
        <v>13</v>
      </c>
      <c r="K309">
        <v>0</v>
      </c>
    </row>
    <row r="311" spans="1:11" x14ac:dyDescent="0.25">
      <c r="A311" t="s">
        <v>109</v>
      </c>
      <c r="B311" t="str">
        <f>"48111"</f>
        <v>48111</v>
      </c>
      <c r="C311" t="str">
        <f>"001"</f>
        <v>001</v>
      </c>
      <c r="D311">
        <v>1999</v>
      </c>
      <c r="E311">
        <v>8079000</v>
      </c>
      <c r="F311">
        <v>3396000</v>
      </c>
      <c r="G311" t="s">
        <v>11</v>
      </c>
      <c r="H311" t="s">
        <v>38</v>
      </c>
      <c r="I311" t="s">
        <v>13</v>
      </c>
      <c r="J311" t="s">
        <v>13</v>
      </c>
    </row>
    <row r="312" spans="1:11" x14ac:dyDescent="0.25">
      <c r="A312" t="s">
        <v>39</v>
      </c>
      <c r="B312" t="s">
        <v>13</v>
      </c>
      <c r="C312" t="s">
        <v>7</v>
      </c>
      <c r="D312" t="s">
        <v>8</v>
      </c>
      <c r="E312">
        <v>8079000</v>
      </c>
      <c r="F312">
        <v>3396000</v>
      </c>
      <c r="G312" t="s">
        <v>11</v>
      </c>
      <c r="H312">
        <v>34227700</v>
      </c>
      <c r="I312" t="s">
        <v>13</v>
      </c>
      <c r="J312" t="s">
        <v>13</v>
      </c>
      <c r="K312">
        <v>9.92</v>
      </c>
    </row>
    <row r="314" spans="1:11" x14ac:dyDescent="0.25">
      <c r="A314" t="s">
        <v>110</v>
      </c>
      <c r="B314" t="str">
        <f>"03211"</f>
        <v>03211</v>
      </c>
      <c r="C314" t="str">
        <f>"002"</f>
        <v>002</v>
      </c>
      <c r="D314">
        <v>1997</v>
      </c>
      <c r="E314">
        <v>25271200</v>
      </c>
      <c r="F314">
        <v>13266300</v>
      </c>
      <c r="G314" t="s">
        <v>11</v>
      </c>
      <c r="H314" t="s">
        <v>38</v>
      </c>
      <c r="I314" t="s">
        <v>13</v>
      </c>
      <c r="J314" t="s">
        <v>13</v>
      </c>
    </row>
    <row r="315" spans="1:11" x14ac:dyDescent="0.25">
      <c r="A315" t="s">
        <v>5</v>
      </c>
      <c r="B315" t="str">
        <f>"03211"</f>
        <v>03211</v>
      </c>
      <c r="C315" t="str">
        <f>"003"</f>
        <v>003</v>
      </c>
      <c r="D315">
        <v>2007</v>
      </c>
      <c r="E315">
        <v>0</v>
      </c>
      <c r="F315">
        <v>-222800</v>
      </c>
      <c r="G315" t="s">
        <v>43</v>
      </c>
      <c r="H315" t="s">
        <v>38</v>
      </c>
      <c r="I315" t="s">
        <v>13</v>
      </c>
      <c r="J315" t="s">
        <v>13</v>
      </c>
    </row>
    <row r="316" spans="1:11" x14ac:dyDescent="0.25">
      <c r="A316" t="s">
        <v>39</v>
      </c>
      <c r="B316" t="s">
        <v>13</v>
      </c>
      <c r="C316" t="s">
        <v>7</v>
      </c>
      <c r="D316" t="s">
        <v>8</v>
      </c>
      <c r="E316">
        <v>25271200</v>
      </c>
      <c r="F316">
        <v>13266300</v>
      </c>
      <c r="G316" t="s">
        <v>11</v>
      </c>
      <c r="H316">
        <v>156663700</v>
      </c>
      <c r="I316" t="s">
        <v>13</v>
      </c>
      <c r="J316" t="s">
        <v>13</v>
      </c>
      <c r="K316">
        <v>8.4700000000000006</v>
      </c>
    </row>
    <row r="318" spans="1:11" x14ac:dyDescent="0.25">
      <c r="A318" t="s">
        <v>111</v>
      </c>
      <c r="B318" t="str">
        <f>"08211"</f>
        <v>08211</v>
      </c>
      <c r="C318" t="str">
        <f>"004"</f>
        <v>004</v>
      </c>
      <c r="D318">
        <v>2005</v>
      </c>
      <c r="E318">
        <v>4566000</v>
      </c>
      <c r="F318">
        <v>2409700</v>
      </c>
      <c r="G318" t="s">
        <v>11</v>
      </c>
      <c r="H318" t="s">
        <v>38</v>
      </c>
      <c r="I318" t="s">
        <v>13</v>
      </c>
      <c r="J318" t="s">
        <v>13</v>
      </c>
    </row>
    <row r="319" spans="1:11" x14ac:dyDescent="0.25">
      <c r="A319" t="s">
        <v>5</v>
      </c>
      <c r="B319" t="str">
        <f>"08211"</f>
        <v>08211</v>
      </c>
      <c r="C319" t="str">
        <f>"006"</f>
        <v>006</v>
      </c>
      <c r="D319">
        <v>2017</v>
      </c>
      <c r="E319">
        <v>2314400</v>
      </c>
      <c r="F319">
        <v>1498500</v>
      </c>
      <c r="G319" t="s">
        <v>11</v>
      </c>
      <c r="H319" t="s">
        <v>38</v>
      </c>
      <c r="I319" t="s">
        <v>13</v>
      </c>
      <c r="J319" t="s">
        <v>13</v>
      </c>
    </row>
    <row r="320" spans="1:11" x14ac:dyDescent="0.25">
      <c r="A320" t="s">
        <v>5</v>
      </c>
      <c r="B320" t="str">
        <f>"08211"</f>
        <v>08211</v>
      </c>
      <c r="C320" t="str">
        <f>"007"</f>
        <v>007</v>
      </c>
      <c r="D320">
        <v>2017</v>
      </c>
      <c r="E320">
        <v>3500</v>
      </c>
      <c r="F320">
        <v>-42300</v>
      </c>
      <c r="G320" t="s">
        <v>43</v>
      </c>
      <c r="H320" t="s">
        <v>38</v>
      </c>
      <c r="I320" t="s">
        <v>13</v>
      </c>
      <c r="J320" t="s">
        <v>13</v>
      </c>
    </row>
    <row r="321" spans="1:11" x14ac:dyDescent="0.25">
      <c r="A321" t="s">
        <v>39</v>
      </c>
      <c r="B321" t="s">
        <v>13</v>
      </c>
      <c r="C321" t="s">
        <v>7</v>
      </c>
      <c r="D321" t="s">
        <v>8</v>
      </c>
      <c r="E321">
        <v>6883900</v>
      </c>
      <c r="F321">
        <v>3908200</v>
      </c>
      <c r="G321" t="s">
        <v>11</v>
      </c>
      <c r="H321">
        <v>267430900</v>
      </c>
      <c r="I321" t="s">
        <v>13</v>
      </c>
      <c r="J321" t="s">
        <v>13</v>
      </c>
      <c r="K321">
        <v>1.46</v>
      </c>
    </row>
    <row r="323" spans="1:11" x14ac:dyDescent="0.25">
      <c r="A323" t="s">
        <v>112</v>
      </c>
      <c r="B323" t="str">
        <f t="shared" ref="B323:B331" si="2">"09211"</f>
        <v>09211</v>
      </c>
      <c r="C323" t="str">
        <f>"004"</f>
        <v>004</v>
      </c>
      <c r="D323">
        <v>1994</v>
      </c>
      <c r="E323">
        <v>10917700</v>
      </c>
      <c r="F323">
        <v>4897200</v>
      </c>
      <c r="G323" t="s">
        <v>11</v>
      </c>
      <c r="H323" t="s">
        <v>38</v>
      </c>
      <c r="I323" t="s">
        <v>13</v>
      </c>
      <c r="J323" t="s">
        <v>13</v>
      </c>
    </row>
    <row r="324" spans="1:11" x14ac:dyDescent="0.25">
      <c r="A324" t="s">
        <v>5</v>
      </c>
      <c r="B324" t="str">
        <f t="shared" si="2"/>
        <v>09211</v>
      </c>
      <c r="C324" t="str">
        <f>"005"</f>
        <v>005</v>
      </c>
      <c r="D324">
        <v>1998</v>
      </c>
      <c r="E324">
        <v>55848900</v>
      </c>
      <c r="F324">
        <v>19937500</v>
      </c>
      <c r="G324" t="s">
        <v>11</v>
      </c>
      <c r="H324" t="s">
        <v>38</v>
      </c>
      <c r="I324" t="s">
        <v>13</v>
      </c>
      <c r="J324" t="s">
        <v>13</v>
      </c>
    </row>
    <row r="325" spans="1:11" x14ac:dyDescent="0.25">
      <c r="A325" t="s">
        <v>5</v>
      </c>
      <c r="B325" t="str">
        <f t="shared" si="2"/>
        <v>09211</v>
      </c>
      <c r="C325" t="str">
        <f>"007"</f>
        <v>007</v>
      </c>
      <c r="D325">
        <v>2001</v>
      </c>
      <c r="E325">
        <v>7089500</v>
      </c>
      <c r="F325">
        <v>5587900</v>
      </c>
      <c r="G325" t="s">
        <v>11</v>
      </c>
      <c r="H325" t="s">
        <v>38</v>
      </c>
      <c r="I325" t="s">
        <v>13</v>
      </c>
      <c r="J325" t="s">
        <v>13</v>
      </c>
    </row>
    <row r="326" spans="1:11" x14ac:dyDescent="0.25">
      <c r="A326" t="s">
        <v>5</v>
      </c>
      <c r="B326" t="str">
        <f t="shared" si="2"/>
        <v>09211</v>
      </c>
      <c r="C326" t="str">
        <f>"008"</f>
        <v>008</v>
      </c>
      <c r="D326">
        <v>2002</v>
      </c>
      <c r="E326">
        <v>3687100</v>
      </c>
      <c r="F326">
        <v>3248100</v>
      </c>
      <c r="G326" t="s">
        <v>11</v>
      </c>
      <c r="H326" t="s">
        <v>38</v>
      </c>
      <c r="I326" t="s">
        <v>13</v>
      </c>
      <c r="J326" t="s">
        <v>13</v>
      </c>
    </row>
    <row r="327" spans="1:11" x14ac:dyDescent="0.25">
      <c r="A327" t="s">
        <v>5</v>
      </c>
      <c r="B327" t="str">
        <f t="shared" si="2"/>
        <v>09211</v>
      </c>
      <c r="C327" t="str">
        <f>"010"</f>
        <v>010</v>
      </c>
      <c r="D327">
        <v>2005</v>
      </c>
      <c r="E327">
        <v>2414500</v>
      </c>
      <c r="F327">
        <v>2414500</v>
      </c>
      <c r="G327" t="s">
        <v>11</v>
      </c>
      <c r="H327" t="s">
        <v>38</v>
      </c>
      <c r="I327" t="s">
        <v>13</v>
      </c>
      <c r="J327" t="s">
        <v>13</v>
      </c>
    </row>
    <row r="328" spans="1:11" x14ac:dyDescent="0.25">
      <c r="A328" t="s">
        <v>5</v>
      </c>
      <c r="B328" t="str">
        <f t="shared" si="2"/>
        <v>09211</v>
      </c>
      <c r="C328" t="str">
        <f>"011"</f>
        <v>011</v>
      </c>
      <c r="D328">
        <v>2008</v>
      </c>
      <c r="E328">
        <v>52176500</v>
      </c>
      <c r="F328">
        <v>52097000</v>
      </c>
      <c r="G328" t="s">
        <v>11</v>
      </c>
      <c r="H328" t="s">
        <v>38</v>
      </c>
      <c r="I328" t="s">
        <v>13</v>
      </c>
      <c r="J328" t="s">
        <v>13</v>
      </c>
    </row>
    <row r="329" spans="1:11" x14ac:dyDescent="0.25">
      <c r="A329" t="s">
        <v>5</v>
      </c>
      <c r="B329" t="str">
        <f t="shared" si="2"/>
        <v>09211</v>
      </c>
      <c r="C329" t="str">
        <f>"012"</f>
        <v>012</v>
      </c>
      <c r="D329">
        <v>2012</v>
      </c>
      <c r="E329">
        <v>17863300</v>
      </c>
      <c r="F329">
        <v>12476600</v>
      </c>
      <c r="G329" t="s">
        <v>11</v>
      </c>
      <c r="H329" t="s">
        <v>38</v>
      </c>
      <c r="I329" t="s">
        <v>13</v>
      </c>
      <c r="J329" t="s">
        <v>13</v>
      </c>
    </row>
    <row r="330" spans="1:11" x14ac:dyDescent="0.25">
      <c r="A330" t="s">
        <v>5</v>
      </c>
      <c r="B330" t="str">
        <f t="shared" si="2"/>
        <v>09211</v>
      </c>
      <c r="C330" t="str">
        <f>"013"</f>
        <v>013</v>
      </c>
      <c r="D330">
        <v>2015</v>
      </c>
      <c r="E330">
        <v>8363200</v>
      </c>
      <c r="F330">
        <v>4860200</v>
      </c>
      <c r="G330" t="s">
        <v>11</v>
      </c>
      <c r="H330" t="s">
        <v>38</v>
      </c>
      <c r="I330" t="s">
        <v>13</v>
      </c>
      <c r="J330" t="s">
        <v>13</v>
      </c>
    </row>
    <row r="331" spans="1:11" x14ac:dyDescent="0.25">
      <c r="A331" t="s">
        <v>5</v>
      </c>
      <c r="B331" t="str">
        <f t="shared" si="2"/>
        <v>09211</v>
      </c>
      <c r="C331" t="str">
        <f>"014"</f>
        <v>014</v>
      </c>
      <c r="D331">
        <v>2015</v>
      </c>
      <c r="E331">
        <v>59254800</v>
      </c>
      <c r="F331">
        <v>59254800</v>
      </c>
      <c r="G331" t="s">
        <v>11</v>
      </c>
      <c r="H331" t="s">
        <v>38</v>
      </c>
      <c r="I331" t="s">
        <v>13</v>
      </c>
      <c r="J331" t="s">
        <v>13</v>
      </c>
    </row>
    <row r="332" spans="1:11" x14ac:dyDescent="0.25">
      <c r="A332" t="s">
        <v>39</v>
      </c>
      <c r="B332" t="s">
        <v>13</v>
      </c>
      <c r="C332" t="s">
        <v>7</v>
      </c>
      <c r="D332" t="s">
        <v>8</v>
      </c>
      <c r="E332">
        <v>217615500</v>
      </c>
      <c r="F332">
        <v>164773800</v>
      </c>
      <c r="G332" t="s">
        <v>11</v>
      </c>
      <c r="H332">
        <v>1000582900</v>
      </c>
      <c r="I332" t="s">
        <v>13</v>
      </c>
      <c r="J332" t="s">
        <v>13</v>
      </c>
      <c r="K332">
        <v>16.47</v>
      </c>
    </row>
    <row r="334" spans="1:11" x14ac:dyDescent="0.25">
      <c r="A334" t="s">
        <v>113</v>
      </c>
      <c r="B334" t="str">
        <f>"48112"</f>
        <v>48112</v>
      </c>
      <c r="C334" t="str">
        <f>"002"</f>
        <v>002</v>
      </c>
      <c r="D334">
        <v>1999</v>
      </c>
      <c r="E334">
        <v>1143200</v>
      </c>
      <c r="F334">
        <v>1075200</v>
      </c>
      <c r="G334" t="s">
        <v>11</v>
      </c>
      <c r="H334" t="s">
        <v>38</v>
      </c>
      <c r="I334" t="s">
        <v>13</v>
      </c>
      <c r="J334" t="s">
        <v>13</v>
      </c>
    </row>
    <row r="335" spans="1:11" x14ac:dyDescent="0.25">
      <c r="A335" t="s">
        <v>39</v>
      </c>
      <c r="B335" t="s">
        <v>13</v>
      </c>
      <c r="C335" t="s">
        <v>7</v>
      </c>
      <c r="D335" t="s">
        <v>8</v>
      </c>
      <c r="E335">
        <v>1143200</v>
      </c>
      <c r="F335">
        <v>1075200</v>
      </c>
      <c r="G335" t="s">
        <v>11</v>
      </c>
      <c r="H335">
        <v>23250700</v>
      </c>
      <c r="I335" t="s">
        <v>13</v>
      </c>
      <c r="J335" t="s">
        <v>13</v>
      </c>
      <c r="K335">
        <v>4.62</v>
      </c>
    </row>
    <row r="337" spans="1:11" x14ac:dyDescent="0.25">
      <c r="A337" t="s">
        <v>114</v>
      </c>
      <c r="B337" t="str">
        <f>"48113"</f>
        <v>48113</v>
      </c>
      <c r="C337" t="str">
        <f>"002"</f>
        <v>002</v>
      </c>
      <c r="D337">
        <v>2000</v>
      </c>
      <c r="E337">
        <v>2922400</v>
      </c>
      <c r="F337">
        <v>2491300</v>
      </c>
      <c r="G337" t="s">
        <v>11</v>
      </c>
      <c r="H337" t="s">
        <v>38</v>
      </c>
      <c r="I337" t="s">
        <v>13</v>
      </c>
      <c r="J337" t="s">
        <v>13</v>
      </c>
    </row>
    <row r="338" spans="1:11" x14ac:dyDescent="0.25">
      <c r="A338" t="s">
        <v>5</v>
      </c>
      <c r="B338" t="str">
        <f>"48113"</f>
        <v>48113</v>
      </c>
      <c r="C338" t="str">
        <f>"003"</f>
        <v>003</v>
      </c>
      <c r="D338">
        <v>2003</v>
      </c>
      <c r="E338">
        <v>5333300</v>
      </c>
      <c r="F338">
        <v>3219700</v>
      </c>
      <c r="G338" t="s">
        <v>11</v>
      </c>
      <c r="H338" t="s">
        <v>38</v>
      </c>
      <c r="I338" t="s">
        <v>13</v>
      </c>
      <c r="J338" t="s">
        <v>13</v>
      </c>
    </row>
    <row r="339" spans="1:11" x14ac:dyDescent="0.25">
      <c r="A339" t="s">
        <v>39</v>
      </c>
      <c r="B339" t="s">
        <v>13</v>
      </c>
      <c r="C339" t="s">
        <v>7</v>
      </c>
      <c r="D339" t="s">
        <v>8</v>
      </c>
      <c r="E339">
        <v>8255700</v>
      </c>
      <c r="F339">
        <v>5711000</v>
      </c>
      <c r="G339" t="s">
        <v>11</v>
      </c>
      <c r="H339">
        <v>62788100</v>
      </c>
      <c r="I339" t="s">
        <v>13</v>
      </c>
      <c r="J339" t="s">
        <v>13</v>
      </c>
      <c r="K339">
        <v>9.1</v>
      </c>
    </row>
    <row r="341" spans="1:11" x14ac:dyDescent="0.25">
      <c r="A341" t="s">
        <v>115</v>
      </c>
      <c r="B341" t="str">
        <f>"36112"</f>
        <v>36112</v>
      </c>
      <c r="C341" t="str">
        <f>"001"</f>
        <v>001</v>
      </c>
      <c r="D341">
        <v>1996</v>
      </c>
      <c r="E341">
        <v>7732000</v>
      </c>
      <c r="F341">
        <v>6800700</v>
      </c>
      <c r="G341" t="s">
        <v>11</v>
      </c>
      <c r="H341" t="s">
        <v>38</v>
      </c>
      <c r="I341" t="s">
        <v>13</v>
      </c>
      <c r="J341" t="s">
        <v>13</v>
      </c>
    </row>
    <row r="342" spans="1:11" x14ac:dyDescent="0.25">
      <c r="A342" t="s">
        <v>39</v>
      </c>
      <c r="B342" t="s">
        <v>13</v>
      </c>
      <c r="C342" t="s">
        <v>7</v>
      </c>
      <c r="D342" t="s">
        <v>8</v>
      </c>
      <c r="E342">
        <v>7732000</v>
      </c>
      <c r="F342">
        <v>6800700</v>
      </c>
      <c r="G342" t="s">
        <v>11</v>
      </c>
      <c r="H342">
        <v>96642600</v>
      </c>
      <c r="I342" t="s">
        <v>13</v>
      </c>
      <c r="J342" t="s">
        <v>13</v>
      </c>
      <c r="K342">
        <v>7.04</v>
      </c>
    </row>
    <row r="344" spans="1:11" x14ac:dyDescent="0.25">
      <c r="A344" t="s">
        <v>116</v>
      </c>
      <c r="B344" t="str">
        <f>"53111"</f>
        <v>53111</v>
      </c>
      <c r="C344" t="str">
        <f>"004"</f>
        <v>004</v>
      </c>
      <c r="D344">
        <v>1998</v>
      </c>
      <c r="E344">
        <v>36300500</v>
      </c>
      <c r="F344">
        <v>18493200</v>
      </c>
      <c r="G344" t="s">
        <v>11</v>
      </c>
      <c r="H344" t="s">
        <v>38</v>
      </c>
      <c r="I344" t="s">
        <v>13</v>
      </c>
      <c r="J344" t="s">
        <v>13</v>
      </c>
    </row>
    <row r="345" spans="1:11" x14ac:dyDescent="0.25">
      <c r="A345" t="s">
        <v>39</v>
      </c>
      <c r="B345" t="s">
        <v>13</v>
      </c>
      <c r="C345" t="s">
        <v>7</v>
      </c>
      <c r="D345" t="s">
        <v>8</v>
      </c>
      <c r="E345">
        <v>36300500</v>
      </c>
      <c r="F345">
        <v>18493200</v>
      </c>
      <c r="G345" t="s">
        <v>11</v>
      </c>
      <c r="H345">
        <v>123435400</v>
      </c>
      <c r="I345" t="s">
        <v>13</v>
      </c>
      <c r="J345" t="s">
        <v>13</v>
      </c>
      <c r="K345">
        <v>14.98</v>
      </c>
    </row>
    <row r="347" spans="1:11" x14ac:dyDescent="0.25">
      <c r="A347" t="s">
        <v>117</v>
      </c>
      <c r="B347" t="str">
        <f>"37211"</f>
        <v>37211</v>
      </c>
      <c r="C347" t="str">
        <f>"002"</f>
        <v>002</v>
      </c>
      <c r="D347">
        <v>1993</v>
      </c>
      <c r="E347">
        <v>20034800</v>
      </c>
      <c r="F347">
        <v>15520100</v>
      </c>
      <c r="G347" t="s">
        <v>11</v>
      </c>
      <c r="H347" t="s">
        <v>38</v>
      </c>
      <c r="I347" t="s">
        <v>13</v>
      </c>
      <c r="J347" t="s">
        <v>13</v>
      </c>
    </row>
    <row r="348" spans="1:11" x14ac:dyDescent="0.25">
      <c r="A348" t="s">
        <v>5</v>
      </c>
      <c r="B348" t="str">
        <f>"10211"</f>
        <v>10211</v>
      </c>
      <c r="C348" t="str">
        <f>"002"</f>
        <v>002</v>
      </c>
      <c r="D348">
        <v>1993</v>
      </c>
      <c r="E348">
        <v>5612800</v>
      </c>
      <c r="F348">
        <v>5355300</v>
      </c>
      <c r="G348" t="s">
        <v>11</v>
      </c>
      <c r="H348" t="s">
        <v>38</v>
      </c>
      <c r="I348" t="s">
        <v>13</v>
      </c>
      <c r="J348" t="s">
        <v>13</v>
      </c>
    </row>
    <row r="349" spans="1:11" x14ac:dyDescent="0.25">
      <c r="A349" t="s">
        <v>39</v>
      </c>
      <c r="B349" t="s">
        <v>13</v>
      </c>
      <c r="C349" t="s">
        <v>7</v>
      </c>
      <c r="D349" t="s">
        <v>8</v>
      </c>
      <c r="E349">
        <v>25647600</v>
      </c>
      <c r="F349">
        <v>20875400</v>
      </c>
      <c r="G349" t="s">
        <v>11</v>
      </c>
      <c r="H349">
        <v>81568500</v>
      </c>
      <c r="I349" t="s">
        <v>13</v>
      </c>
      <c r="J349" t="s">
        <v>13</v>
      </c>
      <c r="K349">
        <v>25.59</v>
      </c>
    </row>
    <row r="351" spans="1:11" x14ac:dyDescent="0.25">
      <c r="A351" t="s">
        <v>118</v>
      </c>
      <c r="B351" t="str">
        <f>"38111"</f>
        <v>38111</v>
      </c>
      <c r="C351" t="str">
        <f>"001"</f>
        <v>001</v>
      </c>
      <c r="D351">
        <v>2005</v>
      </c>
      <c r="E351">
        <v>6898000</v>
      </c>
      <c r="F351">
        <v>4293900</v>
      </c>
      <c r="G351" t="s">
        <v>11</v>
      </c>
      <c r="H351" t="s">
        <v>38</v>
      </c>
      <c r="I351" t="s">
        <v>13</v>
      </c>
      <c r="J351" t="s">
        <v>13</v>
      </c>
    </row>
    <row r="352" spans="1:11" x14ac:dyDescent="0.25">
      <c r="A352" t="s">
        <v>5</v>
      </c>
      <c r="B352" t="str">
        <f>"38111"</f>
        <v>38111</v>
      </c>
      <c r="C352" t="str">
        <f>"002"</f>
        <v>002</v>
      </c>
      <c r="D352">
        <v>2017</v>
      </c>
      <c r="E352">
        <v>663300</v>
      </c>
      <c r="F352">
        <v>588300</v>
      </c>
      <c r="G352" t="s">
        <v>11</v>
      </c>
      <c r="H352" t="s">
        <v>38</v>
      </c>
      <c r="I352" t="s">
        <v>13</v>
      </c>
      <c r="J352" t="s">
        <v>13</v>
      </c>
    </row>
    <row r="353" spans="1:11" x14ac:dyDescent="0.25">
      <c r="A353" t="s">
        <v>39</v>
      </c>
      <c r="B353" t="s">
        <v>13</v>
      </c>
      <c r="C353" t="s">
        <v>7</v>
      </c>
      <c r="D353" t="s">
        <v>8</v>
      </c>
      <c r="E353">
        <v>7561300</v>
      </c>
      <c r="F353">
        <v>4882200</v>
      </c>
      <c r="G353" t="s">
        <v>11</v>
      </c>
      <c r="H353">
        <v>41045900</v>
      </c>
      <c r="I353" t="s">
        <v>13</v>
      </c>
      <c r="J353" t="s">
        <v>13</v>
      </c>
      <c r="K353">
        <v>11.89</v>
      </c>
    </row>
    <row r="355" spans="1:11" x14ac:dyDescent="0.25">
      <c r="A355" t="s">
        <v>119</v>
      </c>
      <c r="B355" t="str">
        <f>"17111"</f>
        <v>17111</v>
      </c>
      <c r="C355" t="str">
        <f>"003"</f>
        <v>003</v>
      </c>
      <c r="D355">
        <v>2002</v>
      </c>
      <c r="E355">
        <v>7379500</v>
      </c>
      <c r="F355">
        <v>2942600</v>
      </c>
      <c r="G355" t="s">
        <v>11</v>
      </c>
      <c r="H355" t="s">
        <v>38</v>
      </c>
      <c r="I355" t="s">
        <v>13</v>
      </c>
      <c r="J355" t="s">
        <v>13</v>
      </c>
    </row>
    <row r="356" spans="1:11" x14ac:dyDescent="0.25">
      <c r="A356" t="s">
        <v>5</v>
      </c>
      <c r="B356" t="str">
        <f>"17111"</f>
        <v>17111</v>
      </c>
      <c r="C356" t="str">
        <f>"004"</f>
        <v>004</v>
      </c>
      <c r="D356">
        <v>2006</v>
      </c>
      <c r="E356">
        <v>2957000</v>
      </c>
      <c r="F356">
        <v>1080400</v>
      </c>
      <c r="G356" t="s">
        <v>11</v>
      </c>
      <c r="H356" t="s">
        <v>38</v>
      </c>
      <c r="I356" t="s">
        <v>13</v>
      </c>
      <c r="J356" t="s">
        <v>13</v>
      </c>
    </row>
    <row r="357" spans="1:11" x14ac:dyDescent="0.25">
      <c r="A357" t="s">
        <v>39</v>
      </c>
      <c r="B357" t="s">
        <v>13</v>
      </c>
      <c r="C357" t="s">
        <v>7</v>
      </c>
      <c r="D357" t="s">
        <v>8</v>
      </c>
      <c r="E357">
        <v>10336500</v>
      </c>
      <c r="F357">
        <v>4023000</v>
      </c>
      <c r="G357" t="s">
        <v>11</v>
      </c>
      <c r="H357">
        <v>51908000</v>
      </c>
      <c r="I357" t="s">
        <v>13</v>
      </c>
      <c r="J357" t="s">
        <v>13</v>
      </c>
      <c r="K357">
        <v>7.75</v>
      </c>
    </row>
    <row r="359" spans="1:11" x14ac:dyDescent="0.25">
      <c r="A359" t="s">
        <v>120</v>
      </c>
      <c r="B359" t="str">
        <f>"69111"</f>
        <v>69111</v>
      </c>
      <c r="C359" t="str">
        <f>"001"</f>
        <v>001</v>
      </c>
      <c r="D359">
        <v>1997</v>
      </c>
      <c r="E359">
        <v>2403900</v>
      </c>
      <c r="F359">
        <v>1836600</v>
      </c>
      <c r="G359" t="s">
        <v>11</v>
      </c>
      <c r="H359" t="s">
        <v>38</v>
      </c>
      <c r="I359" t="s">
        <v>13</v>
      </c>
      <c r="J359" t="s">
        <v>13</v>
      </c>
    </row>
    <row r="360" spans="1:11" x14ac:dyDescent="0.25">
      <c r="A360" t="s">
        <v>5</v>
      </c>
      <c r="B360" t="str">
        <f>"69111"</f>
        <v>69111</v>
      </c>
      <c r="C360" t="str">
        <f>"002"</f>
        <v>002</v>
      </c>
      <c r="D360">
        <v>2005</v>
      </c>
      <c r="E360">
        <v>3752900</v>
      </c>
      <c r="F360">
        <v>2509800</v>
      </c>
      <c r="G360" t="s">
        <v>11</v>
      </c>
      <c r="H360" t="s">
        <v>38</v>
      </c>
      <c r="I360" t="s">
        <v>13</v>
      </c>
      <c r="J360" t="s">
        <v>13</v>
      </c>
    </row>
    <row r="361" spans="1:11" x14ac:dyDescent="0.25">
      <c r="A361" t="s">
        <v>39</v>
      </c>
      <c r="B361" t="s">
        <v>13</v>
      </c>
      <c r="C361" t="s">
        <v>7</v>
      </c>
      <c r="D361" t="s">
        <v>8</v>
      </c>
      <c r="E361">
        <v>6156800</v>
      </c>
      <c r="F361">
        <v>4346400</v>
      </c>
      <c r="G361" t="s">
        <v>11</v>
      </c>
      <c r="H361">
        <v>26578600</v>
      </c>
      <c r="I361" t="s">
        <v>13</v>
      </c>
      <c r="J361" t="s">
        <v>13</v>
      </c>
      <c r="K361">
        <v>16.350000000000001</v>
      </c>
    </row>
    <row r="363" spans="1:11" x14ac:dyDescent="0.25">
      <c r="A363" t="s">
        <v>121</v>
      </c>
      <c r="B363" t="str">
        <f>"11211"</f>
        <v>11211</v>
      </c>
      <c r="C363" t="str">
        <f>"003"</f>
        <v>003</v>
      </c>
      <c r="D363">
        <v>1995</v>
      </c>
      <c r="E363">
        <v>28709400</v>
      </c>
      <c r="F363">
        <v>25128200</v>
      </c>
      <c r="G363" t="s">
        <v>11</v>
      </c>
      <c r="H363" t="s">
        <v>38</v>
      </c>
      <c r="I363" t="s">
        <v>13</v>
      </c>
      <c r="J363" t="s">
        <v>13</v>
      </c>
    </row>
    <row r="364" spans="1:11" x14ac:dyDescent="0.25">
      <c r="A364" t="s">
        <v>5</v>
      </c>
      <c r="B364" t="str">
        <f>"11211"</f>
        <v>11211</v>
      </c>
      <c r="C364" t="str">
        <f>"004"</f>
        <v>004</v>
      </c>
      <c r="D364">
        <v>2015</v>
      </c>
      <c r="E364">
        <v>10819300</v>
      </c>
      <c r="F364">
        <v>7695200</v>
      </c>
      <c r="G364" t="s">
        <v>11</v>
      </c>
      <c r="H364" t="s">
        <v>38</v>
      </c>
      <c r="I364" t="s">
        <v>13</v>
      </c>
      <c r="J364" t="s">
        <v>13</v>
      </c>
    </row>
    <row r="365" spans="1:11" x14ac:dyDescent="0.25">
      <c r="A365" t="s">
        <v>39</v>
      </c>
      <c r="B365" t="s">
        <v>13</v>
      </c>
      <c r="C365" t="s">
        <v>7</v>
      </c>
      <c r="D365" t="s">
        <v>8</v>
      </c>
      <c r="E365">
        <v>39528700</v>
      </c>
      <c r="F365">
        <v>32823400</v>
      </c>
      <c r="G365" t="s">
        <v>11</v>
      </c>
      <c r="H365">
        <v>422209000</v>
      </c>
      <c r="I365" t="s">
        <v>13</v>
      </c>
      <c r="J365" t="s">
        <v>13</v>
      </c>
      <c r="K365">
        <v>7.77</v>
      </c>
    </row>
    <row r="367" spans="1:11" x14ac:dyDescent="0.25">
      <c r="A367" t="s">
        <v>122</v>
      </c>
      <c r="B367" t="str">
        <f>"44111"</f>
        <v>44111</v>
      </c>
      <c r="C367" t="str">
        <f>"001"</f>
        <v>001</v>
      </c>
      <c r="D367">
        <v>2005</v>
      </c>
      <c r="E367">
        <v>2011500</v>
      </c>
      <c r="F367">
        <v>1743800</v>
      </c>
      <c r="G367" t="s">
        <v>11</v>
      </c>
      <c r="H367" t="s">
        <v>38</v>
      </c>
      <c r="I367" t="s">
        <v>13</v>
      </c>
      <c r="J367" t="s">
        <v>13</v>
      </c>
    </row>
    <row r="368" spans="1:11" x14ac:dyDescent="0.25">
      <c r="A368" t="s">
        <v>5</v>
      </c>
      <c r="B368" t="str">
        <f>"44111"</f>
        <v>44111</v>
      </c>
      <c r="C368" t="str">
        <f>"002"</f>
        <v>002</v>
      </c>
      <c r="D368">
        <v>2015</v>
      </c>
      <c r="E368">
        <v>13471300</v>
      </c>
      <c r="F368">
        <v>-2265500</v>
      </c>
      <c r="G368" t="s">
        <v>43</v>
      </c>
      <c r="H368" t="s">
        <v>38</v>
      </c>
      <c r="I368" t="s">
        <v>13</v>
      </c>
      <c r="J368" t="s">
        <v>13</v>
      </c>
    </row>
    <row r="369" spans="1:11" x14ac:dyDescent="0.25">
      <c r="A369" t="s">
        <v>39</v>
      </c>
      <c r="B369" t="s">
        <v>13</v>
      </c>
      <c r="C369" t="s">
        <v>7</v>
      </c>
      <c r="D369" t="s">
        <v>8</v>
      </c>
      <c r="E369">
        <v>15482800</v>
      </c>
      <c r="F369">
        <v>1743800</v>
      </c>
      <c r="G369" t="s">
        <v>11</v>
      </c>
      <c r="H369">
        <v>297130800</v>
      </c>
      <c r="I369" t="s">
        <v>13</v>
      </c>
      <c r="J369" t="s">
        <v>13</v>
      </c>
      <c r="K369">
        <v>0.59</v>
      </c>
    </row>
    <row r="371" spans="1:11" x14ac:dyDescent="0.25">
      <c r="A371" t="s">
        <v>123</v>
      </c>
      <c r="B371" t="str">
        <f>"13112"</f>
        <v>13112</v>
      </c>
      <c r="C371" t="str">
        <f>"005"</f>
        <v>005</v>
      </c>
      <c r="D371">
        <v>2003</v>
      </c>
      <c r="E371">
        <v>50700300</v>
      </c>
      <c r="F371">
        <v>47804200</v>
      </c>
      <c r="G371" t="s">
        <v>11</v>
      </c>
      <c r="H371" t="s">
        <v>38</v>
      </c>
      <c r="I371" t="s">
        <v>13</v>
      </c>
      <c r="J371" t="s">
        <v>13</v>
      </c>
    </row>
    <row r="372" spans="1:11" x14ac:dyDescent="0.25">
      <c r="A372" t="s">
        <v>5</v>
      </c>
      <c r="B372" t="str">
        <f>"13112"</f>
        <v>13112</v>
      </c>
      <c r="C372" t="str">
        <f>"006"</f>
        <v>006</v>
      </c>
      <c r="D372">
        <v>2005</v>
      </c>
      <c r="E372">
        <v>8306200</v>
      </c>
      <c r="F372">
        <v>2237400</v>
      </c>
      <c r="G372" t="s">
        <v>11</v>
      </c>
      <c r="H372" t="s">
        <v>38</v>
      </c>
      <c r="I372" t="s">
        <v>13</v>
      </c>
      <c r="J372" t="s">
        <v>13</v>
      </c>
    </row>
    <row r="373" spans="1:11" x14ac:dyDescent="0.25">
      <c r="A373" t="s">
        <v>5</v>
      </c>
      <c r="B373" t="str">
        <f>"13112"</f>
        <v>13112</v>
      </c>
      <c r="C373" t="str">
        <f>"007"</f>
        <v>007</v>
      </c>
      <c r="D373">
        <v>2005</v>
      </c>
      <c r="E373">
        <v>47258200</v>
      </c>
      <c r="F373">
        <v>32839200</v>
      </c>
      <c r="G373" t="s">
        <v>11</v>
      </c>
      <c r="H373" t="s">
        <v>38</v>
      </c>
      <c r="I373" t="s">
        <v>13</v>
      </c>
      <c r="J373" t="s">
        <v>13</v>
      </c>
    </row>
    <row r="374" spans="1:11" x14ac:dyDescent="0.25">
      <c r="A374" t="s">
        <v>39</v>
      </c>
      <c r="B374" t="s">
        <v>13</v>
      </c>
      <c r="C374" t="s">
        <v>7</v>
      </c>
      <c r="D374" t="s">
        <v>8</v>
      </c>
      <c r="E374">
        <v>106264700</v>
      </c>
      <c r="F374">
        <v>82880800</v>
      </c>
      <c r="G374" t="s">
        <v>11</v>
      </c>
      <c r="H374">
        <v>746059000</v>
      </c>
      <c r="I374" t="s">
        <v>13</v>
      </c>
      <c r="J374" t="s">
        <v>13</v>
      </c>
      <c r="K374">
        <v>11.11</v>
      </c>
    </row>
    <row r="376" spans="1:11" x14ac:dyDescent="0.25">
      <c r="A376" t="s">
        <v>124</v>
      </c>
      <c r="B376" t="str">
        <f>"21211"</f>
        <v>21211</v>
      </c>
      <c r="C376" t="str">
        <f>"001"</f>
        <v>001</v>
      </c>
      <c r="D376">
        <v>2002</v>
      </c>
      <c r="E376">
        <v>3399600</v>
      </c>
      <c r="F376">
        <v>1848600</v>
      </c>
      <c r="G376" t="s">
        <v>11</v>
      </c>
      <c r="H376" t="s">
        <v>38</v>
      </c>
      <c r="I376" t="s">
        <v>13</v>
      </c>
      <c r="J376" t="s">
        <v>13</v>
      </c>
    </row>
    <row r="377" spans="1:11" x14ac:dyDescent="0.25">
      <c r="A377" t="s">
        <v>39</v>
      </c>
      <c r="B377" t="s">
        <v>13</v>
      </c>
      <c r="C377" t="s">
        <v>7</v>
      </c>
      <c r="D377" t="s">
        <v>8</v>
      </c>
      <c r="E377">
        <v>3399600</v>
      </c>
      <c r="F377">
        <v>1848600</v>
      </c>
      <c r="G377" t="s">
        <v>11</v>
      </c>
      <c r="H377">
        <v>99021400</v>
      </c>
      <c r="I377" t="s">
        <v>13</v>
      </c>
      <c r="J377" t="s">
        <v>13</v>
      </c>
      <c r="K377">
        <v>1.87</v>
      </c>
    </row>
    <row r="379" spans="1:11" x14ac:dyDescent="0.25">
      <c r="A379" t="s">
        <v>125</v>
      </c>
      <c r="B379" t="str">
        <f>"38121"</f>
        <v>38121</v>
      </c>
      <c r="C379" t="str">
        <f>"001"</f>
        <v>001</v>
      </c>
      <c r="D379">
        <v>2001</v>
      </c>
      <c r="E379">
        <v>19795900</v>
      </c>
      <c r="F379">
        <v>15510300</v>
      </c>
      <c r="G379" t="s">
        <v>11</v>
      </c>
      <c r="H379" t="s">
        <v>38</v>
      </c>
      <c r="I379" t="s">
        <v>13</v>
      </c>
      <c r="J379" t="s">
        <v>13</v>
      </c>
    </row>
    <row r="380" spans="1:11" x14ac:dyDescent="0.25">
      <c r="A380" t="s">
        <v>39</v>
      </c>
      <c r="B380" t="s">
        <v>13</v>
      </c>
      <c r="C380" t="s">
        <v>7</v>
      </c>
      <c r="D380" t="s">
        <v>8</v>
      </c>
      <c r="E380">
        <v>19795900</v>
      </c>
      <c r="F380">
        <v>15510300</v>
      </c>
      <c r="G380" t="s">
        <v>11</v>
      </c>
      <c r="H380">
        <v>75981700</v>
      </c>
      <c r="I380" t="s">
        <v>13</v>
      </c>
      <c r="J380" t="s">
        <v>13</v>
      </c>
      <c r="K380">
        <v>20.41</v>
      </c>
    </row>
    <row r="382" spans="1:11" x14ac:dyDescent="0.25">
      <c r="A382" t="s">
        <v>126</v>
      </c>
      <c r="B382" t="str">
        <f>"13113"</f>
        <v>13113</v>
      </c>
      <c r="C382" t="str">
        <f>"003"</f>
        <v>003</v>
      </c>
      <c r="D382">
        <v>2008</v>
      </c>
      <c r="E382">
        <v>52401000</v>
      </c>
      <c r="F382">
        <v>24272400</v>
      </c>
      <c r="G382" t="s">
        <v>11</v>
      </c>
      <c r="H382" t="s">
        <v>38</v>
      </c>
      <c r="I382" t="s">
        <v>13</v>
      </c>
      <c r="J382" t="s">
        <v>13</v>
      </c>
    </row>
    <row r="383" spans="1:11" x14ac:dyDescent="0.25">
      <c r="A383" t="s">
        <v>39</v>
      </c>
      <c r="B383" t="s">
        <v>13</v>
      </c>
      <c r="C383" t="s">
        <v>7</v>
      </c>
      <c r="D383" t="s">
        <v>8</v>
      </c>
      <c r="E383">
        <v>52401000</v>
      </c>
      <c r="F383">
        <v>24272400</v>
      </c>
      <c r="G383" t="s">
        <v>11</v>
      </c>
      <c r="H383">
        <v>394026300</v>
      </c>
      <c r="I383" t="s">
        <v>13</v>
      </c>
      <c r="J383" t="s">
        <v>13</v>
      </c>
      <c r="K383">
        <v>6.16</v>
      </c>
    </row>
    <row r="385" spans="1:11" x14ac:dyDescent="0.25">
      <c r="A385" t="s">
        <v>127</v>
      </c>
      <c r="B385" t="str">
        <f>"33211"</f>
        <v>33211</v>
      </c>
      <c r="C385" t="str">
        <f>"002"</f>
        <v>002</v>
      </c>
      <c r="D385">
        <v>1999</v>
      </c>
      <c r="E385">
        <v>2159400</v>
      </c>
      <c r="F385">
        <v>2092700</v>
      </c>
      <c r="G385" t="s">
        <v>11</v>
      </c>
      <c r="H385" t="s">
        <v>38</v>
      </c>
      <c r="I385" t="s">
        <v>13</v>
      </c>
      <c r="J385" t="s">
        <v>13</v>
      </c>
    </row>
    <row r="386" spans="1:11" x14ac:dyDescent="0.25">
      <c r="A386" t="s">
        <v>5</v>
      </c>
      <c r="B386" t="str">
        <f>"22211"</f>
        <v>22211</v>
      </c>
      <c r="C386" t="str">
        <f>"002"</f>
        <v>002</v>
      </c>
      <c r="D386">
        <v>1999</v>
      </c>
      <c r="E386">
        <v>8633800</v>
      </c>
      <c r="F386">
        <v>6930800</v>
      </c>
      <c r="G386" t="s">
        <v>11</v>
      </c>
      <c r="H386" t="s">
        <v>38</v>
      </c>
      <c r="I386" t="s">
        <v>13</v>
      </c>
      <c r="J386" t="s">
        <v>13</v>
      </c>
    </row>
    <row r="387" spans="1:11" x14ac:dyDescent="0.25">
      <c r="A387" t="s">
        <v>5</v>
      </c>
      <c r="B387" t="str">
        <f>"22211"</f>
        <v>22211</v>
      </c>
      <c r="C387" t="str">
        <f>"003"</f>
        <v>003</v>
      </c>
      <c r="D387">
        <v>2012</v>
      </c>
      <c r="E387">
        <v>4551300</v>
      </c>
      <c r="F387">
        <v>2247900</v>
      </c>
      <c r="G387" t="s">
        <v>11</v>
      </c>
      <c r="H387" t="s">
        <v>38</v>
      </c>
      <c r="I387" t="s">
        <v>13</v>
      </c>
      <c r="J387" t="s">
        <v>13</v>
      </c>
    </row>
    <row r="388" spans="1:11" x14ac:dyDescent="0.25">
      <c r="A388" t="s">
        <v>39</v>
      </c>
      <c r="B388" t="s">
        <v>13</v>
      </c>
      <c r="C388" t="s">
        <v>7</v>
      </c>
      <c r="D388" t="s">
        <v>8</v>
      </c>
      <c r="E388">
        <v>15344500</v>
      </c>
      <c r="F388">
        <v>11271400</v>
      </c>
      <c r="G388" t="s">
        <v>11</v>
      </c>
      <c r="H388">
        <v>129721900</v>
      </c>
      <c r="I388" t="s">
        <v>13</v>
      </c>
      <c r="J388" t="s">
        <v>13</v>
      </c>
      <c r="K388">
        <v>8.69</v>
      </c>
    </row>
    <row r="390" spans="1:11" x14ac:dyDescent="0.25">
      <c r="A390" t="s">
        <v>128</v>
      </c>
      <c r="B390" t="str">
        <f>"40211"</f>
        <v>40211</v>
      </c>
      <c r="C390" t="str">
        <f>"001"</f>
        <v>001</v>
      </c>
      <c r="D390">
        <v>1994</v>
      </c>
      <c r="E390">
        <v>267918700</v>
      </c>
      <c r="F390">
        <v>195094200</v>
      </c>
      <c r="G390" t="s">
        <v>11</v>
      </c>
      <c r="H390" t="s">
        <v>38</v>
      </c>
      <c r="I390" t="s">
        <v>13</v>
      </c>
      <c r="J390" t="s">
        <v>13</v>
      </c>
    </row>
    <row r="391" spans="1:11" x14ac:dyDescent="0.25">
      <c r="A391" t="s">
        <v>39</v>
      </c>
      <c r="B391" t="s">
        <v>13</v>
      </c>
      <c r="C391" t="s">
        <v>7</v>
      </c>
      <c r="D391" t="s">
        <v>8</v>
      </c>
      <c r="E391">
        <v>267918700</v>
      </c>
      <c r="F391">
        <v>195094200</v>
      </c>
      <c r="G391" t="s">
        <v>11</v>
      </c>
      <c r="H391">
        <v>1164035000</v>
      </c>
      <c r="I391" t="s">
        <v>13</v>
      </c>
      <c r="J391" t="s">
        <v>13</v>
      </c>
      <c r="K391">
        <v>16.760000000000002</v>
      </c>
    </row>
    <row r="393" spans="1:11" x14ac:dyDescent="0.25">
      <c r="A393" t="s">
        <v>129</v>
      </c>
      <c r="B393" t="str">
        <f>"03212"</f>
        <v>03212</v>
      </c>
      <c r="C393" t="str">
        <f>"007"</f>
        <v>007</v>
      </c>
      <c r="D393">
        <v>1995</v>
      </c>
      <c r="E393">
        <v>19597700</v>
      </c>
      <c r="F393">
        <v>18591300</v>
      </c>
      <c r="G393" t="s">
        <v>11</v>
      </c>
      <c r="H393" t="s">
        <v>38</v>
      </c>
      <c r="I393" t="s">
        <v>13</v>
      </c>
      <c r="J393" t="s">
        <v>13</v>
      </c>
    </row>
    <row r="394" spans="1:11" x14ac:dyDescent="0.25">
      <c r="A394" t="s">
        <v>5</v>
      </c>
      <c r="B394" t="str">
        <f>"03212"</f>
        <v>03212</v>
      </c>
      <c r="C394" t="str">
        <f>"008"</f>
        <v>008</v>
      </c>
      <c r="D394">
        <v>2017</v>
      </c>
      <c r="E394">
        <v>1063700</v>
      </c>
      <c r="F394">
        <v>586200</v>
      </c>
      <c r="G394" t="s">
        <v>11</v>
      </c>
      <c r="H394" t="s">
        <v>38</v>
      </c>
      <c r="I394" t="s">
        <v>13</v>
      </c>
      <c r="J394" t="s">
        <v>13</v>
      </c>
    </row>
    <row r="395" spans="1:11" x14ac:dyDescent="0.25">
      <c r="A395" t="s">
        <v>39</v>
      </c>
      <c r="B395" t="s">
        <v>13</v>
      </c>
      <c r="C395" t="s">
        <v>7</v>
      </c>
      <c r="D395" t="s">
        <v>8</v>
      </c>
      <c r="E395">
        <v>20661400</v>
      </c>
      <c r="F395">
        <v>19177500</v>
      </c>
      <c r="G395" t="s">
        <v>11</v>
      </c>
      <c r="H395">
        <v>169409800</v>
      </c>
      <c r="I395" t="s">
        <v>13</v>
      </c>
      <c r="J395" t="s">
        <v>13</v>
      </c>
      <c r="K395">
        <v>11.32</v>
      </c>
    </row>
    <row r="397" spans="1:11" x14ac:dyDescent="0.25">
      <c r="A397" t="s">
        <v>130</v>
      </c>
      <c r="B397" t="str">
        <f>"03116"</f>
        <v>03116</v>
      </c>
      <c r="C397" t="str">
        <f>"002"</f>
        <v>002</v>
      </c>
      <c r="D397">
        <v>2001</v>
      </c>
      <c r="E397">
        <v>1159200</v>
      </c>
      <c r="F397">
        <v>1129300</v>
      </c>
      <c r="G397" t="s">
        <v>11</v>
      </c>
      <c r="H397" t="s">
        <v>38</v>
      </c>
      <c r="I397" t="s">
        <v>13</v>
      </c>
      <c r="J397" t="s">
        <v>13</v>
      </c>
    </row>
    <row r="398" spans="1:11" x14ac:dyDescent="0.25">
      <c r="A398" t="s">
        <v>39</v>
      </c>
      <c r="B398" t="s">
        <v>13</v>
      </c>
      <c r="C398" t="s">
        <v>7</v>
      </c>
      <c r="D398" t="s">
        <v>8</v>
      </c>
      <c r="E398">
        <v>1159200</v>
      </c>
      <c r="F398">
        <v>1129300</v>
      </c>
      <c r="G398" t="s">
        <v>11</v>
      </c>
      <c r="H398">
        <v>13140900</v>
      </c>
      <c r="I398" t="s">
        <v>13</v>
      </c>
      <c r="J398" t="s">
        <v>13</v>
      </c>
      <c r="K398">
        <v>8.59</v>
      </c>
    </row>
    <row r="400" spans="1:11" x14ac:dyDescent="0.25">
      <c r="A400" t="s">
        <v>131</v>
      </c>
      <c r="B400" t="str">
        <f>"13116"</f>
        <v>13116</v>
      </c>
      <c r="C400" t="str">
        <f>"002"</f>
        <v>002</v>
      </c>
      <c r="D400">
        <v>2007</v>
      </c>
      <c r="E400">
        <v>5408000</v>
      </c>
      <c r="F400">
        <v>981900</v>
      </c>
      <c r="G400" t="s">
        <v>11</v>
      </c>
      <c r="H400" t="s">
        <v>38</v>
      </c>
      <c r="I400" t="s">
        <v>13</v>
      </c>
      <c r="J400" t="s">
        <v>13</v>
      </c>
    </row>
    <row r="401" spans="1:11" x14ac:dyDescent="0.25">
      <c r="A401" t="s">
        <v>39</v>
      </c>
      <c r="B401" t="s">
        <v>13</v>
      </c>
      <c r="C401" t="s">
        <v>7</v>
      </c>
      <c r="D401" t="s">
        <v>8</v>
      </c>
      <c r="E401">
        <v>5408000</v>
      </c>
      <c r="F401">
        <v>981900</v>
      </c>
      <c r="G401" t="s">
        <v>11</v>
      </c>
      <c r="H401">
        <v>98636200</v>
      </c>
      <c r="I401" t="s">
        <v>13</v>
      </c>
      <c r="J401" t="s">
        <v>13</v>
      </c>
      <c r="K401">
        <v>1</v>
      </c>
    </row>
    <row r="403" spans="1:11" x14ac:dyDescent="0.25">
      <c r="A403" t="s">
        <v>132</v>
      </c>
      <c r="B403" t="str">
        <f>"64116"</f>
        <v>64116</v>
      </c>
      <c r="C403" t="str">
        <f>"003"</f>
        <v>003</v>
      </c>
      <c r="D403">
        <v>2015</v>
      </c>
      <c r="E403">
        <v>6417600</v>
      </c>
      <c r="F403">
        <v>4243000</v>
      </c>
      <c r="G403" t="s">
        <v>11</v>
      </c>
      <c r="H403" t="s">
        <v>38</v>
      </c>
      <c r="I403" t="s">
        <v>13</v>
      </c>
      <c r="J403" t="s">
        <v>13</v>
      </c>
    </row>
    <row r="404" spans="1:11" x14ac:dyDescent="0.25">
      <c r="A404" t="s">
        <v>39</v>
      </c>
      <c r="B404" t="s">
        <v>13</v>
      </c>
      <c r="C404" t="s">
        <v>7</v>
      </c>
      <c r="D404" t="s">
        <v>8</v>
      </c>
      <c r="E404">
        <v>6417600</v>
      </c>
      <c r="F404">
        <v>4243000</v>
      </c>
      <c r="G404" t="s">
        <v>11</v>
      </c>
      <c r="H404">
        <v>124607400</v>
      </c>
      <c r="I404" t="s">
        <v>13</v>
      </c>
      <c r="J404" t="s">
        <v>13</v>
      </c>
      <c r="K404">
        <v>3.41</v>
      </c>
    </row>
    <row r="406" spans="1:11" x14ac:dyDescent="0.25">
      <c r="A406" t="s">
        <v>133</v>
      </c>
      <c r="B406" t="str">
        <f>"33216"</f>
        <v>33216</v>
      </c>
      <c r="C406" t="str">
        <f>"006"</f>
        <v>006</v>
      </c>
      <c r="D406">
        <v>2003</v>
      </c>
      <c r="E406">
        <v>26909600</v>
      </c>
      <c r="F406">
        <v>22604700</v>
      </c>
      <c r="G406" t="s">
        <v>11</v>
      </c>
      <c r="H406" t="s">
        <v>38</v>
      </c>
      <c r="I406" t="s">
        <v>13</v>
      </c>
      <c r="J406" t="s">
        <v>13</v>
      </c>
    </row>
    <row r="407" spans="1:11" x14ac:dyDescent="0.25">
      <c r="A407" t="s">
        <v>5</v>
      </c>
      <c r="B407" t="str">
        <f>"33216"</f>
        <v>33216</v>
      </c>
      <c r="C407" t="str">
        <f>"007"</f>
        <v>007</v>
      </c>
      <c r="D407">
        <v>2006</v>
      </c>
      <c r="E407">
        <v>5056400</v>
      </c>
      <c r="F407">
        <v>2870100</v>
      </c>
      <c r="G407" t="s">
        <v>11</v>
      </c>
      <c r="H407" t="s">
        <v>38</v>
      </c>
      <c r="I407" t="s">
        <v>13</v>
      </c>
      <c r="J407" t="s">
        <v>13</v>
      </c>
    </row>
    <row r="408" spans="1:11" x14ac:dyDescent="0.25">
      <c r="A408" t="s">
        <v>39</v>
      </c>
      <c r="B408" t="s">
        <v>13</v>
      </c>
      <c r="C408" t="s">
        <v>7</v>
      </c>
      <c r="D408" t="s">
        <v>8</v>
      </c>
      <c r="E408">
        <v>31966000</v>
      </c>
      <c r="F408">
        <v>25474800</v>
      </c>
      <c r="G408" t="s">
        <v>11</v>
      </c>
      <c r="H408">
        <v>121334600</v>
      </c>
      <c r="I408" t="s">
        <v>13</v>
      </c>
      <c r="J408" t="s">
        <v>13</v>
      </c>
      <c r="K408">
        <v>21</v>
      </c>
    </row>
    <row r="410" spans="1:11" x14ac:dyDescent="0.25">
      <c r="A410" t="s">
        <v>134</v>
      </c>
      <c r="B410" t="str">
        <f t="shared" ref="B410:B418" si="3">"05216"</f>
        <v>05216</v>
      </c>
      <c r="C410" t="str">
        <f>"005"</f>
        <v>005</v>
      </c>
      <c r="D410">
        <v>1996</v>
      </c>
      <c r="E410">
        <v>46078600</v>
      </c>
      <c r="F410">
        <v>34537900</v>
      </c>
      <c r="G410" t="s">
        <v>11</v>
      </c>
      <c r="H410" t="s">
        <v>38</v>
      </c>
      <c r="I410" t="s">
        <v>13</v>
      </c>
      <c r="J410" t="s">
        <v>13</v>
      </c>
    </row>
    <row r="411" spans="1:11" x14ac:dyDescent="0.25">
      <c r="A411" t="s">
        <v>5</v>
      </c>
      <c r="B411" t="str">
        <f t="shared" si="3"/>
        <v>05216</v>
      </c>
      <c r="C411" t="str">
        <f>"006"</f>
        <v>006</v>
      </c>
      <c r="D411">
        <v>1998</v>
      </c>
      <c r="E411">
        <v>88817800</v>
      </c>
      <c r="F411">
        <v>81774900</v>
      </c>
      <c r="G411" t="s">
        <v>11</v>
      </c>
      <c r="H411" t="s">
        <v>38</v>
      </c>
      <c r="I411" t="s">
        <v>13</v>
      </c>
      <c r="J411" t="s">
        <v>13</v>
      </c>
    </row>
    <row r="412" spans="1:11" x14ac:dyDescent="0.25">
      <c r="A412" t="s">
        <v>5</v>
      </c>
      <c r="B412" t="str">
        <f t="shared" si="3"/>
        <v>05216</v>
      </c>
      <c r="C412" t="str">
        <f>"007"</f>
        <v>007</v>
      </c>
      <c r="D412">
        <v>2007</v>
      </c>
      <c r="E412">
        <v>18274300</v>
      </c>
      <c r="F412">
        <v>6218300</v>
      </c>
      <c r="G412" t="s">
        <v>11</v>
      </c>
      <c r="H412" t="s">
        <v>38</v>
      </c>
      <c r="I412" t="s">
        <v>13</v>
      </c>
      <c r="J412" t="s">
        <v>13</v>
      </c>
    </row>
    <row r="413" spans="1:11" x14ac:dyDescent="0.25">
      <c r="A413" t="s">
        <v>5</v>
      </c>
      <c r="B413" t="str">
        <f t="shared" si="3"/>
        <v>05216</v>
      </c>
      <c r="C413" t="str">
        <f>"008"</f>
        <v>008</v>
      </c>
      <c r="D413">
        <v>2007</v>
      </c>
      <c r="E413">
        <v>50007900</v>
      </c>
      <c r="F413">
        <v>13374700</v>
      </c>
      <c r="G413" t="s">
        <v>11</v>
      </c>
      <c r="H413" t="s">
        <v>38</v>
      </c>
      <c r="I413" t="s">
        <v>13</v>
      </c>
      <c r="J413" t="s">
        <v>13</v>
      </c>
    </row>
    <row r="414" spans="1:11" x14ac:dyDescent="0.25">
      <c r="A414" t="s">
        <v>5</v>
      </c>
      <c r="B414" t="str">
        <f t="shared" si="3"/>
        <v>05216</v>
      </c>
      <c r="C414" t="str">
        <f>"009"</f>
        <v>009</v>
      </c>
      <c r="D414">
        <v>2012</v>
      </c>
      <c r="E414">
        <v>16374300</v>
      </c>
      <c r="F414">
        <v>1598200</v>
      </c>
      <c r="G414" t="s">
        <v>11</v>
      </c>
      <c r="H414" t="s">
        <v>38</v>
      </c>
      <c r="I414" t="s">
        <v>13</v>
      </c>
      <c r="J414" t="s">
        <v>13</v>
      </c>
    </row>
    <row r="415" spans="1:11" x14ac:dyDescent="0.25">
      <c r="A415" t="s">
        <v>5</v>
      </c>
      <c r="B415" t="str">
        <f t="shared" si="3"/>
        <v>05216</v>
      </c>
      <c r="C415" t="str">
        <f>"010"</f>
        <v>010</v>
      </c>
      <c r="D415">
        <v>2012</v>
      </c>
      <c r="E415">
        <v>33986000</v>
      </c>
      <c r="F415">
        <v>9174100</v>
      </c>
      <c r="G415" t="s">
        <v>11</v>
      </c>
      <c r="H415" t="s">
        <v>38</v>
      </c>
      <c r="I415" t="s">
        <v>13</v>
      </c>
      <c r="J415" t="s">
        <v>13</v>
      </c>
    </row>
    <row r="416" spans="1:11" x14ac:dyDescent="0.25">
      <c r="A416" t="s">
        <v>5</v>
      </c>
      <c r="B416" t="str">
        <f t="shared" si="3"/>
        <v>05216</v>
      </c>
      <c r="C416" t="str">
        <f>"011"</f>
        <v>011</v>
      </c>
      <c r="D416">
        <v>2015</v>
      </c>
      <c r="E416">
        <v>7934600</v>
      </c>
      <c r="F416">
        <v>1855100</v>
      </c>
      <c r="G416" t="s">
        <v>11</v>
      </c>
      <c r="H416" t="s">
        <v>38</v>
      </c>
      <c r="I416" t="s">
        <v>13</v>
      </c>
      <c r="J416" t="s">
        <v>13</v>
      </c>
    </row>
    <row r="417" spans="1:11" x14ac:dyDescent="0.25">
      <c r="A417" t="s">
        <v>5</v>
      </c>
      <c r="B417" t="str">
        <f t="shared" si="3"/>
        <v>05216</v>
      </c>
      <c r="C417" t="str">
        <f>"012"</f>
        <v>012</v>
      </c>
      <c r="D417">
        <v>2015</v>
      </c>
      <c r="E417">
        <v>119200</v>
      </c>
      <c r="F417">
        <v>-9900</v>
      </c>
      <c r="G417" t="s">
        <v>43</v>
      </c>
      <c r="H417" t="s">
        <v>38</v>
      </c>
      <c r="I417" t="s">
        <v>13</v>
      </c>
      <c r="J417" t="s">
        <v>13</v>
      </c>
    </row>
    <row r="418" spans="1:11" x14ac:dyDescent="0.25">
      <c r="A418" t="s">
        <v>5</v>
      </c>
      <c r="B418" t="str">
        <f t="shared" si="3"/>
        <v>05216</v>
      </c>
      <c r="C418" t="str">
        <f>"013"</f>
        <v>013</v>
      </c>
      <c r="D418">
        <v>2017</v>
      </c>
      <c r="E418">
        <v>52073500</v>
      </c>
      <c r="F418">
        <v>-1287600</v>
      </c>
      <c r="G418" t="s">
        <v>43</v>
      </c>
      <c r="H418" t="s">
        <v>38</v>
      </c>
      <c r="I418" t="s">
        <v>13</v>
      </c>
      <c r="J418" t="s">
        <v>13</v>
      </c>
    </row>
    <row r="419" spans="1:11" x14ac:dyDescent="0.25">
      <c r="A419" t="s">
        <v>39</v>
      </c>
      <c r="B419" t="s">
        <v>13</v>
      </c>
      <c r="C419" t="s">
        <v>7</v>
      </c>
      <c r="D419" t="s">
        <v>8</v>
      </c>
      <c r="E419">
        <v>313666200</v>
      </c>
      <c r="F419">
        <v>148533200</v>
      </c>
      <c r="G419" t="s">
        <v>11</v>
      </c>
      <c r="H419">
        <v>2117615700</v>
      </c>
      <c r="I419" t="s">
        <v>13</v>
      </c>
      <c r="J419" t="s">
        <v>13</v>
      </c>
      <c r="K419">
        <v>7.01</v>
      </c>
    </row>
    <row r="421" spans="1:11" x14ac:dyDescent="0.25">
      <c r="A421" t="s">
        <v>135</v>
      </c>
      <c r="B421" t="str">
        <f>"62116"</f>
        <v>62116</v>
      </c>
      <c r="C421" t="str">
        <f>"001"</f>
        <v>001</v>
      </c>
      <c r="D421">
        <v>2001</v>
      </c>
      <c r="E421">
        <v>683300</v>
      </c>
      <c r="F421">
        <v>343100</v>
      </c>
      <c r="G421" t="s">
        <v>11</v>
      </c>
      <c r="H421" t="s">
        <v>38</v>
      </c>
      <c r="I421" t="s">
        <v>13</v>
      </c>
      <c r="J421" t="s">
        <v>13</v>
      </c>
    </row>
    <row r="422" spans="1:11" x14ac:dyDescent="0.25">
      <c r="A422" t="s">
        <v>5</v>
      </c>
      <c r="B422" t="str">
        <f>"12116"</f>
        <v>12116</v>
      </c>
      <c r="C422" t="str">
        <f>"001"</f>
        <v>001</v>
      </c>
      <c r="D422">
        <v>2001</v>
      </c>
      <c r="E422">
        <v>478100</v>
      </c>
      <c r="F422">
        <v>316400</v>
      </c>
      <c r="G422" t="s">
        <v>11</v>
      </c>
      <c r="H422" t="s">
        <v>38</v>
      </c>
      <c r="I422" t="s">
        <v>13</v>
      </c>
      <c r="J422" t="s">
        <v>13</v>
      </c>
    </row>
    <row r="423" spans="1:11" x14ac:dyDescent="0.25">
      <c r="A423" t="s">
        <v>39</v>
      </c>
      <c r="B423" t="s">
        <v>13</v>
      </c>
      <c r="C423" t="s">
        <v>7</v>
      </c>
      <c r="D423" t="s">
        <v>8</v>
      </c>
      <c r="E423">
        <v>1161400</v>
      </c>
      <c r="F423">
        <v>659500</v>
      </c>
      <c r="G423" t="s">
        <v>11</v>
      </c>
      <c r="H423">
        <v>19440000</v>
      </c>
      <c r="I423" t="s">
        <v>13</v>
      </c>
      <c r="J423" t="s">
        <v>13</v>
      </c>
      <c r="K423">
        <v>3.39</v>
      </c>
    </row>
    <row r="425" spans="1:11" x14ac:dyDescent="0.25">
      <c r="A425" t="s">
        <v>136</v>
      </c>
      <c r="B425" t="str">
        <f>"13117"</f>
        <v>13117</v>
      </c>
      <c r="C425" t="str">
        <f>"003"</f>
        <v>003</v>
      </c>
      <c r="D425">
        <v>2005</v>
      </c>
      <c r="E425">
        <v>31871700</v>
      </c>
      <c r="F425">
        <v>21901300</v>
      </c>
      <c r="G425" t="s">
        <v>11</v>
      </c>
      <c r="H425" t="s">
        <v>38</v>
      </c>
      <c r="I425" t="s">
        <v>13</v>
      </c>
      <c r="J425" t="s">
        <v>13</v>
      </c>
    </row>
    <row r="426" spans="1:11" x14ac:dyDescent="0.25">
      <c r="A426" t="s">
        <v>5</v>
      </c>
      <c r="B426" t="str">
        <f>"13117"</f>
        <v>13117</v>
      </c>
      <c r="C426" t="str">
        <f>"004"</f>
        <v>004</v>
      </c>
      <c r="D426">
        <v>2007</v>
      </c>
      <c r="E426">
        <v>1876000</v>
      </c>
      <c r="F426">
        <v>-525400</v>
      </c>
      <c r="G426" t="s">
        <v>43</v>
      </c>
      <c r="H426" t="s">
        <v>38</v>
      </c>
      <c r="I426" t="s">
        <v>13</v>
      </c>
      <c r="J426" t="s">
        <v>13</v>
      </c>
    </row>
    <row r="427" spans="1:11" x14ac:dyDescent="0.25">
      <c r="A427" t="s">
        <v>5</v>
      </c>
      <c r="B427" t="str">
        <f>"13117"</f>
        <v>13117</v>
      </c>
      <c r="C427" t="str">
        <f>"005"</f>
        <v>005</v>
      </c>
      <c r="D427">
        <v>2008</v>
      </c>
      <c r="E427">
        <v>309100</v>
      </c>
      <c r="F427">
        <v>297400</v>
      </c>
      <c r="G427" t="s">
        <v>11</v>
      </c>
      <c r="H427" t="s">
        <v>38</v>
      </c>
      <c r="I427" t="s">
        <v>13</v>
      </c>
      <c r="J427" t="s">
        <v>13</v>
      </c>
    </row>
    <row r="428" spans="1:11" x14ac:dyDescent="0.25">
      <c r="A428" t="s">
        <v>39</v>
      </c>
      <c r="B428" t="s">
        <v>13</v>
      </c>
      <c r="C428" t="s">
        <v>7</v>
      </c>
      <c r="D428" t="s">
        <v>8</v>
      </c>
      <c r="E428">
        <v>34056800</v>
      </c>
      <c r="F428">
        <v>22198700</v>
      </c>
      <c r="G428" t="s">
        <v>11</v>
      </c>
      <c r="H428">
        <v>231376900</v>
      </c>
      <c r="I428" t="s">
        <v>13</v>
      </c>
      <c r="J428" t="s">
        <v>13</v>
      </c>
      <c r="K428">
        <v>9.59</v>
      </c>
    </row>
    <row r="430" spans="1:11" x14ac:dyDescent="0.25">
      <c r="A430" t="s">
        <v>137</v>
      </c>
      <c r="B430" t="str">
        <f t="shared" ref="B430:B437" si="4">"13118"</f>
        <v>13118</v>
      </c>
      <c r="C430" t="str">
        <f>"002"</f>
        <v>002</v>
      </c>
      <c r="D430">
        <v>2009</v>
      </c>
      <c r="E430">
        <v>38868600</v>
      </c>
      <c r="F430">
        <v>38840700</v>
      </c>
      <c r="G430" t="s">
        <v>11</v>
      </c>
      <c r="H430" t="s">
        <v>38</v>
      </c>
      <c r="I430" t="s">
        <v>13</v>
      </c>
      <c r="J430" t="s">
        <v>13</v>
      </c>
    </row>
    <row r="431" spans="1:11" x14ac:dyDescent="0.25">
      <c r="A431" t="s">
        <v>5</v>
      </c>
      <c r="B431" t="str">
        <f t="shared" si="4"/>
        <v>13118</v>
      </c>
      <c r="C431" t="str">
        <f>"003"</f>
        <v>003</v>
      </c>
      <c r="D431">
        <v>2009</v>
      </c>
      <c r="E431">
        <v>16066700</v>
      </c>
      <c r="F431">
        <v>15084800</v>
      </c>
      <c r="G431" t="s">
        <v>11</v>
      </c>
      <c r="H431" t="s">
        <v>38</v>
      </c>
      <c r="I431" t="s">
        <v>13</v>
      </c>
      <c r="J431" t="s">
        <v>13</v>
      </c>
    </row>
    <row r="432" spans="1:11" x14ac:dyDescent="0.25">
      <c r="A432" t="s">
        <v>5</v>
      </c>
      <c r="B432" t="str">
        <f t="shared" si="4"/>
        <v>13118</v>
      </c>
      <c r="C432" t="str">
        <f>"004"</f>
        <v>004</v>
      </c>
      <c r="D432">
        <v>2009</v>
      </c>
      <c r="E432">
        <v>29836700</v>
      </c>
      <c r="F432">
        <v>29491000</v>
      </c>
      <c r="G432" t="s">
        <v>11</v>
      </c>
      <c r="H432" t="s">
        <v>38</v>
      </c>
      <c r="I432" t="s">
        <v>13</v>
      </c>
      <c r="J432" t="s">
        <v>13</v>
      </c>
    </row>
    <row r="433" spans="1:11" x14ac:dyDescent="0.25">
      <c r="A433" t="s">
        <v>5</v>
      </c>
      <c r="B433" t="str">
        <f t="shared" si="4"/>
        <v>13118</v>
      </c>
      <c r="C433" t="str">
        <f>"005"</f>
        <v>005</v>
      </c>
      <c r="D433">
        <v>2010</v>
      </c>
      <c r="E433">
        <v>13518100</v>
      </c>
      <c r="F433">
        <v>13167600</v>
      </c>
      <c r="G433" t="s">
        <v>11</v>
      </c>
      <c r="H433" t="s">
        <v>38</v>
      </c>
      <c r="I433" t="s">
        <v>13</v>
      </c>
      <c r="J433" t="s">
        <v>13</v>
      </c>
    </row>
    <row r="434" spans="1:11" x14ac:dyDescent="0.25">
      <c r="A434" t="s">
        <v>5</v>
      </c>
      <c r="B434" t="str">
        <f t="shared" si="4"/>
        <v>13118</v>
      </c>
      <c r="C434" t="str">
        <f>"006"</f>
        <v>006</v>
      </c>
      <c r="D434">
        <v>2011</v>
      </c>
      <c r="E434">
        <v>30595900</v>
      </c>
      <c r="F434">
        <v>27831300</v>
      </c>
      <c r="G434" t="s">
        <v>11</v>
      </c>
      <c r="H434" t="s">
        <v>38</v>
      </c>
      <c r="I434" t="s">
        <v>13</v>
      </c>
      <c r="J434" t="s">
        <v>13</v>
      </c>
    </row>
    <row r="435" spans="1:11" x14ac:dyDescent="0.25">
      <c r="A435" t="s">
        <v>5</v>
      </c>
      <c r="B435" t="str">
        <f t="shared" si="4"/>
        <v>13118</v>
      </c>
      <c r="C435" t="str">
        <f>"007"</f>
        <v>007</v>
      </c>
      <c r="D435">
        <v>2011</v>
      </c>
      <c r="E435">
        <v>15892400</v>
      </c>
      <c r="F435">
        <v>11400400</v>
      </c>
      <c r="G435" t="s">
        <v>11</v>
      </c>
      <c r="H435" t="s">
        <v>38</v>
      </c>
      <c r="I435" t="s">
        <v>13</v>
      </c>
      <c r="J435" t="s">
        <v>13</v>
      </c>
    </row>
    <row r="436" spans="1:11" x14ac:dyDescent="0.25">
      <c r="A436" t="s">
        <v>5</v>
      </c>
      <c r="B436" t="str">
        <f t="shared" si="4"/>
        <v>13118</v>
      </c>
      <c r="C436" t="str">
        <f>"008"</f>
        <v>008</v>
      </c>
      <c r="D436">
        <v>2017</v>
      </c>
      <c r="E436">
        <v>6048400</v>
      </c>
      <c r="F436">
        <v>5355400</v>
      </c>
      <c r="G436" t="s">
        <v>11</v>
      </c>
      <c r="H436" t="s">
        <v>38</v>
      </c>
      <c r="I436" t="s">
        <v>13</v>
      </c>
      <c r="J436" t="s">
        <v>13</v>
      </c>
    </row>
    <row r="437" spans="1:11" x14ac:dyDescent="0.25">
      <c r="A437" t="s">
        <v>5</v>
      </c>
      <c r="B437" t="str">
        <f t="shared" si="4"/>
        <v>13118</v>
      </c>
      <c r="C437" t="str">
        <f>"009"</f>
        <v>009</v>
      </c>
      <c r="D437">
        <v>2017</v>
      </c>
      <c r="E437">
        <v>14067500</v>
      </c>
      <c r="F437">
        <v>6486600</v>
      </c>
      <c r="G437" t="s">
        <v>11</v>
      </c>
      <c r="H437" t="s">
        <v>38</v>
      </c>
      <c r="I437" t="s">
        <v>13</v>
      </c>
      <c r="J437" t="s">
        <v>13</v>
      </c>
    </row>
    <row r="438" spans="1:11" x14ac:dyDescent="0.25">
      <c r="A438" t="s">
        <v>39</v>
      </c>
      <c r="B438" t="s">
        <v>13</v>
      </c>
      <c r="C438" t="s">
        <v>7</v>
      </c>
      <c r="D438" t="s">
        <v>8</v>
      </c>
      <c r="E438">
        <v>164894300</v>
      </c>
      <c r="F438">
        <v>147657800</v>
      </c>
      <c r="G438" t="s">
        <v>11</v>
      </c>
      <c r="H438">
        <v>1208063100</v>
      </c>
      <c r="I438" t="s">
        <v>13</v>
      </c>
      <c r="J438" t="s">
        <v>13</v>
      </c>
      <c r="K438">
        <v>12.22</v>
      </c>
    </row>
    <row r="440" spans="1:11" x14ac:dyDescent="0.25">
      <c r="A440" t="s">
        <v>138</v>
      </c>
      <c r="B440" t="str">
        <f>"67216"</f>
        <v>67216</v>
      </c>
      <c r="C440" t="str">
        <f>"004"</f>
        <v>004</v>
      </c>
      <c r="D440">
        <v>2012</v>
      </c>
      <c r="E440">
        <v>13955500</v>
      </c>
      <c r="F440">
        <v>5858500</v>
      </c>
      <c r="G440" t="s">
        <v>11</v>
      </c>
      <c r="H440" t="s">
        <v>38</v>
      </c>
      <c r="I440" t="s">
        <v>13</v>
      </c>
      <c r="J440" t="s">
        <v>13</v>
      </c>
    </row>
    <row r="441" spans="1:11" x14ac:dyDescent="0.25">
      <c r="A441" t="s">
        <v>39</v>
      </c>
      <c r="B441" t="s">
        <v>13</v>
      </c>
      <c r="C441" t="s">
        <v>7</v>
      </c>
      <c r="D441" t="s">
        <v>8</v>
      </c>
      <c r="E441">
        <v>13955500</v>
      </c>
      <c r="F441">
        <v>5858500</v>
      </c>
      <c r="G441" t="s">
        <v>11</v>
      </c>
      <c r="H441">
        <v>1458335100</v>
      </c>
      <c r="I441" t="s">
        <v>13</v>
      </c>
      <c r="J441" t="s">
        <v>13</v>
      </c>
      <c r="K441">
        <v>0.4</v>
      </c>
    </row>
    <row r="443" spans="1:11" x14ac:dyDescent="0.25">
      <c r="A443" t="s">
        <v>139</v>
      </c>
      <c r="B443" t="str">
        <f>"64216"</f>
        <v>64216</v>
      </c>
      <c r="C443" t="str">
        <f>"004"</f>
        <v>004</v>
      </c>
      <c r="D443">
        <v>2003</v>
      </c>
      <c r="E443">
        <v>43515700</v>
      </c>
      <c r="F443">
        <v>20517900</v>
      </c>
      <c r="G443" t="s">
        <v>11</v>
      </c>
      <c r="H443" t="s">
        <v>38</v>
      </c>
      <c r="I443" t="s">
        <v>13</v>
      </c>
      <c r="J443" t="s">
        <v>13</v>
      </c>
    </row>
    <row r="444" spans="1:11" x14ac:dyDescent="0.25">
      <c r="A444" t="s">
        <v>5</v>
      </c>
      <c r="B444" t="str">
        <f>"64216"</f>
        <v>64216</v>
      </c>
      <c r="C444" t="str">
        <f>"005"</f>
        <v>005</v>
      </c>
      <c r="D444">
        <v>2012</v>
      </c>
      <c r="E444">
        <v>21791800</v>
      </c>
      <c r="F444">
        <v>-39000</v>
      </c>
      <c r="G444" t="s">
        <v>43</v>
      </c>
      <c r="H444" t="s">
        <v>38</v>
      </c>
      <c r="I444" t="s">
        <v>13</v>
      </c>
      <c r="J444" t="s">
        <v>13</v>
      </c>
    </row>
    <row r="445" spans="1:11" x14ac:dyDescent="0.25">
      <c r="A445" t="s">
        <v>39</v>
      </c>
      <c r="B445" t="s">
        <v>13</v>
      </c>
      <c r="C445" t="s">
        <v>7</v>
      </c>
      <c r="D445" t="s">
        <v>8</v>
      </c>
      <c r="E445">
        <v>65307500</v>
      </c>
      <c r="F445">
        <v>20517900</v>
      </c>
      <c r="G445" t="s">
        <v>11</v>
      </c>
      <c r="H445">
        <v>605174600</v>
      </c>
      <c r="I445" t="s">
        <v>13</v>
      </c>
      <c r="J445" t="s">
        <v>13</v>
      </c>
      <c r="K445">
        <v>3.39</v>
      </c>
    </row>
    <row r="447" spans="1:11" x14ac:dyDescent="0.25">
      <c r="A447" t="s">
        <v>140</v>
      </c>
      <c r="B447" t="str">
        <f>"22116"</f>
        <v>22116</v>
      </c>
      <c r="C447" t="str">
        <f>"001"</f>
        <v>001</v>
      </c>
      <c r="D447">
        <v>2014</v>
      </c>
      <c r="E447">
        <v>2785400</v>
      </c>
      <c r="F447">
        <v>1234700</v>
      </c>
      <c r="G447" t="s">
        <v>11</v>
      </c>
      <c r="H447" t="s">
        <v>38</v>
      </c>
      <c r="I447" t="s">
        <v>13</v>
      </c>
      <c r="J447" t="s">
        <v>13</v>
      </c>
    </row>
    <row r="448" spans="1:11" x14ac:dyDescent="0.25">
      <c r="A448" t="s">
        <v>39</v>
      </c>
      <c r="B448" t="s">
        <v>13</v>
      </c>
      <c r="C448" t="s">
        <v>7</v>
      </c>
      <c r="D448" t="s">
        <v>8</v>
      </c>
      <c r="E448">
        <v>2785400</v>
      </c>
      <c r="F448">
        <v>1234700</v>
      </c>
      <c r="G448" t="s">
        <v>11</v>
      </c>
      <c r="H448">
        <v>64660300</v>
      </c>
      <c r="I448" t="s">
        <v>13</v>
      </c>
      <c r="J448" t="s">
        <v>13</v>
      </c>
      <c r="K448">
        <v>1.91</v>
      </c>
    </row>
    <row r="450" spans="1:11" x14ac:dyDescent="0.25">
      <c r="A450" t="s">
        <v>141</v>
      </c>
      <c r="B450" t="str">
        <f>"25216"</f>
        <v>25216</v>
      </c>
      <c r="C450" t="str">
        <f>"002"</f>
        <v>002</v>
      </c>
      <c r="D450">
        <v>1998</v>
      </c>
      <c r="E450">
        <v>17750200</v>
      </c>
      <c r="F450">
        <v>17379600</v>
      </c>
      <c r="G450" t="s">
        <v>11</v>
      </c>
      <c r="H450" t="s">
        <v>38</v>
      </c>
      <c r="I450" t="s">
        <v>13</v>
      </c>
      <c r="J450" t="s">
        <v>13</v>
      </c>
    </row>
    <row r="451" spans="1:11" x14ac:dyDescent="0.25">
      <c r="A451" t="s">
        <v>39</v>
      </c>
      <c r="B451" t="s">
        <v>13</v>
      </c>
      <c r="C451" t="s">
        <v>7</v>
      </c>
      <c r="D451" t="s">
        <v>8</v>
      </c>
      <c r="E451">
        <v>17750200</v>
      </c>
      <c r="F451">
        <v>17379600</v>
      </c>
      <c r="G451" t="s">
        <v>11</v>
      </c>
      <c r="H451">
        <v>386225000</v>
      </c>
      <c r="I451" t="s">
        <v>13</v>
      </c>
      <c r="J451" t="s">
        <v>13</v>
      </c>
      <c r="K451">
        <v>4.5</v>
      </c>
    </row>
    <row r="453" spans="1:11" x14ac:dyDescent="0.25">
      <c r="A453" t="s">
        <v>142</v>
      </c>
      <c r="B453" t="str">
        <f>"10116"</f>
        <v>10116</v>
      </c>
      <c r="C453" t="str">
        <f>"001"</f>
        <v>001</v>
      </c>
      <c r="D453">
        <v>1992</v>
      </c>
      <c r="E453">
        <v>6346900</v>
      </c>
      <c r="F453">
        <v>6113900</v>
      </c>
      <c r="G453" t="s">
        <v>11</v>
      </c>
      <c r="H453" t="s">
        <v>38</v>
      </c>
      <c r="I453" t="s">
        <v>13</v>
      </c>
      <c r="J453" t="s">
        <v>13</v>
      </c>
    </row>
    <row r="454" spans="1:11" x14ac:dyDescent="0.25">
      <c r="A454" t="s">
        <v>5</v>
      </c>
      <c r="B454" t="str">
        <f>"10116"</f>
        <v>10116</v>
      </c>
      <c r="C454" t="str">
        <f>"002"</f>
        <v>002</v>
      </c>
      <c r="D454">
        <v>1995</v>
      </c>
      <c r="E454">
        <v>22937400</v>
      </c>
      <c r="F454">
        <v>7438000</v>
      </c>
      <c r="G454" t="s">
        <v>11</v>
      </c>
      <c r="H454" t="s">
        <v>38</v>
      </c>
      <c r="I454" t="s">
        <v>13</v>
      </c>
      <c r="J454" t="s">
        <v>13</v>
      </c>
    </row>
    <row r="455" spans="1:11" x14ac:dyDescent="0.25">
      <c r="A455" t="s">
        <v>39</v>
      </c>
      <c r="B455" t="s">
        <v>13</v>
      </c>
      <c r="C455" t="s">
        <v>7</v>
      </c>
      <c r="D455" t="s">
        <v>8</v>
      </c>
      <c r="E455">
        <v>29284300</v>
      </c>
      <c r="F455">
        <v>13551900</v>
      </c>
      <c r="G455" t="s">
        <v>11</v>
      </c>
      <c r="H455">
        <v>48283400</v>
      </c>
      <c r="I455" t="s">
        <v>13</v>
      </c>
      <c r="J455" t="s">
        <v>13</v>
      </c>
      <c r="K455">
        <v>28.07</v>
      </c>
    </row>
    <row r="457" spans="1:11" x14ac:dyDescent="0.25">
      <c r="A457" t="s">
        <v>143</v>
      </c>
      <c r="B457" t="str">
        <f>"46216"</f>
        <v>46216</v>
      </c>
      <c r="C457" t="str">
        <f>"003"</f>
        <v>003</v>
      </c>
      <c r="D457">
        <v>2007</v>
      </c>
      <c r="E457">
        <v>12225700</v>
      </c>
      <c r="F457">
        <v>1834000</v>
      </c>
      <c r="G457" t="s">
        <v>11</v>
      </c>
      <c r="H457" t="s">
        <v>38</v>
      </c>
      <c r="I457" t="s">
        <v>13</v>
      </c>
      <c r="J457" t="s">
        <v>13</v>
      </c>
    </row>
    <row r="458" spans="1:11" x14ac:dyDescent="0.25">
      <c r="A458" t="s">
        <v>39</v>
      </c>
      <c r="B458" t="s">
        <v>13</v>
      </c>
      <c r="C458" t="s">
        <v>7</v>
      </c>
      <c r="D458" t="s">
        <v>8</v>
      </c>
      <c r="E458">
        <v>12225700</v>
      </c>
      <c r="F458">
        <v>1834000</v>
      </c>
      <c r="G458" t="s">
        <v>11</v>
      </c>
      <c r="H458">
        <v>96108900</v>
      </c>
      <c r="I458" t="s">
        <v>13</v>
      </c>
      <c r="J458" t="s">
        <v>13</v>
      </c>
      <c r="K458">
        <v>1.91</v>
      </c>
    </row>
    <row r="460" spans="1:11" x14ac:dyDescent="0.25">
      <c r="A460" t="s">
        <v>144</v>
      </c>
      <c r="B460" t="str">
        <f>"63221"</f>
        <v>63221</v>
      </c>
      <c r="C460" t="str">
        <f>"002"</f>
        <v>002</v>
      </c>
      <c r="D460">
        <v>2007</v>
      </c>
      <c r="E460">
        <v>11605100</v>
      </c>
      <c r="F460">
        <v>7542700</v>
      </c>
      <c r="G460" t="s">
        <v>11</v>
      </c>
      <c r="H460" t="s">
        <v>38</v>
      </c>
      <c r="I460" t="s">
        <v>13</v>
      </c>
      <c r="J460" t="s">
        <v>13</v>
      </c>
    </row>
    <row r="461" spans="1:11" x14ac:dyDescent="0.25">
      <c r="A461" t="s">
        <v>5</v>
      </c>
      <c r="B461" t="str">
        <f>"63221"</f>
        <v>63221</v>
      </c>
      <c r="C461" t="str">
        <f>"003"</f>
        <v>003</v>
      </c>
      <c r="D461">
        <v>2007</v>
      </c>
      <c r="E461">
        <v>16183900</v>
      </c>
      <c r="F461">
        <v>8045200</v>
      </c>
      <c r="G461" t="s">
        <v>11</v>
      </c>
      <c r="H461" t="s">
        <v>38</v>
      </c>
      <c r="I461" t="s">
        <v>13</v>
      </c>
      <c r="J461" t="s">
        <v>13</v>
      </c>
    </row>
    <row r="462" spans="1:11" x14ac:dyDescent="0.25">
      <c r="A462" t="s">
        <v>39</v>
      </c>
      <c r="B462" t="s">
        <v>13</v>
      </c>
      <c r="C462" t="s">
        <v>7</v>
      </c>
      <c r="D462" t="s">
        <v>8</v>
      </c>
      <c r="E462">
        <v>27789000</v>
      </c>
      <c r="F462">
        <v>15587900</v>
      </c>
      <c r="G462" t="s">
        <v>11</v>
      </c>
      <c r="H462">
        <v>189658300</v>
      </c>
      <c r="I462" t="s">
        <v>13</v>
      </c>
      <c r="J462" t="s">
        <v>13</v>
      </c>
      <c r="K462">
        <v>8.2200000000000006</v>
      </c>
    </row>
    <row r="464" spans="1:11" x14ac:dyDescent="0.25">
      <c r="A464" t="s">
        <v>145</v>
      </c>
      <c r="B464" t="str">
        <f>"64121"</f>
        <v>64121</v>
      </c>
      <c r="C464" t="str">
        <f>"003"</f>
        <v>003</v>
      </c>
      <c r="D464">
        <v>1999</v>
      </c>
      <c r="E464">
        <v>37272300</v>
      </c>
      <c r="F464">
        <v>36743500</v>
      </c>
      <c r="G464" t="s">
        <v>11</v>
      </c>
      <c r="H464" t="s">
        <v>38</v>
      </c>
      <c r="I464" t="s">
        <v>13</v>
      </c>
      <c r="J464" t="s">
        <v>13</v>
      </c>
    </row>
    <row r="465" spans="1:11" x14ac:dyDescent="0.25">
      <c r="A465" t="s">
        <v>39</v>
      </c>
      <c r="B465" t="s">
        <v>13</v>
      </c>
      <c r="C465" t="s">
        <v>7</v>
      </c>
      <c r="D465" t="s">
        <v>8</v>
      </c>
      <c r="E465">
        <v>37272300</v>
      </c>
      <c r="F465">
        <v>36743500</v>
      </c>
      <c r="G465" t="s">
        <v>11</v>
      </c>
      <c r="H465">
        <v>378170700</v>
      </c>
      <c r="I465" t="s">
        <v>13</v>
      </c>
      <c r="J465" t="s">
        <v>13</v>
      </c>
      <c r="K465">
        <v>9.7200000000000006</v>
      </c>
    </row>
    <row r="467" spans="1:11" x14ac:dyDescent="0.25">
      <c r="A467" t="s">
        <v>146</v>
      </c>
      <c r="B467" t="str">
        <f>"18221"</f>
        <v>18221</v>
      </c>
      <c r="C467" t="str">
        <f>"007"</f>
        <v>007</v>
      </c>
      <c r="D467">
        <v>1997</v>
      </c>
      <c r="E467">
        <v>6250600</v>
      </c>
      <c r="F467">
        <v>5921500</v>
      </c>
      <c r="G467" t="s">
        <v>11</v>
      </c>
      <c r="H467" t="s">
        <v>38</v>
      </c>
      <c r="I467" t="s">
        <v>13</v>
      </c>
      <c r="J467" t="s">
        <v>13</v>
      </c>
    </row>
    <row r="468" spans="1:11" x14ac:dyDescent="0.25">
      <c r="A468" t="s">
        <v>5</v>
      </c>
      <c r="B468" t="str">
        <f>"18221"</f>
        <v>18221</v>
      </c>
      <c r="C468" t="str">
        <f>"008"</f>
        <v>008</v>
      </c>
      <c r="D468">
        <v>2002</v>
      </c>
      <c r="E468">
        <v>75838000</v>
      </c>
      <c r="F468">
        <v>63419600</v>
      </c>
      <c r="G468" t="s">
        <v>11</v>
      </c>
      <c r="H468" t="s">
        <v>38</v>
      </c>
      <c r="I468" t="s">
        <v>13</v>
      </c>
      <c r="J468" t="s">
        <v>13</v>
      </c>
    </row>
    <row r="469" spans="1:11" x14ac:dyDescent="0.25">
      <c r="A469" t="s">
        <v>5</v>
      </c>
      <c r="B469" t="str">
        <f>"18221"</f>
        <v>18221</v>
      </c>
      <c r="C469" t="str">
        <f>"009"</f>
        <v>009</v>
      </c>
      <c r="D469">
        <v>2008</v>
      </c>
      <c r="E469">
        <v>14397900</v>
      </c>
      <c r="F469">
        <v>3213500</v>
      </c>
      <c r="G469" t="s">
        <v>11</v>
      </c>
      <c r="H469" t="s">
        <v>38</v>
      </c>
      <c r="I469" t="s">
        <v>13</v>
      </c>
      <c r="J469" t="s">
        <v>13</v>
      </c>
    </row>
    <row r="470" spans="1:11" x14ac:dyDescent="0.25">
      <c r="A470" t="s">
        <v>5</v>
      </c>
      <c r="B470" t="str">
        <f>"09221"</f>
        <v>09221</v>
      </c>
      <c r="C470" t="str">
        <f>"009"</f>
        <v>009</v>
      </c>
      <c r="D470">
        <v>2008</v>
      </c>
      <c r="E470">
        <v>67000</v>
      </c>
      <c r="F470">
        <v>12500</v>
      </c>
      <c r="G470" t="s">
        <v>11</v>
      </c>
      <c r="H470" t="s">
        <v>38</v>
      </c>
      <c r="I470" t="s">
        <v>13</v>
      </c>
      <c r="J470" t="s">
        <v>13</v>
      </c>
    </row>
    <row r="471" spans="1:11" x14ac:dyDescent="0.25">
      <c r="A471" t="s">
        <v>5</v>
      </c>
      <c r="B471" t="str">
        <f>"18221"</f>
        <v>18221</v>
      </c>
      <c r="C471" t="str">
        <f>"010"</f>
        <v>010</v>
      </c>
      <c r="D471">
        <v>2015</v>
      </c>
      <c r="E471">
        <v>39707700</v>
      </c>
      <c r="F471">
        <v>29913500</v>
      </c>
      <c r="G471" t="s">
        <v>11</v>
      </c>
      <c r="H471" t="s">
        <v>38</v>
      </c>
      <c r="I471" t="s">
        <v>13</v>
      </c>
      <c r="J471" t="s">
        <v>13</v>
      </c>
    </row>
    <row r="472" spans="1:11" x14ac:dyDescent="0.25">
      <c r="A472" t="s">
        <v>5</v>
      </c>
      <c r="B472" t="str">
        <f>"18221"</f>
        <v>18221</v>
      </c>
      <c r="C472" t="str">
        <f>"011"</f>
        <v>011</v>
      </c>
      <c r="D472">
        <v>2015</v>
      </c>
      <c r="E472">
        <v>30774300</v>
      </c>
      <c r="F472">
        <v>14149100</v>
      </c>
      <c r="G472" t="s">
        <v>11</v>
      </c>
      <c r="H472" t="s">
        <v>38</v>
      </c>
      <c r="I472" t="s">
        <v>13</v>
      </c>
      <c r="J472" t="s">
        <v>13</v>
      </c>
    </row>
    <row r="473" spans="1:11" x14ac:dyDescent="0.25">
      <c r="A473" t="s">
        <v>5</v>
      </c>
      <c r="B473" t="str">
        <f>"18221"</f>
        <v>18221</v>
      </c>
      <c r="C473" t="str">
        <f>"012"</f>
        <v>012</v>
      </c>
      <c r="D473">
        <v>2017</v>
      </c>
      <c r="E473">
        <v>40000000</v>
      </c>
      <c r="F473">
        <v>17718500</v>
      </c>
      <c r="G473" t="s">
        <v>11</v>
      </c>
      <c r="H473" t="s">
        <v>38</v>
      </c>
      <c r="I473" t="s">
        <v>13</v>
      </c>
      <c r="J473" t="s">
        <v>13</v>
      </c>
    </row>
    <row r="474" spans="1:11" x14ac:dyDescent="0.25">
      <c r="A474" t="s">
        <v>39</v>
      </c>
      <c r="B474" t="s">
        <v>13</v>
      </c>
      <c r="C474" t="s">
        <v>7</v>
      </c>
      <c r="D474" t="s">
        <v>8</v>
      </c>
      <c r="E474">
        <v>207035500</v>
      </c>
      <c r="F474">
        <v>134348200</v>
      </c>
      <c r="G474" t="s">
        <v>11</v>
      </c>
      <c r="H474">
        <v>5453961400</v>
      </c>
      <c r="I474" t="s">
        <v>13</v>
      </c>
      <c r="J474" t="s">
        <v>13</v>
      </c>
      <c r="K474">
        <v>2.46</v>
      </c>
    </row>
    <row r="476" spans="1:11" x14ac:dyDescent="0.25">
      <c r="A476" t="s">
        <v>147</v>
      </c>
      <c r="B476" t="str">
        <f>"37121"</f>
        <v>37121</v>
      </c>
      <c r="C476" t="str">
        <f>"001"</f>
        <v>001</v>
      </c>
      <c r="D476">
        <v>2002</v>
      </c>
      <c r="E476">
        <v>1421600</v>
      </c>
      <c r="F476">
        <v>632300</v>
      </c>
      <c r="G476" t="s">
        <v>11</v>
      </c>
      <c r="H476" t="s">
        <v>38</v>
      </c>
      <c r="I476" t="s">
        <v>13</v>
      </c>
      <c r="J476" t="s">
        <v>13</v>
      </c>
    </row>
    <row r="477" spans="1:11" x14ac:dyDescent="0.25">
      <c r="A477" t="s">
        <v>5</v>
      </c>
      <c r="B477" t="str">
        <f>"37121"</f>
        <v>37121</v>
      </c>
      <c r="C477" t="str">
        <f>"003"</f>
        <v>003</v>
      </c>
      <c r="D477">
        <v>2005</v>
      </c>
      <c r="E477">
        <v>2465300</v>
      </c>
      <c r="F477">
        <v>2409600</v>
      </c>
      <c r="G477" t="s">
        <v>11</v>
      </c>
      <c r="H477" t="s">
        <v>38</v>
      </c>
      <c r="I477" t="s">
        <v>13</v>
      </c>
      <c r="J477" t="s">
        <v>13</v>
      </c>
    </row>
    <row r="478" spans="1:11" x14ac:dyDescent="0.25">
      <c r="A478" t="s">
        <v>5</v>
      </c>
      <c r="B478" t="str">
        <f>"37121"</f>
        <v>37121</v>
      </c>
      <c r="C478" t="str">
        <f>"004"</f>
        <v>004</v>
      </c>
      <c r="D478">
        <v>2016</v>
      </c>
      <c r="E478">
        <v>4735500</v>
      </c>
      <c r="F478">
        <v>3080300</v>
      </c>
      <c r="G478" t="s">
        <v>11</v>
      </c>
      <c r="H478" t="s">
        <v>38</v>
      </c>
      <c r="I478" t="s">
        <v>13</v>
      </c>
      <c r="J478" t="s">
        <v>13</v>
      </c>
    </row>
    <row r="479" spans="1:11" x14ac:dyDescent="0.25">
      <c r="A479" t="s">
        <v>39</v>
      </c>
      <c r="B479" t="s">
        <v>13</v>
      </c>
      <c r="C479" t="s">
        <v>7</v>
      </c>
      <c r="D479" t="s">
        <v>8</v>
      </c>
      <c r="E479">
        <v>8622400</v>
      </c>
      <c r="F479">
        <v>6122200</v>
      </c>
      <c r="G479" t="s">
        <v>11</v>
      </c>
      <c r="H479">
        <v>77679900</v>
      </c>
      <c r="I479" t="s">
        <v>13</v>
      </c>
      <c r="J479" t="s">
        <v>13</v>
      </c>
      <c r="K479">
        <v>7.88</v>
      </c>
    </row>
    <row r="481" spans="1:11" x14ac:dyDescent="0.25">
      <c r="A481" t="s">
        <v>148</v>
      </c>
      <c r="B481" t="str">
        <f>"13221"</f>
        <v>13221</v>
      </c>
      <c r="C481" t="str">
        <f>"005"</f>
        <v>005</v>
      </c>
      <c r="D481">
        <v>1998</v>
      </c>
      <c r="E481">
        <v>15037600</v>
      </c>
      <c r="F481">
        <v>14405000</v>
      </c>
      <c r="G481" t="s">
        <v>11</v>
      </c>
      <c r="H481" t="s">
        <v>38</v>
      </c>
      <c r="I481" t="s">
        <v>13</v>
      </c>
      <c r="J481" t="s">
        <v>13</v>
      </c>
    </row>
    <row r="482" spans="1:11" x14ac:dyDescent="0.25">
      <c r="A482" t="s">
        <v>5</v>
      </c>
      <c r="B482" t="str">
        <f>"53221"</f>
        <v>53221</v>
      </c>
      <c r="C482" t="str">
        <f>"006"</f>
        <v>006</v>
      </c>
      <c r="D482">
        <v>2000</v>
      </c>
      <c r="E482">
        <v>28699700</v>
      </c>
      <c r="F482">
        <v>18593800</v>
      </c>
      <c r="G482" t="s">
        <v>11</v>
      </c>
      <c r="H482" t="s">
        <v>38</v>
      </c>
      <c r="I482" t="s">
        <v>13</v>
      </c>
      <c r="J482" t="s">
        <v>13</v>
      </c>
    </row>
    <row r="483" spans="1:11" x14ac:dyDescent="0.25">
      <c r="A483" t="s">
        <v>5</v>
      </c>
      <c r="B483" t="str">
        <f>"53221"</f>
        <v>53221</v>
      </c>
      <c r="C483" t="str">
        <f>"007"</f>
        <v>007</v>
      </c>
      <c r="D483">
        <v>2000</v>
      </c>
      <c r="E483">
        <v>2841800</v>
      </c>
      <c r="F483">
        <v>2191700</v>
      </c>
      <c r="G483" t="s">
        <v>11</v>
      </c>
      <c r="H483" t="s">
        <v>38</v>
      </c>
      <c r="I483" t="s">
        <v>13</v>
      </c>
      <c r="J483" t="s">
        <v>13</v>
      </c>
    </row>
    <row r="484" spans="1:11" x14ac:dyDescent="0.25">
      <c r="A484" t="s">
        <v>5</v>
      </c>
      <c r="B484" t="str">
        <f>"53221"</f>
        <v>53221</v>
      </c>
      <c r="C484" t="str">
        <f>"008"</f>
        <v>008</v>
      </c>
      <c r="D484">
        <v>2005</v>
      </c>
      <c r="E484">
        <v>13272900</v>
      </c>
      <c r="F484">
        <v>5935000</v>
      </c>
      <c r="G484" t="s">
        <v>11</v>
      </c>
      <c r="H484" t="s">
        <v>38</v>
      </c>
      <c r="I484" t="s">
        <v>13</v>
      </c>
      <c r="J484" t="s">
        <v>13</v>
      </c>
    </row>
    <row r="485" spans="1:11" x14ac:dyDescent="0.25">
      <c r="A485" t="s">
        <v>39</v>
      </c>
      <c r="B485" t="s">
        <v>13</v>
      </c>
      <c r="C485" t="s">
        <v>7</v>
      </c>
      <c r="D485" t="s">
        <v>8</v>
      </c>
      <c r="E485">
        <v>59852000</v>
      </c>
      <c r="F485">
        <v>41125500</v>
      </c>
      <c r="G485" t="s">
        <v>11</v>
      </c>
      <c r="H485">
        <v>394354300</v>
      </c>
      <c r="I485" t="s">
        <v>13</v>
      </c>
      <c r="J485" t="s">
        <v>13</v>
      </c>
      <c r="K485">
        <v>10.43</v>
      </c>
    </row>
    <row r="487" spans="1:11" x14ac:dyDescent="0.25">
      <c r="A487" t="s">
        <v>149</v>
      </c>
      <c r="B487" t="str">
        <f>"14014"</f>
        <v>14014</v>
      </c>
      <c r="C487" t="str">
        <f>"001T"</f>
        <v>001T</v>
      </c>
      <c r="D487">
        <v>2010</v>
      </c>
      <c r="E487">
        <v>2164900</v>
      </c>
      <c r="F487">
        <v>589400</v>
      </c>
      <c r="G487" t="s">
        <v>11</v>
      </c>
      <c r="H487" t="s">
        <v>38</v>
      </c>
      <c r="I487" t="s">
        <v>13</v>
      </c>
      <c r="J487" t="s">
        <v>13</v>
      </c>
    </row>
    <row r="488" spans="1:11" x14ac:dyDescent="0.25">
      <c r="A488" t="s">
        <v>39</v>
      </c>
      <c r="B488" t="s">
        <v>13</v>
      </c>
      <c r="C488" t="s">
        <v>7</v>
      </c>
      <c r="D488" t="s">
        <v>8</v>
      </c>
      <c r="E488">
        <v>2164900</v>
      </c>
      <c r="F488">
        <v>589400</v>
      </c>
      <c r="G488" t="s">
        <v>11</v>
      </c>
      <c r="H488">
        <v>109551800</v>
      </c>
      <c r="I488">
        <v>0.54</v>
      </c>
      <c r="J488">
        <v>1.98</v>
      </c>
    </row>
    <row r="490" spans="1:11" x14ac:dyDescent="0.25">
      <c r="A490" t="s">
        <v>150</v>
      </c>
      <c r="B490" t="str">
        <f>"17121"</f>
        <v>17121</v>
      </c>
      <c r="C490" t="str">
        <f>"001"</f>
        <v>001</v>
      </c>
      <c r="D490">
        <v>2007</v>
      </c>
      <c r="E490">
        <v>3861500</v>
      </c>
      <c r="F490">
        <v>1361800</v>
      </c>
      <c r="G490" t="s">
        <v>11</v>
      </c>
      <c r="H490" t="s">
        <v>38</v>
      </c>
      <c r="I490" t="s">
        <v>13</v>
      </c>
      <c r="J490" t="s">
        <v>13</v>
      </c>
    </row>
    <row r="491" spans="1:11" x14ac:dyDescent="0.25">
      <c r="A491" t="s">
        <v>39</v>
      </c>
      <c r="B491" t="s">
        <v>13</v>
      </c>
      <c r="C491" t="s">
        <v>7</v>
      </c>
      <c r="D491" t="s">
        <v>8</v>
      </c>
      <c r="E491">
        <v>3861500</v>
      </c>
      <c r="F491">
        <v>1361800</v>
      </c>
      <c r="G491" t="s">
        <v>11</v>
      </c>
      <c r="H491">
        <v>36415900</v>
      </c>
      <c r="I491" t="s">
        <v>13</v>
      </c>
      <c r="J491" t="s">
        <v>13</v>
      </c>
      <c r="K491">
        <v>3.74</v>
      </c>
    </row>
    <row r="493" spans="1:11" x14ac:dyDescent="0.25">
      <c r="A493" t="s">
        <v>151</v>
      </c>
      <c r="B493" t="str">
        <f>"59121"</f>
        <v>59121</v>
      </c>
      <c r="C493" t="str">
        <f>"002"</f>
        <v>002</v>
      </c>
      <c r="D493">
        <v>2013</v>
      </c>
      <c r="E493">
        <v>26393300</v>
      </c>
      <c r="F493">
        <v>14757600</v>
      </c>
      <c r="G493" t="s">
        <v>11</v>
      </c>
      <c r="H493" t="s">
        <v>38</v>
      </c>
      <c r="I493" t="s">
        <v>13</v>
      </c>
      <c r="J493" t="s">
        <v>13</v>
      </c>
    </row>
    <row r="494" spans="1:11" x14ac:dyDescent="0.25">
      <c r="A494" t="s">
        <v>5</v>
      </c>
      <c r="B494" t="str">
        <f>"59121"</f>
        <v>59121</v>
      </c>
      <c r="C494" t="str">
        <f>"003"</f>
        <v>003</v>
      </c>
      <c r="D494">
        <v>2013</v>
      </c>
      <c r="E494">
        <v>7500100</v>
      </c>
      <c r="F494">
        <v>5650000</v>
      </c>
      <c r="G494" t="s">
        <v>11</v>
      </c>
      <c r="H494" t="s">
        <v>38</v>
      </c>
      <c r="I494" t="s">
        <v>13</v>
      </c>
      <c r="J494" t="s">
        <v>13</v>
      </c>
    </row>
    <row r="495" spans="1:11" x14ac:dyDescent="0.25">
      <c r="A495" t="s">
        <v>5</v>
      </c>
      <c r="B495" t="str">
        <f>"59121"</f>
        <v>59121</v>
      </c>
      <c r="C495" t="str">
        <f>"004"</f>
        <v>004</v>
      </c>
      <c r="D495">
        <v>2015</v>
      </c>
      <c r="E495">
        <v>10462500</v>
      </c>
      <c r="F495">
        <v>9751100</v>
      </c>
      <c r="G495" t="s">
        <v>11</v>
      </c>
      <c r="H495" t="s">
        <v>38</v>
      </c>
      <c r="I495" t="s">
        <v>13</v>
      </c>
      <c r="J495" t="s">
        <v>13</v>
      </c>
    </row>
    <row r="496" spans="1:11" x14ac:dyDescent="0.25">
      <c r="A496" t="s">
        <v>39</v>
      </c>
      <c r="B496" t="s">
        <v>13</v>
      </c>
      <c r="C496" t="s">
        <v>7</v>
      </c>
      <c r="D496" t="s">
        <v>8</v>
      </c>
      <c r="E496">
        <v>44355900</v>
      </c>
      <c r="F496">
        <v>30158700</v>
      </c>
      <c r="G496" t="s">
        <v>11</v>
      </c>
      <c r="H496">
        <v>332837100</v>
      </c>
      <c r="I496" t="s">
        <v>13</v>
      </c>
      <c r="J496" t="s">
        <v>13</v>
      </c>
      <c r="K496">
        <v>9.06</v>
      </c>
    </row>
    <row r="498" spans="1:11" x14ac:dyDescent="0.25">
      <c r="A498" t="s">
        <v>152</v>
      </c>
      <c r="B498" t="str">
        <f>"64221"</f>
        <v>64221</v>
      </c>
      <c r="C498" t="str">
        <f>"004"</f>
        <v>004</v>
      </c>
      <c r="D498">
        <v>2017</v>
      </c>
      <c r="E498">
        <v>3677800</v>
      </c>
      <c r="F498">
        <v>144100</v>
      </c>
      <c r="G498" t="s">
        <v>11</v>
      </c>
      <c r="H498" t="s">
        <v>38</v>
      </c>
      <c r="I498" t="s">
        <v>13</v>
      </c>
      <c r="J498" t="s">
        <v>13</v>
      </c>
    </row>
    <row r="499" spans="1:11" x14ac:dyDescent="0.25">
      <c r="A499" t="s">
        <v>39</v>
      </c>
      <c r="B499" t="s">
        <v>13</v>
      </c>
      <c r="C499" t="s">
        <v>7</v>
      </c>
      <c r="D499" t="s">
        <v>8</v>
      </c>
      <c r="E499">
        <v>3677800</v>
      </c>
      <c r="F499">
        <v>144100</v>
      </c>
      <c r="G499" t="s">
        <v>11</v>
      </c>
      <c r="H499">
        <v>768364600</v>
      </c>
      <c r="I499" t="s">
        <v>13</v>
      </c>
      <c r="J499" t="s">
        <v>13</v>
      </c>
      <c r="K499">
        <v>0.02</v>
      </c>
    </row>
    <row r="501" spans="1:11" x14ac:dyDescent="0.25">
      <c r="A501" t="s">
        <v>153</v>
      </c>
      <c r="B501" t="str">
        <f t="shared" ref="B501:B506" si="5">"47121"</f>
        <v>47121</v>
      </c>
      <c r="C501" t="str">
        <f>"004"</f>
        <v>004</v>
      </c>
      <c r="D501">
        <v>1996</v>
      </c>
      <c r="E501">
        <v>663700</v>
      </c>
      <c r="F501">
        <v>609100</v>
      </c>
      <c r="G501" t="s">
        <v>11</v>
      </c>
      <c r="H501" t="s">
        <v>38</v>
      </c>
      <c r="I501" t="s">
        <v>13</v>
      </c>
      <c r="J501" t="s">
        <v>13</v>
      </c>
    </row>
    <row r="502" spans="1:11" x14ac:dyDescent="0.25">
      <c r="A502" t="s">
        <v>5</v>
      </c>
      <c r="B502" t="str">
        <f t="shared" si="5"/>
        <v>47121</v>
      </c>
      <c r="C502" t="str">
        <f>"007"</f>
        <v>007</v>
      </c>
      <c r="D502">
        <v>2006</v>
      </c>
      <c r="E502">
        <v>7071900</v>
      </c>
      <c r="F502">
        <v>6848600</v>
      </c>
      <c r="G502" t="s">
        <v>11</v>
      </c>
      <c r="H502" t="s">
        <v>38</v>
      </c>
      <c r="I502" t="s">
        <v>13</v>
      </c>
      <c r="J502" t="s">
        <v>13</v>
      </c>
    </row>
    <row r="503" spans="1:11" x14ac:dyDescent="0.25">
      <c r="A503" t="s">
        <v>5</v>
      </c>
      <c r="B503" t="str">
        <f t="shared" si="5"/>
        <v>47121</v>
      </c>
      <c r="C503" t="str">
        <f>"008"</f>
        <v>008</v>
      </c>
      <c r="D503">
        <v>2010</v>
      </c>
      <c r="E503">
        <v>8150300</v>
      </c>
      <c r="F503">
        <v>4376600</v>
      </c>
      <c r="G503" t="s">
        <v>11</v>
      </c>
      <c r="H503" t="s">
        <v>38</v>
      </c>
      <c r="I503" t="s">
        <v>13</v>
      </c>
      <c r="J503" t="s">
        <v>13</v>
      </c>
    </row>
    <row r="504" spans="1:11" x14ac:dyDescent="0.25">
      <c r="A504" t="s">
        <v>5</v>
      </c>
      <c r="B504" t="str">
        <f t="shared" si="5"/>
        <v>47121</v>
      </c>
      <c r="C504" t="str">
        <f>"009"</f>
        <v>009</v>
      </c>
      <c r="D504">
        <v>2011</v>
      </c>
      <c r="E504">
        <v>3363900</v>
      </c>
      <c r="F504">
        <v>2853600</v>
      </c>
      <c r="G504" t="s">
        <v>11</v>
      </c>
      <c r="H504" t="s">
        <v>38</v>
      </c>
      <c r="I504" t="s">
        <v>13</v>
      </c>
      <c r="J504" t="s">
        <v>13</v>
      </c>
    </row>
    <row r="505" spans="1:11" x14ac:dyDescent="0.25">
      <c r="A505" t="s">
        <v>5</v>
      </c>
      <c r="B505" t="str">
        <f t="shared" si="5"/>
        <v>47121</v>
      </c>
      <c r="C505" t="str">
        <f>"010"</f>
        <v>010</v>
      </c>
      <c r="D505">
        <v>2012</v>
      </c>
      <c r="E505">
        <v>1561900</v>
      </c>
      <c r="F505">
        <v>734600</v>
      </c>
      <c r="G505" t="s">
        <v>11</v>
      </c>
      <c r="H505" t="s">
        <v>38</v>
      </c>
      <c r="I505" t="s">
        <v>13</v>
      </c>
      <c r="J505" t="s">
        <v>13</v>
      </c>
    </row>
    <row r="506" spans="1:11" x14ac:dyDescent="0.25">
      <c r="A506" t="s">
        <v>5</v>
      </c>
      <c r="B506" t="str">
        <f t="shared" si="5"/>
        <v>47121</v>
      </c>
      <c r="C506" t="str">
        <f>"011"</f>
        <v>011</v>
      </c>
      <c r="D506">
        <v>2013</v>
      </c>
      <c r="E506">
        <v>1557400</v>
      </c>
      <c r="F506">
        <v>249200</v>
      </c>
      <c r="G506" t="s">
        <v>11</v>
      </c>
      <c r="H506" t="s">
        <v>38</v>
      </c>
      <c r="I506" t="s">
        <v>13</v>
      </c>
      <c r="J506" t="s">
        <v>13</v>
      </c>
    </row>
    <row r="507" spans="1:11" x14ac:dyDescent="0.25">
      <c r="A507" t="s">
        <v>39</v>
      </c>
      <c r="B507" t="s">
        <v>13</v>
      </c>
      <c r="C507" t="s">
        <v>7</v>
      </c>
      <c r="D507" t="s">
        <v>8</v>
      </c>
      <c r="E507">
        <v>22369100</v>
      </c>
      <c r="F507">
        <v>15671700</v>
      </c>
      <c r="G507" t="s">
        <v>11</v>
      </c>
      <c r="H507">
        <v>208316300</v>
      </c>
      <c r="I507" t="s">
        <v>13</v>
      </c>
      <c r="J507" t="s">
        <v>13</v>
      </c>
      <c r="K507">
        <v>7.52</v>
      </c>
    </row>
    <row r="509" spans="1:11" x14ac:dyDescent="0.25">
      <c r="A509" t="s">
        <v>154</v>
      </c>
      <c r="B509" t="str">
        <f>"67122"</f>
        <v>67122</v>
      </c>
      <c r="C509" t="str">
        <f>"002"</f>
        <v>002</v>
      </c>
      <c r="D509">
        <v>2004</v>
      </c>
      <c r="E509">
        <v>67134300</v>
      </c>
      <c r="F509">
        <v>33698500</v>
      </c>
      <c r="G509" t="s">
        <v>11</v>
      </c>
      <c r="H509" t="s">
        <v>38</v>
      </c>
      <c r="I509" t="s">
        <v>13</v>
      </c>
      <c r="J509" t="s">
        <v>13</v>
      </c>
    </row>
    <row r="510" spans="1:11" x14ac:dyDescent="0.25">
      <c r="A510" t="s">
        <v>39</v>
      </c>
      <c r="B510" t="s">
        <v>13</v>
      </c>
      <c r="C510" t="s">
        <v>7</v>
      </c>
      <c r="D510" t="s">
        <v>8</v>
      </c>
      <c r="E510">
        <v>67134300</v>
      </c>
      <c r="F510">
        <v>33698500</v>
      </c>
      <c r="G510" t="s">
        <v>11</v>
      </c>
      <c r="H510">
        <v>1166471900</v>
      </c>
      <c r="I510" t="s">
        <v>13</v>
      </c>
      <c r="J510" t="s">
        <v>13</v>
      </c>
      <c r="K510">
        <v>2.89</v>
      </c>
    </row>
    <row r="512" spans="1:11" x14ac:dyDescent="0.25">
      <c r="A512" t="s">
        <v>155</v>
      </c>
      <c r="B512" t="str">
        <f>"47122"</f>
        <v>47122</v>
      </c>
      <c r="C512" t="str">
        <f>"003"</f>
        <v>003</v>
      </c>
      <c r="D512">
        <v>2002</v>
      </c>
      <c r="E512">
        <v>2109300</v>
      </c>
      <c r="F512">
        <v>1357000</v>
      </c>
      <c r="G512" t="s">
        <v>11</v>
      </c>
      <c r="H512" t="s">
        <v>38</v>
      </c>
      <c r="I512" t="s">
        <v>13</v>
      </c>
      <c r="J512" t="s">
        <v>13</v>
      </c>
    </row>
    <row r="513" spans="1:11" x14ac:dyDescent="0.25">
      <c r="A513" t="s">
        <v>5</v>
      </c>
      <c r="B513" t="str">
        <f>"47122"</f>
        <v>47122</v>
      </c>
      <c r="C513" t="str">
        <f>"004"</f>
        <v>004</v>
      </c>
      <c r="D513">
        <v>2009</v>
      </c>
      <c r="E513">
        <v>4140700</v>
      </c>
      <c r="F513">
        <v>593300</v>
      </c>
      <c r="G513" t="s">
        <v>11</v>
      </c>
      <c r="H513" t="s">
        <v>38</v>
      </c>
      <c r="I513" t="s">
        <v>13</v>
      </c>
      <c r="J513" t="s">
        <v>13</v>
      </c>
    </row>
    <row r="514" spans="1:11" x14ac:dyDescent="0.25">
      <c r="A514" t="s">
        <v>5</v>
      </c>
      <c r="B514" t="str">
        <f>"47122"</f>
        <v>47122</v>
      </c>
      <c r="C514" t="str">
        <f>"005"</f>
        <v>005</v>
      </c>
      <c r="D514">
        <v>2007</v>
      </c>
      <c r="E514">
        <v>2170600</v>
      </c>
      <c r="F514">
        <v>1797300</v>
      </c>
      <c r="G514" t="s">
        <v>11</v>
      </c>
      <c r="H514" t="s">
        <v>38</v>
      </c>
      <c r="I514" t="s">
        <v>13</v>
      </c>
      <c r="J514" t="s">
        <v>13</v>
      </c>
    </row>
    <row r="515" spans="1:11" x14ac:dyDescent="0.25">
      <c r="A515" t="s">
        <v>39</v>
      </c>
      <c r="B515" t="s">
        <v>13</v>
      </c>
      <c r="C515" t="s">
        <v>7</v>
      </c>
      <c r="D515" t="s">
        <v>8</v>
      </c>
      <c r="E515">
        <v>8420600</v>
      </c>
      <c r="F515">
        <v>3747600</v>
      </c>
      <c r="G515" t="s">
        <v>11</v>
      </c>
      <c r="H515">
        <v>40197700</v>
      </c>
      <c r="I515" t="s">
        <v>13</v>
      </c>
      <c r="J515" t="s">
        <v>13</v>
      </c>
      <c r="K515">
        <v>9.32</v>
      </c>
    </row>
    <row r="517" spans="1:11" x14ac:dyDescent="0.25">
      <c r="A517" t="s">
        <v>156</v>
      </c>
      <c r="B517" t="str">
        <f>"29221"</f>
        <v>29221</v>
      </c>
      <c r="C517" t="str">
        <f>"002"</f>
        <v>002</v>
      </c>
      <c r="D517">
        <v>1999</v>
      </c>
      <c r="E517">
        <v>565000</v>
      </c>
      <c r="F517">
        <v>291800</v>
      </c>
      <c r="G517" t="s">
        <v>11</v>
      </c>
      <c r="H517" t="s">
        <v>38</v>
      </c>
      <c r="I517" t="s">
        <v>13</v>
      </c>
      <c r="J517" t="s">
        <v>13</v>
      </c>
    </row>
    <row r="518" spans="1:11" x14ac:dyDescent="0.25">
      <c r="A518" t="s">
        <v>5</v>
      </c>
      <c r="B518" t="str">
        <f>"29221"</f>
        <v>29221</v>
      </c>
      <c r="C518" t="str">
        <f>"003"</f>
        <v>003</v>
      </c>
      <c r="D518">
        <v>1999</v>
      </c>
      <c r="E518">
        <v>3237500</v>
      </c>
      <c r="F518">
        <v>801000</v>
      </c>
      <c r="G518" t="s">
        <v>11</v>
      </c>
      <c r="H518" t="s">
        <v>38</v>
      </c>
      <c r="I518" t="s">
        <v>13</v>
      </c>
      <c r="J518" t="s">
        <v>13</v>
      </c>
    </row>
    <row r="519" spans="1:11" x14ac:dyDescent="0.25">
      <c r="A519" t="s">
        <v>5</v>
      </c>
      <c r="B519" t="str">
        <f>"29221"</f>
        <v>29221</v>
      </c>
      <c r="C519" t="str">
        <f>"004"</f>
        <v>004</v>
      </c>
      <c r="D519">
        <v>1999</v>
      </c>
      <c r="E519">
        <v>4039100</v>
      </c>
      <c r="F519">
        <v>2727800</v>
      </c>
      <c r="G519" t="s">
        <v>11</v>
      </c>
      <c r="H519" t="s">
        <v>38</v>
      </c>
      <c r="I519" t="s">
        <v>13</v>
      </c>
      <c r="J519" t="s">
        <v>13</v>
      </c>
    </row>
    <row r="520" spans="1:11" x14ac:dyDescent="0.25">
      <c r="A520" t="s">
        <v>5</v>
      </c>
      <c r="B520" t="str">
        <f>"29221"</f>
        <v>29221</v>
      </c>
      <c r="C520" t="str">
        <f>"005"</f>
        <v>005</v>
      </c>
      <c r="D520">
        <v>1999</v>
      </c>
      <c r="E520">
        <v>1781800</v>
      </c>
      <c r="F520">
        <v>1745300</v>
      </c>
      <c r="G520" t="s">
        <v>11</v>
      </c>
      <c r="H520" t="s">
        <v>38</v>
      </c>
      <c r="I520" t="s">
        <v>13</v>
      </c>
      <c r="J520" t="s">
        <v>13</v>
      </c>
    </row>
    <row r="521" spans="1:11" x14ac:dyDescent="0.25">
      <c r="A521" t="s">
        <v>5</v>
      </c>
      <c r="B521" t="str">
        <f>"29221"</f>
        <v>29221</v>
      </c>
      <c r="C521" t="str">
        <f>"006"</f>
        <v>006</v>
      </c>
      <c r="D521">
        <v>2014</v>
      </c>
      <c r="E521">
        <v>1597100</v>
      </c>
      <c r="F521">
        <v>778600</v>
      </c>
      <c r="G521" t="s">
        <v>11</v>
      </c>
      <c r="H521" t="s">
        <v>38</v>
      </c>
      <c r="I521" t="s">
        <v>13</v>
      </c>
      <c r="J521" t="s">
        <v>13</v>
      </c>
    </row>
    <row r="522" spans="1:11" x14ac:dyDescent="0.25">
      <c r="A522" t="s">
        <v>39</v>
      </c>
      <c r="B522" t="s">
        <v>13</v>
      </c>
      <c r="C522" t="s">
        <v>7</v>
      </c>
      <c r="D522" t="s">
        <v>8</v>
      </c>
      <c r="E522">
        <v>11220500</v>
      </c>
      <c r="F522">
        <v>6344500</v>
      </c>
      <c r="G522" t="s">
        <v>11</v>
      </c>
      <c r="H522">
        <v>57114500</v>
      </c>
      <c r="I522" t="s">
        <v>13</v>
      </c>
      <c r="J522" t="s">
        <v>13</v>
      </c>
      <c r="K522">
        <v>11.11</v>
      </c>
    </row>
    <row r="524" spans="1:11" x14ac:dyDescent="0.25">
      <c r="A524" t="s">
        <v>157</v>
      </c>
      <c r="B524" t="str">
        <f>"39121"</f>
        <v>39121</v>
      </c>
      <c r="C524" t="str">
        <f>"001"</f>
        <v>001</v>
      </c>
      <c r="D524">
        <v>1993</v>
      </c>
      <c r="E524">
        <v>5974200</v>
      </c>
      <c r="F524">
        <v>4814300</v>
      </c>
      <c r="G524" t="s">
        <v>11</v>
      </c>
      <c r="H524" t="s">
        <v>38</v>
      </c>
      <c r="I524" t="s">
        <v>13</v>
      </c>
      <c r="J524" t="s">
        <v>13</v>
      </c>
    </row>
    <row r="525" spans="1:11" x14ac:dyDescent="0.25">
      <c r="A525" t="s">
        <v>39</v>
      </c>
      <c r="B525" t="s">
        <v>13</v>
      </c>
      <c r="C525" t="s">
        <v>7</v>
      </c>
      <c r="D525" t="s">
        <v>8</v>
      </c>
      <c r="E525">
        <v>5974200</v>
      </c>
      <c r="F525">
        <v>4814300</v>
      </c>
      <c r="G525" t="s">
        <v>11</v>
      </c>
      <c r="H525">
        <v>18811300</v>
      </c>
      <c r="I525" t="s">
        <v>13</v>
      </c>
      <c r="J525" t="s">
        <v>13</v>
      </c>
      <c r="K525">
        <v>25.59</v>
      </c>
    </row>
    <row r="527" spans="1:11" x14ac:dyDescent="0.25">
      <c r="A527" t="s">
        <v>158</v>
      </c>
      <c r="B527" t="str">
        <f>"53222"</f>
        <v>53222</v>
      </c>
      <c r="C527" t="str">
        <f>"005"</f>
        <v>005</v>
      </c>
      <c r="D527">
        <v>2004</v>
      </c>
      <c r="E527">
        <v>18762700</v>
      </c>
      <c r="F527">
        <v>7463600</v>
      </c>
      <c r="G527" t="s">
        <v>11</v>
      </c>
      <c r="H527" t="s">
        <v>38</v>
      </c>
      <c r="I527" t="s">
        <v>13</v>
      </c>
      <c r="J527" t="s">
        <v>13</v>
      </c>
    </row>
    <row r="528" spans="1:11" x14ac:dyDescent="0.25">
      <c r="A528" t="s">
        <v>5</v>
      </c>
      <c r="B528" t="str">
        <f>"53222"</f>
        <v>53222</v>
      </c>
      <c r="C528" t="str">
        <f>"006"</f>
        <v>006</v>
      </c>
      <c r="D528">
        <v>2006</v>
      </c>
      <c r="E528">
        <v>4857600</v>
      </c>
      <c r="F528">
        <v>2929800</v>
      </c>
      <c r="G528" t="s">
        <v>11</v>
      </c>
      <c r="H528" t="s">
        <v>38</v>
      </c>
      <c r="I528" t="s">
        <v>13</v>
      </c>
      <c r="J528" t="s">
        <v>13</v>
      </c>
    </row>
    <row r="529" spans="1:11" x14ac:dyDescent="0.25">
      <c r="A529" t="s">
        <v>5</v>
      </c>
      <c r="B529" t="str">
        <f>"53222"</f>
        <v>53222</v>
      </c>
      <c r="C529" t="str">
        <f>"007"</f>
        <v>007</v>
      </c>
      <c r="D529">
        <v>2007</v>
      </c>
      <c r="E529">
        <v>7184900</v>
      </c>
      <c r="F529">
        <v>1083200</v>
      </c>
      <c r="G529" t="s">
        <v>11</v>
      </c>
      <c r="H529" t="s">
        <v>38</v>
      </c>
      <c r="I529" t="s">
        <v>13</v>
      </c>
      <c r="J529" t="s">
        <v>13</v>
      </c>
    </row>
    <row r="530" spans="1:11" x14ac:dyDescent="0.25">
      <c r="A530" t="s">
        <v>5</v>
      </c>
      <c r="B530" t="str">
        <f>"53222"</f>
        <v>53222</v>
      </c>
      <c r="C530" t="str">
        <f>"008"</f>
        <v>008</v>
      </c>
      <c r="D530">
        <v>2008</v>
      </c>
      <c r="E530">
        <v>6175600</v>
      </c>
      <c r="F530">
        <v>3480300</v>
      </c>
      <c r="G530" t="s">
        <v>11</v>
      </c>
      <c r="H530" t="s">
        <v>38</v>
      </c>
      <c r="I530" t="s">
        <v>13</v>
      </c>
      <c r="J530" t="s">
        <v>13</v>
      </c>
    </row>
    <row r="531" spans="1:11" x14ac:dyDescent="0.25">
      <c r="A531" t="s">
        <v>39</v>
      </c>
      <c r="B531" t="s">
        <v>13</v>
      </c>
      <c r="C531" t="s">
        <v>7</v>
      </c>
      <c r="D531" t="s">
        <v>8</v>
      </c>
      <c r="E531">
        <v>36980800</v>
      </c>
      <c r="F531">
        <v>14956900</v>
      </c>
      <c r="G531" t="s">
        <v>11</v>
      </c>
      <c r="H531">
        <v>407994600</v>
      </c>
      <c r="I531" t="s">
        <v>13</v>
      </c>
      <c r="J531" t="s">
        <v>13</v>
      </c>
      <c r="K531">
        <v>3.67</v>
      </c>
    </row>
    <row r="533" spans="1:11" x14ac:dyDescent="0.25">
      <c r="A533" t="s">
        <v>159</v>
      </c>
      <c r="B533" t="str">
        <f>"20126"</f>
        <v>20126</v>
      </c>
      <c r="C533" t="str">
        <f>"001"</f>
        <v>001</v>
      </c>
      <c r="D533">
        <v>1997</v>
      </c>
      <c r="E533">
        <v>4146000</v>
      </c>
      <c r="F533">
        <v>3394600</v>
      </c>
      <c r="G533" t="s">
        <v>11</v>
      </c>
      <c r="H533" t="s">
        <v>38</v>
      </c>
      <c r="I533" t="s">
        <v>13</v>
      </c>
      <c r="J533" t="s">
        <v>13</v>
      </c>
    </row>
    <row r="534" spans="1:11" x14ac:dyDescent="0.25">
      <c r="A534" t="s">
        <v>39</v>
      </c>
      <c r="B534" t="s">
        <v>13</v>
      </c>
      <c r="C534" t="s">
        <v>7</v>
      </c>
      <c r="D534" t="s">
        <v>8</v>
      </c>
      <c r="E534">
        <v>4146000</v>
      </c>
      <c r="F534">
        <v>3394600</v>
      </c>
      <c r="G534" t="s">
        <v>11</v>
      </c>
      <c r="H534">
        <v>20997100</v>
      </c>
      <c r="I534" t="s">
        <v>13</v>
      </c>
      <c r="J534" t="s">
        <v>13</v>
      </c>
      <c r="K534">
        <v>16.170000000000002</v>
      </c>
    </row>
    <row r="536" spans="1:11" x14ac:dyDescent="0.25">
      <c r="A536" t="s">
        <v>160</v>
      </c>
      <c r="B536" t="str">
        <f>"18127"</f>
        <v>18127</v>
      </c>
      <c r="C536" t="str">
        <f>"001"</f>
        <v>001</v>
      </c>
      <c r="D536">
        <v>2000</v>
      </c>
      <c r="E536">
        <v>1502900</v>
      </c>
      <c r="F536">
        <v>1430100</v>
      </c>
      <c r="G536" t="s">
        <v>11</v>
      </c>
      <c r="H536" t="s">
        <v>38</v>
      </c>
      <c r="I536" t="s">
        <v>13</v>
      </c>
      <c r="J536" t="s">
        <v>13</v>
      </c>
    </row>
    <row r="537" spans="1:11" x14ac:dyDescent="0.25">
      <c r="A537" t="s">
        <v>5</v>
      </c>
      <c r="B537" t="str">
        <f>"18127"</f>
        <v>18127</v>
      </c>
      <c r="C537" t="str">
        <f>"002"</f>
        <v>002</v>
      </c>
      <c r="D537">
        <v>2013</v>
      </c>
      <c r="E537">
        <v>6947200</v>
      </c>
      <c r="F537">
        <v>5333900</v>
      </c>
      <c r="G537" t="s">
        <v>11</v>
      </c>
      <c r="H537" t="s">
        <v>38</v>
      </c>
      <c r="I537" t="s">
        <v>13</v>
      </c>
      <c r="J537" t="s">
        <v>13</v>
      </c>
    </row>
    <row r="538" spans="1:11" x14ac:dyDescent="0.25">
      <c r="A538" t="s">
        <v>39</v>
      </c>
      <c r="B538" t="s">
        <v>13</v>
      </c>
      <c r="C538" t="s">
        <v>7</v>
      </c>
      <c r="D538" t="s">
        <v>8</v>
      </c>
      <c r="E538">
        <v>8450100</v>
      </c>
      <c r="F538">
        <v>6764000</v>
      </c>
      <c r="G538" t="s">
        <v>11</v>
      </c>
      <c r="H538">
        <v>79500900</v>
      </c>
      <c r="I538" t="s">
        <v>13</v>
      </c>
      <c r="J538" t="s">
        <v>13</v>
      </c>
      <c r="K538">
        <v>8.51</v>
      </c>
    </row>
    <row r="540" spans="1:11" x14ac:dyDescent="0.25">
      <c r="A540" t="s">
        <v>161</v>
      </c>
      <c r="B540" t="str">
        <f>"22226"</f>
        <v>22226</v>
      </c>
      <c r="C540" t="str">
        <f>"004"</f>
        <v>004</v>
      </c>
      <c r="D540">
        <v>2002</v>
      </c>
      <c r="E540">
        <v>927700</v>
      </c>
      <c r="F540">
        <v>895500</v>
      </c>
      <c r="G540" t="s">
        <v>11</v>
      </c>
      <c r="H540" t="s">
        <v>38</v>
      </c>
      <c r="I540" t="s">
        <v>13</v>
      </c>
      <c r="J540" t="s">
        <v>13</v>
      </c>
    </row>
    <row r="541" spans="1:11" x14ac:dyDescent="0.25">
      <c r="A541" t="s">
        <v>5</v>
      </c>
      <c r="B541" t="str">
        <f>"22226"</f>
        <v>22226</v>
      </c>
      <c r="C541" t="str">
        <f>"005"</f>
        <v>005</v>
      </c>
      <c r="D541">
        <v>2005</v>
      </c>
      <c r="E541">
        <v>7485200</v>
      </c>
      <c r="F541">
        <v>526300</v>
      </c>
      <c r="G541" t="s">
        <v>11</v>
      </c>
      <c r="H541" t="s">
        <v>38</v>
      </c>
      <c r="I541" t="s">
        <v>13</v>
      </c>
      <c r="J541" t="s">
        <v>13</v>
      </c>
    </row>
    <row r="542" spans="1:11" x14ac:dyDescent="0.25">
      <c r="A542" t="s">
        <v>5</v>
      </c>
      <c r="B542" t="str">
        <f>"22226"</f>
        <v>22226</v>
      </c>
      <c r="C542" t="str">
        <f>"006"</f>
        <v>006</v>
      </c>
      <c r="D542">
        <v>2017</v>
      </c>
      <c r="E542">
        <v>1049300</v>
      </c>
      <c r="F542">
        <v>-320700</v>
      </c>
      <c r="G542" t="s">
        <v>43</v>
      </c>
      <c r="H542" t="s">
        <v>38</v>
      </c>
      <c r="I542" t="s">
        <v>13</v>
      </c>
      <c r="J542" t="s">
        <v>13</v>
      </c>
    </row>
    <row r="543" spans="1:11" x14ac:dyDescent="0.25">
      <c r="A543" t="s">
        <v>39</v>
      </c>
      <c r="B543" t="s">
        <v>13</v>
      </c>
      <c r="C543" t="s">
        <v>7</v>
      </c>
      <c r="D543" t="s">
        <v>8</v>
      </c>
      <c r="E543">
        <v>9462200</v>
      </c>
      <c r="F543">
        <v>1421800</v>
      </c>
      <c r="G543" t="s">
        <v>11</v>
      </c>
      <c r="H543">
        <v>116896300</v>
      </c>
      <c r="I543" t="s">
        <v>13</v>
      </c>
      <c r="J543" t="s">
        <v>13</v>
      </c>
      <c r="K543">
        <v>1.22</v>
      </c>
    </row>
    <row r="545" spans="1:11" x14ac:dyDescent="0.25">
      <c r="A545" t="s">
        <v>162</v>
      </c>
      <c r="B545" t="str">
        <f>"12126"</f>
        <v>12126</v>
      </c>
      <c r="C545" t="str">
        <f>"001"</f>
        <v>001</v>
      </c>
      <c r="D545">
        <v>2003</v>
      </c>
      <c r="E545">
        <v>307000</v>
      </c>
      <c r="F545">
        <v>254900</v>
      </c>
      <c r="G545" t="s">
        <v>11</v>
      </c>
      <c r="H545" t="s">
        <v>38</v>
      </c>
      <c r="I545" t="s">
        <v>13</v>
      </c>
      <c r="J545" t="s">
        <v>13</v>
      </c>
    </row>
    <row r="546" spans="1:11" x14ac:dyDescent="0.25">
      <c r="A546" t="s">
        <v>39</v>
      </c>
      <c r="B546" t="s">
        <v>13</v>
      </c>
      <c r="C546" t="s">
        <v>7</v>
      </c>
      <c r="D546" t="s">
        <v>8</v>
      </c>
      <c r="E546">
        <v>307000</v>
      </c>
      <c r="F546">
        <v>254900</v>
      </c>
      <c r="G546" t="s">
        <v>11</v>
      </c>
      <c r="H546">
        <v>23503600</v>
      </c>
      <c r="I546" t="s">
        <v>13</v>
      </c>
      <c r="J546" t="s">
        <v>13</v>
      </c>
      <c r="K546">
        <v>1.08</v>
      </c>
    </row>
    <row r="548" spans="1:11" x14ac:dyDescent="0.25">
      <c r="A548" t="s">
        <v>163</v>
      </c>
      <c r="B548" t="str">
        <f>"13225"</f>
        <v>13225</v>
      </c>
      <c r="C548" t="str">
        <f>"004"</f>
        <v>004</v>
      </c>
      <c r="D548">
        <v>2003</v>
      </c>
      <c r="E548">
        <v>241772300</v>
      </c>
      <c r="F548">
        <v>192628300</v>
      </c>
      <c r="G548" t="s">
        <v>11</v>
      </c>
      <c r="H548" t="s">
        <v>38</v>
      </c>
      <c r="I548" t="s">
        <v>13</v>
      </c>
      <c r="J548" t="s">
        <v>13</v>
      </c>
    </row>
    <row r="549" spans="1:11" x14ac:dyDescent="0.25">
      <c r="A549" t="s">
        <v>5</v>
      </c>
      <c r="B549" t="str">
        <f>"13225"</f>
        <v>13225</v>
      </c>
      <c r="C549" t="str">
        <f>"006"</f>
        <v>006</v>
      </c>
      <c r="D549">
        <v>2006</v>
      </c>
      <c r="E549">
        <v>173607000</v>
      </c>
      <c r="F549">
        <v>86806200</v>
      </c>
      <c r="G549" t="s">
        <v>11</v>
      </c>
      <c r="H549" t="s">
        <v>38</v>
      </c>
      <c r="I549" t="s">
        <v>13</v>
      </c>
      <c r="J549" t="s">
        <v>13</v>
      </c>
    </row>
    <row r="550" spans="1:11" x14ac:dyDescent="0.25">
      <c r="A550" t="s">
        <v>5</v>
      </c>
      <c r="B550" t="str">
        <f>"13225"</f>
        <v>13225</v>
      </c>
      <c r="C550" t="str">
        <f>"009"</f>
        <v>009</v>
      </c>
      <c r="D550">
        <v>2015</v>
      </c>
      <c r="E550">
        <v>68501100</v>
      </c>
      <c r="F550">
        <v>24948700</v>
      </c>
      <c r="G550" t="s">
        <v>11</v>
      </c>
      <c r="H550" t="s">
        <v>38</v>
      </c>
      <c r="I550" t="s">
        <v>13</v>
      </c>
      <c r="J550" t="s">
        <v>13</v>
      </c>
    </row>
    <row r="551" spans="1:11" x14ac:dyDescent="0.25">
      <c r="A551" t="s">
        <v>5</v>
      </c>
      <c r="B551" t="str">
        <f>"13225"</f>
        <v>13225</v>
      </c>
      <c r="C551" t="str">
        <f>"010"</f>
        <v>010</v>
      </c>
      <c r="D551">
        <v>2016</v>
      </c>
      <c r="E551">
        <v>1156100</v>
      </c>
      <c r="F551">
        <v>-20900</v>
      </c>
      <c r="G551" t="s">
        <v>43</v>
      </c>
      <c r="H551" t="s">
        <v>38</v>
      </c>
      <c r="I551" t="s">
        <v>13</v>
      </c>
      <c r="J551" t="s">
        <v>13</v>
      </c>
    </row>
    <row r="552" spans="1:11" x14ac:dyDescent="0.25">
      <c r="A552" t="s">
        <v>39</v>
      </c>
      <c r="B552" t="s">
        <v>13</v>
      </c>
      <c r="C552" t="s">
        <v>7</v>
      </c>
      <c r="D552" t="s">
        <v>8</v>
      </c>
      <c r="E552">
        <v>485036500</v>
      </c>
      <c r="F552">
        <v>304383200</v>
      </c>
      <c r="G552" t="s">
        <v>11</v>
      </c>
      <c r="H552">
        <v>3135272200</v>
      </c>
      <c r="I552" t="s">
        <v>13</v>
      </c>
      <c r="J552" t="s">
        <v>13</v>
      </c>
      <c r="K552">
        <v>9.7100000000000009</v>
      </c>
    </row>
    <row r="554" spans="1:11" x14ac:dyDescent="0.25">
      <c r="A554" t="s">
        <v>164</v>
      </c>
      <c r="B554" t="str">
        <f>"19010"</f>
        <v>19010</v>
      </c>
      <c r="C554" t="str">
        <f>"001R"</f>
        <v>001R</v>
      </c>
      <c r="D554">
        <v>2013</v>
      </c>
      <c r="E554">
        <v>14434600</v>
      </c>
      <c r="F554">
        <v>3034200</v>
      </c>
      <c r="G554" t="s">
        <v>11</v>
      </c>
      <c r="H554" t="s">
        <v>38</v>
      </c>
      <c r="I554" t="s">
        <v>13</v>
      </c>
      <c r="J554" t="s">
        <v>13</v>
      </c>
    </row>
    <row r="555" spans="1:11" x14ac:dyDescent="0.25">
      <c r="A555" t="s">
        <v>39</v>
      </c>
      <c r="B555" t="s">
        <v>13</v>
      </c>
      <c r="C555" t="s">
        <v>7</v>
      </c>
      <c r="D555" t="s">
        <v>8</v>
      </c>
      <c r="E555">
        <v>14434600</v>
      </c>
      <c r="F555">
        <v>3034200</v>
      </c>
      <c r="G555" t="s">
        <v>11</v>
      </c>
      <c r="H555">
        <v>305498100</v>
      </c>
      <c r="I555" t="s">
        <v>13</v>
      </c>
      <c r="J555" t="s">
        <v>13</v>
      </c>
      <c r="K555">
        <v>0.99</v>
      </c>
    </row>
    <row r="557" spans="1:11" x14ac:dyDescent="0.25">
      <c r="A557" t="s">
        <v>165</v>
      </c>
      <c r="B557" t="str">
        <f t="shared" ref="B557:B569" si="6">"20226"</f>
        <v>20226</v>
      </c>
      <c r="C557" t="str">
        <f>"008"</f>
        <v>008</v>
      </c>
      <c r="D557">
        <v>1992</v>
      </c>
      <c r="E557">
        <v>3625900</v>
      </c>
      <c r="F557">
        <v>1554500</v>
      </c>
      <c r="G557" t="s">
        <v>11</v>
      </c>
      <c r="H557" t="s">
        <v>38</v>
      </c>
      <c r="I557" t="s">
        <v>13</v>
      </c>
      <c r="J557" t="s">
        <v>13</v>
      </c>
    </row>
    <row r="558" spans="1:11" x14ac:dyDescent="0.25">
      <c r="A558" t="s">
        <v>5</v>
      </c>
      <c r="B558" t="str">
        <f t="shared" si="6"/>
        <v>20226</v>
      </c>
      <c r="C558" t="str">
        <f>"010"</f>
        <v>010</v>
      </c>
      <c r="D558">
        <v>2004</v>
      </c>
      <c r="E558">
        <v>71883100</v>
      </c>
      <c r="F558">
        <v>69852500</v>
      </c>
      <c r="G558" t="s">
        <v>11</v>
      </c>
      <c r="H558" t="s">
        <v>38</v>
      </c>
      <c r="I558" t="s">
        <v>13</v>
      </c>
      <c r="J558" t="s">
        <v>13</v>
      </c>
    </row>
    <row r="559" spans="1:11" x14ac:dyDescent="0.25">
      <c r="A559" t="s">
        <v>5</v>
      </c>
      <c r="B559" t="str">
        <f t="shared" si="6"/>
        <v>20226</v>
      </c>
      <c r="C559" t="str">
        <f>"012"</f>
        <v>012</v>
      </c>
      <c r="D559">
        <v>2008</v>
      </c>
      <c r="E559">
        <v>2221900</v>
      </c>
      <c r="F559">
        <v>2221900</v>
      </c>
      <c r="G559" t="s">
        <v>11</v>
      </c>
      <c r="H559" t="s">
        <v>38</v>
      </c>
      <c r="I559" t="s">
        <v>13</v>
      </c>
      <c r="J559" t="s">
        <v>13</v>
      </c>
    </row>
    <row r="560" spans="1:11" x14ac:dyDescent="0.25">
      <c r="A560" t="s">
        <v>5</v>
      </c>
      <c r="B560" t="str">
        <f t="shared" si="6"/>
        <v>20226</v>
      </c>
      <c r="C560" t="str">
        <f>"013"</f>
        <v>013</v>
      </c>
      <c r="D560">
        <v>2010</v>
      </c>
      <c r="E560">
        <v>6465800</v>
      </c>
      <c r="F560">
        <v>3733300</v>
      </c>
      <c r="G560" t="s">
        <v>11</v>
      </c>
      <c r="H560" t="s">
        <v>38</v>
      </c>
      <c r="I560" t="s">
        <v>13</v>
      </c>
      <c r="J560" t="s">
        <v>13</v>
      </c>
    </row>
    <row r="561" spans="1:11" x14ac:dyDescent="0.25">
      <c r="A561" t="s">
        <v>5</v>
      </c>
      <c r="B561" t="str">
        <f t="shared" si="6"/>
        <v>20226</v>
      </c>
      <c r="C561" t="str">
        <f>"014"</f>
        <v>014</v>
      </c>
      <c r="D561">
        <v>2011</v>
      </c>
      <c r="E561">
        <v>7465100</v>
      </c>
      <c r="F561">
        <v>6936100</v>
      </c>
      <c r="G561" t="s">
        <v>11</v>
      </c>
      <c r="H561" t="s">
        <v>38</v>
      </c>
      <c r="I561" t="s">
        <v>13</v>
      </c>
      <c r="J561" t="s">
        <v>13</v>
      </c>
    </row>
    <row r="562" spans="1:11" x14ac:dyDescent="0.25">
      <c r="A562" t="s">
        <v>5</v>
      </c>
      <c r="B562" t="str">
        <f t="shared" si="6"/>
        <v>20226</v>
      </c>
      <c r="C562" t="str">
        <f>"015"</f>
        <v>015</v>
      </c>
      <c r="D562">
        <v>2011</v>
      </c>
      <c r="E562">
        <v>958200</v>
      </c>
      <c r="F562">
        <v>762000</v>
      </c>
      <c r="G562" t="s">
        <v>11</v>
      </c>
      <c r="H562" t="s">
        <v>38</v>
      </c>
      <c r="I562" t="s">
        <v>13</v>
      </c>
      <c r="J562" t="s">
        <v>13</v>
      </c>
    </row>
    <row r="563" spans="1:11" x14ac:dyDescent="0.25">
      <c r="A563" t="s">
        <v>5</v>
      </c>
      <c r="B563" t="str">
        <f t="shared" si="6"/>
        <v>20226</v>
      </c>
      <c r="C563" t="str">
        <f>"016"</f>
        <v>016</v>
      </c>
      <c r="D563">
        <v>2012</v>
      </c>
      <c r="E563">
        <v>1916500</v>
      </c>
      <c r="F563">
        <v>1622900</v>
      </c>
      <c r="G563" t="s">
        <v>11</v>
      </c>
      <c r="H563" t="s">
        <v>38</v>
      </c>
      <c r="I563" t="s">
        <v>13</v>
      </c>
      <c r="J563" t="s">
        <v>13</v>
      </c>
    </row>
    <row r="564" spans="1:11" x14ac:dyDescent="0.25">
      <c r="A564" t="s">
        <v>5</v>
      </c>
      <c r="B564" t="str">
        <f t="shared" si="6"/>
        <v>20226</v>
      </c>
      <c r="C564" t="str">
        <f>"017"</f>
        <v>017</v>
      </c>
      <c r="D564">
        <v>2012</v>
      </c>
      <c r="E564">
        <v>8866900</v>
      </c>
      <c r="F564">
        <v>7481200</v>
      </c>
      <c r="G564" t="s">
        <v>11</v>
      </c>
      <c r="H564" t="s">
        <v>38</v>
      </c>
      <c r="I564" t="s">
        <v>13</v>
      </c>
      <c r="J564" t="s">
        <v>13</v>
      </c>
    </row>
    <row r="565" spans="1:11" x14ac:dyDescent="0.25">
      <c r="A565" t="s">
        <v>5</v>
      </c>
      <c r="B565" t="str">
        <f t="shared" si="6"/>
        <v>20226</v>
      </c>
      <c r="C565" t="str">
        <f>"018"</f>
        <v>018</v>
      </c>
      <c r="D565">
        <v>2014</v>
      </c>
      <c r="E565">
        <v>12062900</v>
      </c>
      <c r="F565">
        <v>8273700</v>
      </c>
      <c r="G565" t="s">
        <v>11</v>
      </c>
      <c r="H565" t="s">
        <v>38</v>
      </c>
      <c r="I565" t="s">
        <v>13</v>
      </c>
      <c r="J565" t="s">
        <v>13</v>
      </c>
    </row>
    <row r="566" spans="1:11" x14ac:dyDescent="0.25">
      <c r="A566" t="s">
        <v>5</v>
      </c>
      <c r="B566" t="str">
        <f t="shared" si="6"/>
        <v>20226</v>
      </c>
      <c r="C566" t="str">
        <f>"019"</f>
        <v>019</v>
      </c>
      <c r="D566">
        <v>2015</v>
      </c>
      <c r="E566">
        <v>1678100</v>
      </c>
      <c r="F566">
        <v>918300</v>
      </c>
      <c r="G566" t="s">
        <v>11</v>
      </c>
      <c r="H566" t="s">
        <v>38</v>
      </c>
      <c r="I566" t="s">
        <v>13</v>
      </c>
      <c r="J566" t="s">
        <v>13</v>
      </c>
    </row>
    <row r="567" spans="1:11" x14ac:dyDescent="0.25">
      <c r="A567" t="s">
        <v>5</v>
      </c>
      <c r="B567" t="str">
        <f t="shared" si="6"/>
        <v>20226</v>
      </c>
      <c r="C567" t="str">
        <f>"020"</f>
        <v>020</v>
      </c>
      <c r="D567">
        <v>2017</v>
      </c>
      <c r="E567">
        <v>1011000</v>
      </c>
      <c r="F567">
        <v>1011000</v>
      </c>
      <c r="G567" t="s">
        <v>11</v>
      </c>
      <c r="H567" t="s">
        <v>38</v>
      </c>
      <c r="I567" t="s">
        <v>13</v>
      </c>
      <c r="J567" t="s">
        <v>13</v>
      </c>
    </row>
    <row r="568" spans="1:11" x14ac:dyDescent="0.25">
      <c r="A568" t="s">
        <v>5</v>
      </c>
      <c r="B568" t="str">
        <f t="shared" si="6"/>
        <v>20226</v>
      </c>
      <c r="C568" t="str">
        <f>"021"</f>
        <v>021</v>
      </c>
      <c r="D568">
        <v>2017</v>
      </c>
      <c r="E568">
        <v>2128600</v>
      </c>
      <c r="F568">
        <v>-27800</v>
      </c>
      <c r="G568" t="s">
        <v>43</v>
      </c>
      <c r="H568" t="s">
        <v>38</v>
      </c>
      <c r="I568" t="s">
        <v>13</v>
      </c>
      <c r="J568" t="s">
        <v>13</v>
      </c>
    </row>
    <row r="569" spans="1:11" x14ac:dyDescent="0.25">
      <c r="A569" t="s">
        <v>5</v>
      </c>
      <c r="B569" t="str">
        <f t="shared" si="6"/>
        <v>20226</v>
      </c>
      <c r="C569" t="str">
        <f>"022"</f>
        <v>022</v>
      </c>
      <c r="D569">
        <v>2017</v>
      </c>
      <c r="E569">
        <v>1061200</v>
      </c>
      <c r="F569">
        <v>-158700</v>
      </c>
      <c r="G569" t="s">
        <v>43</v>
      </c>
      <c r="H569" t="s">
        <v>38</v>
      </c>
      <c r="I569" t="s">
        <v>13</v>
      </c>
      <c r="J569" t="s">
        <v>13</v>
      </c>
    </row>
    <row r="570" spans="1:11" x14ac:dyDescent="0.25">
      <c r="A570" t="s">
        <v>39</v>
      </c>
      <c r="B570" t="s">
        <v>13</v>
      </c>
      <c r="C570" t="s">
        <v>7</v>
      </c>
      <c r="D570" t="s">
        <v>8</v>
      </c>
      <c r="E570">
        <v>121345200</v>
      </c>
      <c r="F570">
        <v>104367400</v>
      </c>
      <c r="G570" t="s">
        <v>11</v>
      </c>
      <c r="H570">
        <v>2894535500</v>
      </c>
      <c r="I570" t="s">
        <v>13</v>
      </c>
      <c r="J570" t="s">
        <v>13</v>
      </c>
      <c r="K570">
        <v>3.61</v>
      </c>
    </row>
    <row r="572" spans="1:11" x14ac:dyDescent="0.25">
      <c r="A572" t="s">
        <v>166</v>
      </c>
      <c r="B572" t="str">
        <f>"64126"</f>
        <v>64126</v>
      </c>
      <c r="C572" t="str">
        <f>"001"</f>
        <v>001</v>
      </c>
      <c r="D572">
        <v>2001</v>
      </c>
      <c r="E572">
        <v>88406100</v>
      </c>
      <c r="F572">
        <v>58185700</v>
      </c>
      <c r="G572" t="s">
        <v>11</v>
      </c>
      <c r="H572" t="s">
        <v>38</v>
      </c>
      <c r="I572" t="s">
        <v>13</v>
      </c>
      <c r="J572" t="s">
        <v>13</v>
      </c>
    </row>
    <row r="573" spans="1:11" x14ac:dyDescent="0.25">
      <c r="A573" t="s">
        <v>39</v>
      </c>
      <c r="B573" t="s">
        <v>13</v>
      </c>
      <c r="C573" t="s">
        <v>7</v>
      </c>
      <c r="D573" t="s">
        <v>8</v>
      </c>
      <c r="E573">
        <v>88406100</v>
      </c>
      <c r="F573">
        <v>58185700</v>
      </c>
      <c r="G573" t="s">
        <v>11</v>
      </c>
      <c r="H573">
        <v>1176212800</v>
      </c>
      <c r="I573" t="s">
        <v>13</v>
      </c>
      <c r="J573" t="s">
        <v>13</v>
      </c>
      <c r="K573">
        <v>4.95</v>
      </c>
    </row>
    <row r="575" spans="1:11" x14ac:dyDescent="0.25">
      <c r="A575" t="s">
        <v>167</v>
      </c>
      <c r="B575" t="str">
        <f>"53126"</f>
        <v>53126</v>
      </c>
      <c r="C575" t="str">
        <f>"001"</f>
        <v>001</v>
      </c>
      <c r="D575">
        <v>2000</v>
      </c>
      <c r="E575">
        <v>8072400</v>
      </c>
      <c r="F575">
        <v>6837100</v>
      </c>
      <c r="G575" t="s">
        <v>11</v>
      </c>
      <c r="H575" t="s">
        <v>38</v>
      </c>
      <c r="I575" t="s">
        <v>13</v>
      </c>
      <c r="J575" t="s">
        <v>13</v>
      </c>
    </row>
    <row r="576" spans="1:11" x14ac:dyDescent="0.25">
      <c r="A576" t="s">
        <v>39</v>
      </c>
      <c r="B576" t="s">
        <v>13</v>
      </c>
      <c r="C576" t="s">
        <v>7</v>
      </c>
      <c r="D576" t="s">
        <v>8</v>
      </c>
      <c r="E576">
        <v>8072400</v>
      </c>
      <c r="F576">
        <v>6837100</v>
      </c>
      <c r="G576" t="s">
        <v>11</v>
      </c>
      <c r="H576">
        <v>40874800</v>
      </c>
      <c r="I576" t="s">
        <v>13</v>
      </c>
      <c r="J576" t="s">
        <v>13</v>
      </c>
      <c r="K576">
        <v>16.73</v>
      </c>
    </row>
    <row r="578" spans="1:11" x14ac:dyDescent="0.25">
      <c r="A578" t="s">
        <v>168</v>
      </c>
      <c r="B578" t="str">
        <f>"28226"</f>
        <v>28226</v>
      </c>
      <c r="C578" t="str">
        <f>"006"</f>
        <v>006</v>
      </c>
      <c r="D578">
        <v>2000</v>
      </c>
      <c r="E578">
        <v>5647000</v>
      </c>
      <c r="F578">
        <v>4511600</v>
      </c>
      <c r="G578" t="s">
        <v>11</v>
      </c>
      <c r="H578" t="s">
        <v>38</v>
      </c>
      <c r="I578" t="s">
        <v>13</v>
      </c>
      <c r="J578" t="s">
        <v>13</v>
      </c>
    </row>
    <row r="579" spans="1:11" x14ac:dyDescent="0.25">
      <c r="A579" t="s">
        <v>5</v>
      </c>
      <c r="B579" t="str">
        <f>"28226"</f>
        <v>28226</v>
      </c>
      <c r="C579" t="str">
        <f>"007"</f>
        <v>007</v>
      </c>
      <c r="D579">
        <v>2000</v>
      </c>
      <c r="E579">
        <v>27687300</v>
      </c>
      <c r="F579">
        <v>16099400</v>
      </c>
      <c r="G579" t="s">
        <v>11</v>
      </c>
      <c r="H579" t="s">
        <v>38</v>
      </c>
      <c r="I579" t="s">
        <v>13</v>
      </c>
      <c r="J579" t="s">
        <v>13</v>
      </c>
    </row>
    <row r="580" spans="1:11" x14ac:dyDescent="0.25">
      <c r="A580" t="s">
        <v>5</v>
      </c>
      <c r="B580" t="str">
        <f>"28226"</f>
        <v>28226</v>
      </c>
      <c r="C580" t="str">
        <f>"008"</f>
        <v>008</v>
      </c>
      <c r="D580">
        <v>2009</v>
      </c>
      <c r="E580">
        <v>46159700</v>
      </c>
      <c r="F580">
        <v>17575500</v>
      </c>
      <c r="G580" t="s">
        <v>11</v>
      </c>
      <c r="H580" t="s">
        <v>38</v>
      </c>
      <c r="I580" t="s">
        <v>13</v>
      </c>
      <c r="J580" t="s">
        <v>13</v>
      </c>
    </row>
    <row r="581" spans="1:11" x14ac:dyDescent="0.25">
      <c r="A581" t="s">
        <v>39</v>
      </c>
      <c r="B581" t="s">
        <v>13</v>
      </c>
      <c r="C581" t="s">
        <v>7</v>
      </c>
      <c r="D581" t="s">
        <v>8</v>
      </c>
      <c r="E581">
        <v>79494000</v>
      </c>
      <c r="F581">
        <v>38186500</v>
      </c>
      <c r="G581" t="s">
        <v>11</v>
      </c>
      <c r="H581">
        <v>936226400</v>
      </c>
      <c r="I581" t="s">
        <v>13</v>
      </c>
      <c r="J581" t="s">
        <v>13</v>
      </c>
      <c r="K581">
        <v>4.08</v>
      </c>
    </row>
    <row r="583" spans="1:11" x14ac:dyDescent="0.25">
      <c r="A583" t="s">
        <v>169</v>
      </c>
      <c r="B583" t="str">
        <f>"70121"</f>
        <v>70121</v>
      </c>
      <c r="C583" t="str">
        <f>"001"</f>
        <v>001</v>
      </c>
      <c r="D583">
        <v>2015</v>
      </c>
      <c r="E583">
        <v>24955900</v>
      </c>
      <c r="F583">
        <v>22639600</v>
      </c>
      <c r="G583" t="s">
        <v>11</v>
      </c>
      <c r="H583" t="s">
        <v>38</v>
      </c>
      <c r="I583" t="s">
        <v>13</v>
      </c>
      <c r="J583" t="s">
        <v>13</v>
      </c>
    </row>
    <row r="584" spans="1:11" x14ac:dyDescent="0.25">
      <c r="A584" t="s">
        <v>5</v>
      </c>
      <c r="B584" t="str">
        <f>"70121"</f>
        <v>70121</v>
      </c>
      <c r="C584" t="str">
        <f>"002"</f>
        <v>002</v>
      </c>
      <c r="D584">
        <v>2016</v>
      </c>
      <c r="E584">
        <v>34888600</v>
      </c>
      <c r="F584">
        <v>5541200</v>
      </c>
      <c r="G584" t="s">
        <v>11</v>
      </c>
      <c r="H584" t="s">
        <v>38</v>
      </c>
      <c r="I584" t="s">
        <v>13</v>
      </c>
      <c r="J584" t="s">
        <v>13</v>
      </c>
    </row>
    <row r="585" spans="1:11" x14ac:dyDescent="0.25">
      <c r="A585" t="s">
        <v>5</v>
      </c>
      <c r="B585" t="str">
        <f>"70121"</f>
        <v>70121</v>
      </c>
      <c r="C585" t="str">
        <f>"003"</f>
        <v>003</v>
      </c>
      <c r="D585">
        <v>2017</v>
      </c>
      <c r="E585">
        <v>6163200</v>
      </c>
      <c r="F585">
        <v>6143200</v>
      </c>
      <c r="G585" t="s">
        <v>11</v>
      </c>
      <c r="H585" t="s">
        <v>38</v>
      </c>
      <c r="I585" t="s">
        <v>13</v>
      </c>
      <c r="J585" t="s">
        <v>13</v>
      </c>
    </row>
    <row r="586" spans="1:11" x14ac:dyDescent="0.25">
      <c r="A586" t="s">
        <v>39</v>
      </c>
      <c r="B586" t="s">
        <v>13</v>
      </c>
      <c r="C586" t="s">
        <v>7</v>
      </c>
      <c r="D586" t="s">
        <v>8</v>
      </c>
      <c r="E586">
        <v>66007700</v>
      </c>
      <c r="F586">
        <v>34324000</v>
      </c>
      <c r="G586" t="s">
        <v>11</v>
      </c>
      <c r="H586">
        <v>1644837000</v>
      </c>
      <c r="I586" t="s">
        <v>13</v>
      </c>
      <c r="J586" t="s">
        <v>13</v>
      </c>
      <c r="K586">
        <v>2.09</v>
      </c>
    </row>
    <row r="588" spans="1:11" x14ac:dyDescent="0.25">
      <c r="A588" t="s">
        <v>170</v>
      </c>
      <c r="B588" t="str">
        <f>"14226"</f>
        <v>14226</v>
      </c>
      <c r="C588" t="str">
        <f>"002"</f>
        <v>002</v>
      </c>
      <c r="D588">
        <v>2015</v>
      </c>
      <c r="E588">
        <v>8146800</v>
      </c>
      <c r="F588">
        <v>2429900</v>
      </c>
      <c r="G588" t="s">
        <v>11</v>
      </c>
      <c r="H588" t="s">
        <v>38</v>
      </c>
      <c r="I588" t="s">
        <v>13</v>
      </c>
      <c r="J588" t="s">
        <v>13</v>
      </c>
    </row>
    <row r="589" spans="1:11" x14ac:dyDescent="0.25">
      <c r="A589" t="s">
        <v>5</v>
      </c>
      <c r="B589" t="str">
        <f>"14226"</f>
        <v>14226</v>
      </c>
      <c r="C589" t="str">
        <f>"003"</f>
        <v>003</v>
      </c>
      <c r="D589">
        <v>2016</v>
      </c>
      <c r="E589">
        <v>3695200</v>
      </c>
      <c r="F589">
        <v>620100</v>
      </c>
      <c r="G589" t="s">
        <v>11</v>
      </c>
      <c r="H589" t="s">
        <v>38</v>
      </c>
      <c r="I589" t="s">
        <v>13</v>
      </c>
      <c r="J589" t="s">
        <v>13</v>
      </c>
    </row>
    <row r="590" spans="1:11" x14ac:dyDescent="0.25">
      <c r="A590" t="s">
        <v>39</v>
      </c>
      <c r="B590" t="s">
        <v>13</v>
      </c>
      <c r="C590" t="s">
        <v>7</v>
      </c>
      <c r="D590" t="s">
        <v>8</v>
      </c>
      <c r="E590">
        <v>11842000</v>
      </c>
      <c r="F590">
        <v>3050000</v>
      </c>
      <c r="G590" t="s">
        <v>11</v>
      </c>
      <c r="H590">
        <v>85770700</v>
      </c>
      <c r="I590" t="s">
        <v>13</v>
      </c>
      <c r="J590" t="s">
        <v>13</v>
      </c>
      <c r="K590">
        <v>3.56</v>
      </c>
    </row>
    <row r="592" spans="1:11" x14ac:dyDescent="0.25">
      <c r="A592" t="s">
        <v>171</v>
      </c>
      <c r="B592" t="str">
        <f>"36126"</f>
        <v>36126</v>
      </c>
      <c r="C592" t="str">
        <f>"002"</f>
        <v>002</v>
      </c>
      <c r="D592">
        <v>2004</v>
      </c>
      <c r="E592">
        <v>1360800</v>
      </c>
      <c r="F592">
        <v>1141200</v>
      </c>
      <c r="G592" t="s">
        <v>11</v>
      </c>
      <c r="H592" t="s">
        <v>38</v>
      </c>
      <c r="I592" t="s">
        <v>13</v>
      </c>
      <c r="J592" t="s">
        <v>13</v>
      </c>
    </row>
    <row r="593" spans="1:11" x14ac:dyDescent="0.25">
      <c r="A593" t="s">
        <v>39</v>
      </c>
      <c r="B593" t="s">
        <v>13</v>
      </c>
      <c r="C593" t="s">
        <v>7</v>
      </c>
      <c r="D593" t="s">
        <v>8</v>
      </c>
      <c r="E593">
        <v>1360800</v>
      </c>
      <c r="F593">
        <v>1141200</v>
      </c>
      <c r="G593" t="s">
        <v>11</v>
      </c>
      <c r="H593">
        <v>40881300</v>
      </c>
      <c r="I593" t="s">
        <v>13</v>
      </c>
      <c r="J593" t="s">
        <v>13</v>
      </c>
      <c r="K593">
        <v>2.79</v>
      </c>
    </row>
    <row r="595" spans="1:11" x14ac:dyDescent="0.25">
      <c r="A595" t="s">
        <v>172</v>
      </c>
      <c r="B595" t="str">
        <f>"40226"</f>
        <v>40226</v>
      </c>
      <c r="C595" t="str">
        <f>"003"</f>
        <v>003</v>
      </c>
      <c r="D595">
        <v>2005</v>
      </c>
      <c r="E595">
        <v>224669800</v>
      </c>
      <c r="F595">
        <v>51181600</v>
      </c>
      <c r="G595" t="s">
        <v>11</v>
      </c>
      <c r="H595" t="s">
        <v>38</v>
      </c>
      <c r="I595" t="s">
        <v>13</v>
      </c>
      <c r="J595" t="s">
        <v>13</v>
      </c>
    </row>
    <row r="596" spans="1:11" x14ac:dyDescent="0.25">
      <c r="A596" t="s">
        <v>5</v>
      </c>
      <c r="B596" t="str">
        <f>"40226"</f>
        <v>40226</v>
      </c>
      <c r="C596" t="str">
        <f>"004"</f>
        <v>004</v>
      </c>
      <c r="D596">
        <v>2005</v>
      </c>
      <c r="E596">
        <v>66249100</v>
      </c>
      <c r="F596">
        <v>46431200</v>
      </c>
      <c r="G596" t="s">
        <v>11</v>
      </c>
      <c r="H596" t="s">
        <v>38</v>
      </c>
      <c r="I596" t="s">
        <v>13</v>
      </c>
      <c r="J596" t="s">
        <v>13</v>
      </c>
    </row>
    <row r="597" spans="1:11" x14ac:dyDescent="0.25">
      <c r="A597" t="s">
        <v>5</v>
      </c>
      <c r="B597" t="str">
        <f>"40226"</f>
        <v>40226</v>
      </c>
      <c r="C597" t="str">
        <f>"005"</f>
        <v>005</v>
      </c>
      <c r="D597">
        <v>2016</v>
      </c>
      <c r="E597">
        <v>4305100</v>
      </c>
      <c r="F597">
        <v>1261200</v>
      </c>
      <c r="G597" t="s">
        <v>11</v>
      </c>
      <c r="H597" t="s">
        <v>38</v>
      </c>
      <c r="I597" t="s">
        <v>13</v>
      </c>
      <c r="J597" t="s">
        <v>13</v>
      </c>
    </row>
    <row r="598" spans="1:11" x14ac:dyDescent="0.25">
      <c r="A598" t="s">
        <v>39</v>
      </c>
      <c r="B598" t="s">
        <v>13</v>
      </c>
      <c r="C598" t="s">
        <v>7</v>
      </c>
      <c r="D598" t="s">
        <v>8</v>
      </c>
      <c r="E598">
        <v>295224000</v>
      </c>
      <c r="F598">
        <v>98874000</v>
      </c>
      <c r="G598" t="s">
        <v>11</v>
      </c>
      <c r="H598">
        <v>4022941400</v>
      </c>
      <c r="I598" t="s">
        <v>13</v>
      </c>
      <c r="J598" t="s">
        <v>13</v>
      </c>
      <c r="K598">
        <v>2.46</v>
      </c>
    </row>
    <row r="600" spans="1:11" x14ac:dyDescent="0.25">
      <c r="A600" t="s">
        <v>173</v>
      </c>
      <c r="B600" t="str">
        <f>"48126"</f>
        <v>48126</v>
      </c>
      <c r="C600" t="str">
        <f>"003"</f>
        <v>003</v>
      </c>
      <c r="D600">
        <v>2007</v>
      </c>
      <c r="E600">
        <v>802000</v>
      </c>
      <c r="F600">
        <v>-953300</v>
      </c>
      <c r="G600" t="s">
        <v>43</v>
      </c>
      <c r="H600" t="s">
        <v>38</v>
      </c>
      <c r="I600" t="s">
        <v>13</v>
      </c>
      <c r="J600" t="s">
        <v>13</v>
      </c>
    </row>
    <row r="601" spans="1:11" x14ac:dyDescent="0.25">
      <c r="A601" t="s">
        <v>39</v>
      </c>
      <c r="B601" t="s">
        <v>13</v>
      </c>
      <c r="C601" t="s">
        <v>7</v>
      </c>
      <c r="D601" t="s">
        <v>8</v>
      </c>
      <c r="E601">
        <v>802000</v>
      </c>
      <c r="F601">
        <v>0</v>
      </c>
      <c r="G601" t="s">
        <v>11</v>
      </c>
      <c r="H601">
        <v>57337400</v>
      </c>
      <c r="I601" t="s">
        <v>13</v>
      </c>
      <c r="J601" t="s">
        <v>13</v>
      </c>
      <c r="K601">
        <v>0</v>
      </c>
    </row>
    <row r="603" spans="1:11" x14ac:dyDescent="0.25">
      <c r="A603" t="s">
        <v>174</v>
      </c>
      <c r="B603" t="str">
        <f>"44018"</f>
        <v>44018</v>
      </c>
      <c r="C603" t="str">
        <f>"001A"</f>
        <v>001A</v>
      </c>
      <c r="D603">
        <v>2016</v>
      </c>
      <c r="E603">
        <v>2101000</v>
      </c>
      <c r="F603">
        <v>107400</v>
      </c>
      <c r="G603" t="s">
        <v>11</v>
      </c>
      <c r="H603" t="s">
        <v>38</v>
      </c>
      <c r="I603" t="s">
        <v>13</v>
      </c>
      <c r="J603" t="s">
        <v>13</v>
      </c>
    </row>
    <row r="604" spans="1:11" x14ac:dyDescent="0.25">
      <c r="A604" t="s">
        <v>5</v>
      </c>
      <c r="B604" t="str">
        <f>"44018"</f>
        <v>44018</v>
      </c>
      <c r="C604" t="str">
        <f>"002A"</f>
        <v>002A</v>
      </c>
      <c r="D604">
        <v>2017</v>
      </c>
      <c r="E604">
        <v>11650900</v>
      </c>
      <c r="F604">
        <v>-77500</v>
      </c>
      <c r="G604" t="s">
        <v>43</v>
      </c>
      <c r="H604" t="s">
        <v>38</v>
      </c>
      <c r="I604" t="s">
        <v>13</v>
      </c>
      <c r="J604" t="s">
        <v>13</v>
      </c>
    </row>
    <row r="605" spans="1:11" x14ac:dyDescent="0.25">
      <c r="A605" t="s">
        <v>39</v>
      </c>
      <c r="B605" t="s">
        <v>13</v>
      </c>
      <c r="C605" t="s">
        <v>7</v>
      </c>
      <c r="D605" t="s">
        <v>8</v>
      </c>
      <c r="E605">
        <v>13751900</v>
      </c>
      <c r="F605">
        <v>107400</v>
      </c>
      <c r="G605" t="s">
        <v>11</v>
      </c>
      <c r="H605">
        <v>533827200</v>
      </c>
      <c r="I605" t="s">
        <v>13</v>
      </c>
      <c r="J605" t="s">
        <v>13</v>
      </c>
      <c r="K605">
        <v>0.02</v>
      </c>
    </row>
    <row r="607" spans="1:11" x14ac:dyDescent="0.25">
      <c r="A607" t="s">
        <v>175</v>
      </c>
      <c r="B607" t="str">
        <f>"01126"</f>
        <v>01126</v>
      </c>
      <c r="C607" t="str">
        <f>"001"</f>
        <v>001</v>
      </c>
      <c r="D607">
        <v>1997</v>
      </c>
      <c r="E607">
        <v>5696400</v>
      </c>
      <c r="F607">
        <v>3000100</v>
      </c>
      <c r="G607" t="s">
        <v>11</v>
      </c>
      <c r="H607" t="s">
        <v>38</v>
      </c>
      <c r="I607" t="s">
        <v>13</v>
      </c>
      <c r="J607" t="s">
        <v>13</v>
      </c>
    </row>
    <row r="608" spans="1:11" x14ac:dyDescent="0.25">
      <c r="A608" t="s">
        <v>5</v>
      </c>
      <c r="B608" t="str">
        <f>"01126"</f>
        <v>01126</v>
      </c>
      <c r="C608" t="str">
        <f>"002"</f>
        <v>002</v>
      </c>
      <c r="D608">
        <v>2000</v>
      </c>
      <c r="E608">
        <v>191400</v>
      </c>
      <c r="F608">
        <v>43400</v>
      </c>
      <c r="G608" t="s">
        <v>11</v>
      </c>
      <c r="H608" t="s">
        <v>38</v>
      </c>
      <c r="I608" t="s">
        <v>13</v>
      </c>
      <c r="J608" t="s">
        <v>13</v>
      </c>
    </row>
    <row r="609" spans="1:11" x14ac:dyDescent="0.25">
      <c r="A609" t="s">
        <v>39</v>
      </c>
      <c r="B609" t="s">
        <v>13</v>
      </c>
      <c r="C609" t="s">
        <v>7</v>
      </c>
      <c r="D609" t="s">
        <v>8</v>
      </c>
      <c r="E609">
        <v>5887800</v>
      </c>
      <c r="F609">
        <v>3043500</v>
      </c>
      <c r="G609" t="s">
        <v>11</v>
      </c>
      <c r="H609">
        <v>27960300</v>
      </c>
      <c r="I609" t="s">
        <v>13</v>
      </c>
      <c r="J609" t="s">
        <v>13</v>
      </c>
      <c r="K609">
        <v>10.89</v>
      </c>
    </row>
    <row r="611" spans="1:11" x14ac:dyDescent="0.25">
      <c r="A611" t="s">
        <v>176</v>
      </c>
      <c r="B611" t="str">
        <f>"11127"</f>
        <v>11127</v>
      </c>
      <c r="C611" t="str">
        <f>"001"</f>
        <v>001</v>
      </c>
      <c r="D611">
        <v>1995</v>
      </c>
      <c r="E611">
        <v>6841200</v>
      </c>
      <c r="F611">
        <v>4313500</v>
      </c>
      <c r="G611" t="s">
        <v>11</v>
      </c>
      <c r="H611" t="s">
        <v>38</v>
      </c>
      <c r="I611" t="s">
        <v>13</v>
      </c>
      <c r="J611" t="s">
        <v>13</v>
      </c>
    </row>
    <row r="612" spans="1:11" x14ac:dyDescent="0.25">
      <c r="A612" t="s">
        <v>39</v>
      </c>
      <c r="B612" t="s">
        <v>13</v>
      </c>
      <c r="C612" t="s">
        <v>7</v>
      </c>
      <c r="D612" t="s">
        <v>8</v>
      </c>
      <c r="E612">
        <v>6841200</v>
      </c>
      <c r="F612">
        <v>4313500</v>
      </c>
      <c r="G612" t="s">
        <v>11</v>
      </c>
      <c r="H612">
        <v>19935000</v>
      </c>
      <c r="I612" t="s">
        <v>13</v>
      </c>
      <c r="J612" t="s">
        <v>13</v>
      </c>
      <c r="K612">
        <v>21.64</v>
      </c>
    </row>
    <row r="614" spans="1:11" x14ac:dyDescent="0.25">
      <c r="A614" t="s">
        <v>177</v>
      </c>
      <c r="B614" t="str">
        <f>"61231"</f>
        <v>61231</v>
      </c>
      <c r="C614" t="str">
        <f>"002"</f>
        <v>002</v>
      </c>
      <c r="D614">
        <v>2001</v>
      </c>
      <c r="E614">
        <v>7954900</v>
      </c>
      <c r="F614">
        <v>6916300</v>
      </c>
      <c r="G614" t="s">
        <v>11</v>
      </c>
      <c r="H614" t="s">
        <v>38</v>
      </c>
      <c r="I614" t="s">
        <v>13</v>
      </c>
      <c r="J614" t="s">
        <v>13</v>
      </c>
    </row>
    <row r="615" spans="1:11" x14ac:dyDescent="0.25">
      <c r="A615" t="s">
        <v>39</v>
      </c>
      <c r="B615" t="s">
        <v>13</v>
      </c>
      <c r="C615" t="s">
        <v>7</v>
      </c>
      <c r="D615" t="s">
        <v>8</v>
      </c>
      <c r="E615">
        <v>7954900</v>
      </c>
      <c r="F615">
        <v>6916300</v>
      </c>
      <c r="G615" t="s">
        <v>11</v>
      </c>
      <c r="H615">
        <v>98652000</v>
      </c>
      <c r="I615" t="s">
        <v>13</v>
      </c>
      <c r="J615" t="s">
        <v>13</v>
      </c>
      <c r="K615">
        <v>7.01</v>
      </c>
    </row>
    <row r="617" spans="1:11" x14ac:dyDescent="0.25">
      <c r="A617" t="s">
        <v>178</v>
      </c>
      <c r="B617" t="str">
        <f>"12131"</f>
        <v>12131</v>
      </c>
      <c r="C617" t="str">
        <f>"001"</f>
        <v>001</v>
      </c>
      <c r="D617">
        <v>2000</v>
      </c>
      <c r="E617">
        <v>2475200</v>
      </c>
      <c r="F617">
        <v>2467300</v>
      </c>
      <c r="G617" t="s">
        <v>11</v>
      </c>
      <c r="H617" t="s">
        <v>38</v>
      </c>
      <c r="I617" t="s">
        <v>13</v>
      </c>
      <c r="J617" t="s">
        <v>13</v>
      </c>
    </row>
    <row r="618" spans="1:11" x14ac:dyDescent="0.25">
      <c r="A618" t="s">
        <v>39</v>
      </c>
      <c r="B618" t="s">
        <v>13</v>
      </c>
      <c r="C618" t="s">
        <v>7</v>
      </c>
      <c r="D618" t="s">
        <v>8</v>
      </c>
      <c r="E618">
        <v>2475200</v>
      </c>
      <c r="F618">
        <v>2467300</v>
      </c>
      <c r="G618" t="s">
        <v>11</v>
      </c>
      <c r="H618">
        <v>26134800</v>
      </c>
      <c r="I618" t="s">
        <v>13</v>
      </c>
      <c r="J618" t="s">
        <v>13</v>
      </c>
      <c r="K618">
        <v>9.44</v>
      </c>
    </row>
    <row r="620" spans="1:11" x14ac:dyDescent="0.25">
      <c r="A620" t="s">
        <v>179</v>
      </c>
      <c r="B620" t="str">
        <f>"66131"</f>
        <v>66131</v>
      </c>
      <c r="C620" t="str">
        <f>"004"</f>
        <v>004</v>
      </c>
      <c r="D620">
        <v>1994</v>
      </c>
      <c r="E620">
        <v>120720400</v>
      </c>
      <c r="F620">
        <v>107763400</v>
      </c>
      <c r="G620" t="s">
        <v>11</v>
      </c>
      <c r="H620" t="s">
        <v>38</v>
      </c>
      <c r="I620" t="s">
        <v>13</v>
      </c>
      <c r="J620" t="s">
        <v>13</v>
      </c>
    </row>
    <row r="621" spans="1:11" x14ac:dyDescent="0.25">
      <c r="A621" t="s">
        <v>5</v>
      </c>
      <c r="B621" t="str">
        <f>"66131"</f>
        <v>66131</v>
      </c>
      <c r="C621" t="str">
        <f>"006"</f>
        <v>006</v>
      </c>
      <c r="D621">
        <v>2014</v>
      </c>
      <c r="E621">
        <v>7089600</v>
      </c>
      <c r="F621">
        <v>4293200</v>
      </c>
      <c r="G621" t="s">
        <v>11</v>
      </c>
      <c r="H621" t="s">
        <v>38</v>
      </c>
      <c r="I621" t="s">
        <v>13</v>
      </c>
      <c r="J621" t="s">
        <v>13</v>
      </c>
    </row>
    <row r="622" spans="1:11" x14ac:dyDescent="0.25">
      <c r="A622" t="s">
        <v>39</v>
      </c>
      <c r="B622" t="s">
        <v>13</v>
      </c>
      <c r="C622" t="s">
        <v>7</v>
      </c>
      <c r="D622" t="s">
        <v>8</v>
      </c>
      <c r="E622">
        <v>127810000</v>
      </c>
      <c r="F622">
        <v>112056600</v>
      </c>
      <c r="G622" t="s">
        <v>11</v>
      </c>
      <c r="H622">
        <v>2698776600</v>
      </c>
      <c r="I622" t="s">
        <v>13</v>
      </c>
      <c r="J622" t="s">
        <v>13</v>
      </c>
      <c r="K622">
        <v>4.1500000000000004</v>
      </c>
    </row>
    <row r="624" spans="1:11" x14ac:dyDescent="0.25">
      <c r="A624" t="s">
        <v>180</v>
      </c>
      <c r="B624" t="str">
        <f>"42231"</f>
        <v>42231</v>
      </c>
      <c r="C624" t="str">
        <f>"002"</f>
        <v>002</v>
      </c>
      <c r="D624">
        <v>1993</v>
      </c>
      <c r="E624">
        <v>1325800</v>
      </c>
      <c r="F624">
        <v>1278100</v>
      </c>
      <c r="G624" t="s">
        <v>11</v>
      </c>
      <c r="H624" t="s">
        <v>38</v>
      </c>
      <c r="I624" t="s">
        <v>13</v>
      </c>
      <c r="J624" t="s">
        <v>13</v>
      </c>
    </row>
    <row r="625" spans="1:11" x14ac:dyDescent="0.25">
      <c r="A625" t="s">
        <v>5</v>
      </c>
      <c r="B625" t="str">
        <f>"42231"</f>
        <v>42231</v>
      </c>
      <c r="C625" t="str">
        <f>"003"</f>
        <v>003</v>
      </c>
      <c r="D625">
        <v>2000</v>
      </c>
      <c r="E625">
        <v>10963900</v>
      </c>
      <c r="F625">
        <v>3593400</v>
      </c>
      <c r="G625" t="s">
        <v>11</v>
      </c>
      <c r="H625" t="s">
        <v>38</v>
      </c>
      <c r="I625" t="s">
        <v>13</v>
      </c>
      <c r="J625" t="s">
        <v>13</v>
      </c>
    </row>
    <row r="626" spans="1:11" x14ac:dyDescent="0.25">
      <c r="A626" t="s">
        <v>39</v>
      </c>
      <c r="B626" t="s">
        <v>13</v>
      </c>
      <c r="C626" t="s">
        <v>7</v>
      </c>
      <c r="D626" t="s">
        <v>8</v>
      </c>
      <c r="E626">
        <v>12289700</v>
      </c>
      <c r="F626">
        <v>4871500</v>
      </c>
      <c r="G626" t="s">
        <v>11</v>
      </c>
      <c r="H626">
        <v>59611400</v>
      </c>
      <c r="I626" t="s">
        <v>13</v>
      </c>
      <c r="J626" t="s">
        <v>13</v>
      </c>
      <c r="K626">
        <v>8.17</v>
      </c>
    </row>
    <row r="628" spans="1:11" x14ac:dyDescent="0.25">
      <c r="A628" t="s">
        <v>181</v>
      </c>
      <c r="B628" t="str">
        <f>"60131"</f>
        <v>60131</v>
      </c>
      <c r="C628" t="str">
        <f>"002"</f>
        <v>002</v>
      </c>
      <c r="D628">
        <v>1991</v>
      </c>
      <c r="E628">
        <v>3825100</v>
      </c>
      <c r="F628">
        <v>2947400</v>
      </c>
      <c r="G628" t="s">
        <v>11</v>
      </c>
      <c r="H628" t="s">
        <v>38</v>
      </c>
      <c r="I628" t="s">
        <v>13</v>
      </c>
      <c r="J628" t="s">
        <v>13</v>
      </c>
    </row>
    <row r="629" spans="1:11" x14ac:dyDescent="0.25">
      <c r="A629" t="s">
        <v>39</v>
      </c>
      <c r="B629" t="s">
        <v>13</v>
      </c>
      <c r="C629" t="s">
        <v>7</v>
      </c>
      <c r="D629" t="s">
        <v>8</v>
      </c>
      <c r="E629">
        <v>3825100</v>
      </c>
      <c r="F629">
        <v>2947400</v>
      </c>
      <c r="G629" t="s">
        <v>11</v>
      </c>
      <c r="H629">
        <v>18308600</v>
      </c>
      <c r="I629" t="s">
        <v>13</v>
      </c>
      <c r="J629" t="s">
        <v>13</v>
      </c>
      <c r="K629">
        <v>16.100000000000001</v>
      </c>
    </row>
    <row r="631" spans="1:11" x14ac:dyDescent="0.25">
      <c r="A631" t="s">
        <v>182</v>
      </c>
      <c r="B631" t="str">
        <f>"59131"</f>
        <v>59131</v>
      </c>
      <c r="C631" t="str">
        <f>"001"</f>
        <v>001</v>
      </c>
      <c r="D631">
        <v>2005</v>
      </c>
      <c r="E631">
        <v>3570900</v>
      </c>
      <c r="F631">
        <v>1708000</v>
      </c>
      <c r="G631" t="s">
        <v>11</v>
      </c>
      <c r="H631" t="s">
        <v>38</v>
      </c>
      <c r="I631" t="s">
        <v>13</v>
      </c>
      <c r="J631" t="s">
        <v>13</v>
      </c>
    </row>
    <row r="632" spans="1:11" x14ac:dyDescent="0.25">
      <c r="A632" t="s">
        <v>39</v>
      </c>
      <c r="B632" t="s">
        <v>13</v>
      </c>
      <c r="C632" t="s">
        <v>7</v>
      </c>
      <c r="D632" t="s">
        <v>8</v>
      </c>
      <c r="E632">
        <v>3570900</v>
      </c>
      <c r="F632">
        <v>1708000</v>
      </c>
      <c r="G632" t="s">
        <v>11</v>
      </c>
      <c r="H632">
        <v>32518900</v>
      </c>
      <c r="I632" t="s">
        <v>13</v>
      </c>
      <c r="J632" t="s">
        <v>13</v>
      </c>
      <c r="K632">
        <v>5.25</v>
      </c>
    </row>
    <row r="634" spans="1:11" x14ac:dyDescent="0.25">
      <c r="A634" t="s">
        <v>183</v>
      </c>
      <c r="B634" t="str">
        <f>"40231"</f>
        <v>40231</v>
      </c>
      <c r="C634" t="str">
        <f>"006"</f>
        <v>006</v>
      </c>
      <c r="D634">
        <v>1996</v>
      </c>
      <c r="E634">
        <v>161428100</v>
      </c>
      <c r="F634">
        <v>126094900</v>
      </c>
      <c r="G634" t="s">
        <v>11</v>
      </c>
      <c r="H634" t="s">
        <v>38</v>
      </c>
      <c r="I634" t="s">
        <v>13</v>
      </c>
      <c r="J634" t="s">
        <v>13</v>
      </c>
    </row>
    <row r="635" spans="1:11" x14ac:dyDescent="0.25">
      <c r="A635" t="s">
        <v>5</v>
      </c>
      <c r="B635" t="str">
        <f>"40231"</f>
        <v>40231</v>
      </c>
      <c r="C635" t="str">
        <f>"007"</f>
        <v>007</v>
      </c>
      <c r="D635">
        <v>1996</v>
      </c>
      <c r="E635">
        <v>107157600</v>
      </c>
      <c r="F635">
        <v>93121600</v>
      </c>
      <c r="G635" t="s">
        <v>11</v>
      </c>
      <c r="H635" t="s">
        <v>38</v>
      </c>
      <c r="I635" t="s">
        <v>13</v>
      </c>
      <c r="J635" t="s">
        <v>13</v>
      </c>
    </row>
    <row r="636" spans="1:11" x14ac:dyDescent="0.25">
      <c r="A636" t="s">
        <v>5</v>
      </c>
      <c r="B636" t="str">
        <f>"40231"</f>
        <v>40231</v>
      </c>
      <c r="C636" t="str">
        <f>"008"</f>
        <v>008</v>
      </c>
      <c r="D636">
        <v>2002</v>
      </c>
      <c r="E636">
        <v>300145400</v>
      </c>
      <c r="F636">
        <v>226411700</v>
      </c>
      <c r="G636" t="s">
        <v>11</v>
      </c>
      <c r="H636" t="s">
        <v>38</v>
      </c>
      <c r="I636" t="s">
        <v>13</v>
      </c>
      <c r="J636" t="s">
        <v>13</v>
      </c>
    </row>
    <row r="637" spans="1:11" x14ac:dyDescent="0.25">
      <c r="A637" t="s">
        <v>39</v>
      </c>
      <c r="B637" t="s">
        <v>13</v>
      </c>
      <c r="C637" t="s">
        <v>7</v>
      </c>
      <c r="D637" t="s">
        <v>8</v>
      </c>
      <c r="E637">
        <v>568731100</v>
      </c>
      <c r="F637">
        <v>445628200</v>
      </c>
      <c r="G637" t="s">
        <v>11</v>
      </c>
      <c r="H637">
        <v>2268180000</v>
      </c>
      <c r="I637" t="s">
        <v>13</v>
      </c>
      <c r="J637" t="s">
        <v>13</v>
      </c>
      <c r="K637">
        <v>19.649999999999999</v>
      </c>
    </row>
    <row r="639" spans="1:11" x14ac:dyDescent="0.25">
      <c r="A639" t="s">
        <v>184</v>
      </c>
      <c r="B639" t="str">
        <f>"55231"</f>
        <v>55231</v>
      </c>
      <c r="C639" t="str">
        <f>"003"</f>
        <v>003</v>
      </c>
      <c r="D639">
        <v>2000</v>
      </c>
      <c r="E639">
        <v>7341400</v>
      </c>
      <c r="F639">
        <v>2100800</v>
      </c>
      <c r="G639" t="s">
        <v>11</v>
      </c>
      <c r="H639" t="s">
        <v>38</v>
      </c>
      <c r="I639" t="s">
        <v>13</v>
      </c>
      <c r="J639" t="s">
        <v>13</v>
      </c>
    </row>
    <row r="640" spans="1:11" x14ac:dyDescent="0.25">
      <c r="A640" t="s">
        <v>39</v>
      </c>
      <c r="B640" t="s">
        <v>13</v>
      </c>
      <c r="C640" t="s">
        <v>7</v>
      </c>
      <c r="D640" t="s">
        <v>8</v>
      </c>
      <c r="E640">
        <v>7341400</v>
      </c>
      <c r="F640">
        <v>2100800</v>
      </c>
      <c r="G640" t="s">
        <v>11</v>
      </c>
      <c r="H640">
        <v>63901100</v>
      </c>
      <c r="I640" t="s">
        <v>13</v>
      </c>
      <c r="J640" t="s">
        <v>13</v>
      </c>
      <c r="K640">
        <v>3.29</v>
      </c>
    </row>
    <row r="642" spans="1:11" x14ac:dyDescent="0.25">
      <c r="A642" t="s">
        <v>185</v>
      </c>
      <c r="B642" t="str">
        <f>"45131"</f>
        <v>45131</v>
      </c>
      <c r="C642" t="str">
        <f>"002"</f>
        <v>002</v>
      </c>
      <c r="D642">
        <v>1996</v>
      </c>
      <c r="E642">
        <v>24459900</v>
      </c>
      <c r="F642">
        <v>23530400</v>
      </c>
      <c r="G642" t="s">
        <v>11</v>
      </c>
      <c r="H642" t="s">
        <v>38</v>
      </c>
      <c r="I642" t="s">
        <v>13</v>
      </c>
      <c r="J642" t="s">
        <v>13</v>
      </c>
    </row>
    <row r="643" spans="1:11" x14ac:dyDescent="0.25">
      <c r="A643" t="s">
        <v>5</v>
      </c>
      <c r="B643" t="str">
        <f>"45131"</f>
        <v>45131</v>
      </c>
      <c r="C643" t="str">
        <f>"003"</f>
        <v>003</v>
      </c>
      <c r="D643">
        <v>1999</v>
      </c>
      <c r="E643">
        <v>66469400</v>
      </c>
      <c r="F643">
        <v>45429500</v>
      </c>
      <c r="G643" t="s">
        <v>11</v>
      </c>
      <c r="H643" t="s">
        <v>38</v>
      </c>
      <c r="I643" t="s">
        <v>13</v>
      </c>
      <c r="J643" t="s">
        <v>13</v>
      </c>
    </row>
    <row r="644" spans="1:11" x14ac:dyDescent="0.25">
      <c r="A644" t="s">
        <v>5</v>
      </c>
      <c r="B644" t="str">
        <f>"45131"</f>
        <v>45131</v>
      </c>
      <c r="C644" t="str">
        <f>"004"</f>
        <v>004</v>
      </c>
      <c r="D644">
        <v>2004</v>
      </c>
      <c r="E644">
        <v>88900800</v>
      </c>
      <c r="F644">
        <v>41053400</v>
      </c>
      <c r="G644" t="s">
        <v>11</v>
      </c>
      <c r="H644" t="s">
        <v>38</v>
      </c>
      <c r="I644" t="s">
        <v>13</v>
      </c>
      <c r="J644" t="s">
        <v>13</v>
      </c>
    </row>
    <row r="645" spans="1:11" x14ac:dyDescent="0.25">
      <c r="A645" t="s">
        <v>5</v>
      </c>
      <c r="B645" t="str">
        <f>"45131"</f>
        <v>45131</v>
      </c>
      <c r="C645" t="str">
        <f>"005"</f>
        <v>005</v>
      </c>
      <c r="D645">
        <v>2006</v>
      </c>
      <c r="E645">
        <v>41815500</v>
      </c>
      <c r="F645">
        <v>41322000</v>
      </c>
      <c r="G645" t="s">
        <v>11</v>
      </c>
      <c r="H645" t="s">
        <v>38</v>
      </c>
      <c r="I645" t="s">
        <v>13</v>
      </c>
      <c r="J645" t="s">
        <v>13</v>
      </c>
    </row>
    <row r="646" spans="1:11" x14ac:dyDescent="0.25">
      <c r="A646" t="s">
        <v>39</v>
      </c>
      <c r="B646" t="s">
        <v>13</v>
      </c>
      <c r="C646" t="s">
        <v>7</v>
      </c>
      <c r="D646" t="s">
        <v>8</v>
      </c>
      <c r="E646">
        <v>221645600</v>
      </c>
      <c r="F646">
        <v>151335300</v>
      </c>
      <c r="G646" t="s">
        <v>11</v>
      </c>
      <c r="H646">
        <v>1410091900</v>
      </c>
      <c r="I646" t="s">
        <v>13</v>
      </c>
      <c r="J646" t="s">
        <v>13</v>
      </c>
      <c r="K646">
        <v>10.73</v>
      </c>
    </row>
    <row r="648" spans="1:11" x14ac:dyDescent="0.25">
      <c r="A648" t="s">
        <v>186</v>
      </c>
      <c r="B648" t="str">
        <f>"44020"</f>
        <v>44020</v>
      </c>
      <c r="C648" t="str">
        <f>"001A"</f>
        <v>001A</v>
      </c>
      <c r="D648">
        <v>2015</v>
      </c>
      <c r="E648">
        <v>16949900</v>
      </c>
      <c r="F648">
        <v>16942200</v>
      </c>
      <c r="G648" t="s">
        <v>11</v>
      </c>
      <c r="H648" t="s">
        <v>38</v>
      </c>
      <c r="I648" t="s">
        <v>13</v>
      </c>
      <c r="J648" t="s">
        <v>13</v>
      </c>
    </row>
    <row r="649" spans="1:11" x14ac:dyDescent="0.25">
      <c r="A649" t="s">
        <v>5</v>
      </c>
      <c r="B649" t="str">
        <f>"44020"</f>
        <v>44020</v>
      </c>
      <c r="C649" t="str">
        <f>"002A"</f>
        <v>002A</v>
      </c>
      <c r="D649">
        <v>2016</v>
      </c>
      <c r="E649">
        <v>40558800</v>
      </c>
      <c r="F649">
        <v>25683200</v>
      </c>
      <c r="G649" t="s">
        <v>11</v>
      </c>
      <c r="H649" t="s">
        <v>38</v>
      </c>
      <c r="I649" t="s">
        <v>13</v>
      </c>
      <c r="J649" t="s">
        <v>13</v>
      </c>
    </row>
    <row r="650" spans="1:11" x14ac:dyDescent="0.25">
      <c r="A650" t="s">
        <v>5</v>
      </c>
      <c r="B650" t="str">
        <f>"44020"</f>
        <v>44020</v>
      </c>
      <c r="C650" t="str">
        <f>"003A"</f>
        <v>003A</v>
      </c>
      <c r="D650">
        <v>2017</v>
      </c>
      <c r="E650">
        <v>15212100</v>
      </c>
      <c r="F650">
        <v>478700</v>
      </c>
      <c r="G650" t="s">
        <v>11</v>
      </c>
      <c r="H650" t="s">
        <v>38</v>
      </c>
      <c r="I650" t="s">
        <v>13</v>
      </c>
      <c r="J650" t="s">
        <v>13</v>
      </c>
    </row>
    <row r="651" spans="1:11" x14ac:dyDescent="0.25">
      <c r="A651" t="s">
        <v>39</v>
      </c>
      <c r="B651" t="s">
        <v>13</v>
      </c>
      <c r="C651" t="s">
        <v>7</v>
      </c>
      <c r="D651" t="s">
        <v>8</v>
      </c>
      <c r="E651">
        <v>72720800</v>
      </c>
      <c r="F651">
        <v>43104100</v>
      </c>
      <c r="G651" t="s">
        <v>11</v>
      </c>
      <c r="H651">
        <v>2657993100</v>
      </c>
      <c r="I651" t="s">
        <v>13</v>
      </c>
      <c r="J651" t="s">
        <v>13</v>
      </c>
      <c r="K651">
        <v>1.62</v>
      </c>
    </row>
    <row r="653" spans="1:11" x14ac:dyDescent="0.25">
      <c r="A653" t="s">
        <v>187</v>
      </c>
      <c r="B653" t="str">
        <f>"10131"</f>
        <v>10131</v>
      </c>
      <c r="C653" t="str">
        <f>"001"</f>
        <v>001</v>
      </c>
      <c r="D653">
        <v>2009</v>
      </c>
      <c r="E653">
        <v>1918200</v>
      </c>
      <c r="F653">
        <v>555200</v>
      </c>
      <c r="G653" t="s">
        <v>11</v>
      </c>
      <c r="H653" t="s">
        <v>38</v>
      </c>
      <c r="I653" t="s">
        <v>13</v>
      </c>
      <c r="J653" t="s">
        <v>13</v>
      </c>
    </row>
    <row r="654" spans="1:11" x14ac:dyDescent="0.25">
      <c r="A654" t="s">
        <v>39</v>
      </c>
      <c r="B654" t="s">
        <v>13</v>
      </c>
      <c r="C654" t="s">
        <v>7</v>
      </c>
      <c r="D654" t="s">
        <v>8</v>
      </c>
      <c r="E654">
        <v>1918200</v>
      </c>
      <c r="F654">
        <v>555200</v>
      </c>
      <c r="G654" t="s">
        <v>11</v>
      </c>
      <c r="H654">
        <v>12483400</v>
      </c>
      <c r="I654" t="s">
        <v>13</v>
      </c>
      <c r="J654" t="s">
        <v>13</v>
      </c>
      <c r="K654">
        <v>4.45</v>
      </c>
    </row>
    <row r="656" spans="1:11" x14ac:dyDescent="0.25">
      <c r="A656" t="s">
        <v>188</v>
      </c>
      <c r="B656" t="str">
        <f>"07131"</f>
        <v>07131</v>
      </c>
      <c r="C656" t="str">
        <f>"003"</f>
        <v>003</v>
      </c>
      <c r="D656">
        <v>1994</v>
      </c>
      <c r="E656">
        <v>7815800</v>
      </c>
      <c r="F656">
        <v>6658500</v>
      </c>
      <c r="G656" t="s">
        <v>11</v>
      </c>
      <c r="H656" t="s">
        <v>38</v>
      </c>
      <c r="I656" t="s">
        <v>13</v>
      </c>
      <c r="J656" t="s">
        <v>13</v>
      </c>
    </row>
    <row r="657" spans="1:11" x14ac:dyDescent="0.25">
      <c r="A657" t="s">
        <v>5</v>
      </c>
      <c r="B657" t="str">
        <f>"07131"</f>
        <v>07131</v>
      </c>
      <c r="C657" t="str">
        <f>"004"</f>
        <v>004</v>
      </c>
      <c r="D657">
        <v>2005</v>
      </c>
      <c r="E657">
        <v>3898300</v>
      </c>
      <c r="F657">
        <v>2807300</v>
      </c>
      <c r="G657" t="s">
        <v>11</v>
      </c>
      <c r="H657" t="s">
        <v>38</v>
      </c>
      <c r="I657" t="s">
        <v>13</v>
      </c>
      <c r="J657" t="s">
        <v>13</v>
      </c>
    </row>
    <row r="658" spans="1:11" x14ac:dyDescent="0.25">
      <c r="A658" t="s">
        <v>5</v>
      </c>
      <c r="B658" t="str">
        <f>"07131"</f>
        <v>07131</v>
      </c>
      <c r="C658" t="str">
        <f>"005"</f>
        <v>005</v>
      </c>
      <c r="D658">
        <v>2008</v>
      </c>
      <c r="E658">
        <v>63500</v>
      </c>
      <c r="F658">
        <v>-149100</v>
      </c>
      <c r="G658" t="s">
        <v>43</v>
      </c>
      <c r="H658" t="s">
        <v>38</v>
      </c>
      <c r="I658" t="s">
        <v>13</v>
      </c>
      <c r="J658" t="s">
        <v>13</v>
      </c>
    </row>
    <row r="659" spans="1:11" x14ac:dyDescent="0.25">
      <c r="A659" t="s">
        <v>39</v>
      </c>
      <c r="B659" t="s">
        <v>13</v>
      </c>
      <c r="C659" t="s">
        <v>7</v>
      </c>
      <c r="D659" t="s">
        <v>8</v>
      </c>
      <c r="E659">
        <v>11777600</v>
      </c>
      <c r="F659">
        <v>9465800</v>
      </c>
      <c r="G659" t="s">
        <v>11</v>
      </c>
      <c r="H659">
        <v>65723500</v>
      </c>
      <c r="I659" t="s">
        <v>13</v>
      </c>
      <c r="J659" t="s">
        <v>13</v>
      </c>
      <c r="K659">
        <v>14.4</v>
      </c>
    </row>
    <row r="661" spans="1:11" x14ac:dyDescent="0.25">
      <c r="A661" t="s">
        <v>189</v>
      </c>
      <c r="B661" t="str">
        <f>"33131"</f>
        <v>33131</v>
      </c>
      <c r="C661" t="str">
        <f>"001"</f>
        <v>001</v>
      </c>
      <c r="D661">
        <v>2001</v>
      </c>
      <c r="E661">
        <v>1393300</v>
      </c>
      <c r="F661">
        <v>943400</v>
      </c>
      <c r="G661" t="s">
        <v>11</v>
      </c>
      <c r="H661" t="s">
        <v>38</v>
      </c>
      <c r="I661" t="s">
        <v>13</v>
      </c>
      <c r="J661" t="s">
        <v>13</v>
      </c>
    </row>
    <row r="662" spans="1:11" x14ac:dyDescent="0.25">
      <c r="A662" t="s">
        <v>39</v>
      </c>
      <c r="B662" t="s">
        <v>13</v>
      </c>
      <c r="C662" t="s">
        <v>7</v>
      </c>
      <c r="D662" t="s">
        <v>8</v>
      </c>
      <c r="E662">
        <v>1393300</v>
      </c>
      <c r="F662">
        <v>943400</v>
      </c>
      <c r="G662" t="s">
        <v>11</v>
      </c>
      <c r="H662">
        <v>7985900</v>
      </c>
      <c r="I662" t="s">
        <v>13</v>
      </c>
      <c r="J662" t="s">
        <v>13</v>
      </c>
      <c r="K662">
        <v>11.81</v>
      </c>
    </row>
    <row r="664" spans="1:11" x14ac:dyDescent="0.25">
      <c r="A664" t="s">
        <v>190</v>
      </c>
      <c r="B664" t="str">
        <f t="shared" ref="B664:B676" si="7">"05231"</f>
        <v>05231</v>
      </c>
      <c r="C664" t="str">
        <f>"004"</f>
        <v>004</v>
      </c>
      <c r="D664">
        <v>1998</v>
      </c>
      <c r="E664">
        <v>48854400</v>
      </c>
      <c r="F664">
        <v>21900400</v>
      </c>
      <c r="G664" t="s">
        <v>11</v>
      </c>
      <c r="H664" t="s">
        <v>38</v>
      </c>
      <c r="I664" t="s">
        <v>13</v>
      </c>
      <c r="J664" t="s">
        <v>13</v>
      </c>
    </row>
    <row r="665" spans="1:11" x14ac:dyDescent="0.25">
      <c r="A665" t="s">
        <v>5</v>
      </c>
      <c r="B665" t="str">
        <f t="shared" si="7"/>
        <v>05231</v>
      </c>
      <c r="C665" t="str">
        <f>"005"</f>
        <v>005</v>
      </c>
      <c r="D665">
        <v>2000</v>
      </c>
      <c r="E665">
        <v>135132300</v>
      </c>
      <c r="F665">
        <v>75055500</v>
      </c>
      <c r="G665" t="s">
        <v>11</v>
      </c>
      <c r="H665" t="s">
        <v>38</v>
      </c>
      <c r="I665" t="s">
        <v>13</v>
      </c>
      <c r="J665" t="s">
        <v>13</v>
      </c>
    </row>
    <row r="666" spans="1:11" x14ac:dyDescent="0.25">
      <c r="A666" t="s">
        <v>5</v>
      </c>
      <c r="B666" t="str">
        <f t="shared" si="7"/>
        <v>05231</v>
      </c>
      <c r="C666" t="str">
        <f>"007"</f>
        <v>007</v>
      </c>
      <c r="D666">
        <v>2002</v>
      </c>
      <c r="E666">
        <v>45284200</v>
      </c>
      <c r="F666">
        <v>30914700</v>
      </c>
      <c r="G666" t="s">
        <v>11</v>
      </c>
      <c r="H666" t="s">
        <v>38</v>
      </c>
      <c r="I666" t="s">
        <v>13</v>
      </c>
      <c r="J666" t="s">
        <v>13</v>
      </c>
    </row>
    <row r="667" spans="1:11" x14ac:dyDescent="0.25">
      <c r="A667" t="s">
        <v>5</v>
      </c>
      <c r="B667" t="str">
        <f t="shared" si="7"/>
        <v>05231</v>
      </c>
      <c r="C667" t="str">
        <f>"008"</f>
        <v>008</v>
      </c>
      <c r="D667">
        <v>2002</v>
      </c>
      <c r="E667">
        <v>18511800</v>
      </c>
      <c r="F667">
        <v>12173100</v>
      </c>
      <c r="G667" t="s">
        <v>11</v>
      </c>
      <c r="H667" t="s">
        <v>38</v>
      </c>
      <c r="I667" t="s">
        <v>13</v>
      </c>
      <c r="J667" t="s">
        <v>13</v>
      </c>
    </row>
    <row r="668" spans="1:11" x14ac:dyDescent="0.25">
      <c r="A668" t="s">
        <v>5</v>
      </c>
      <c r="B668" t="str">
        <f t="shared" si="7"/>
        <v>05231</v>
      </c>
      <c r="C668" t="str">
        <f>"009"</f>
        <v>009</v>
      </c>
      <c r="D668">
        <v>2004</v>
      </c>
      <c r="E668">
        <v>11447500</v>
      </c>
      <c r="F668">
        <v>7655200</v>
      </c>
      <c r="G668" t="s">
        <v>11</v>
      </c>
      <c r="H668" t="s">
        <v>38</v>
      </c>
      <c r="I668" t="s">
        <v>13</v>
      </c>
      <c r="J668" t="s">
        <v>13</v>
      </c>
    </row>
    <row r="669" spans="1:11" x14ac:dyDescent="0.25">
      <c r="A669" t="s">
        <v>5</v>
      </c>
      <c r="B669" t="str">
        <f t="shared" si="7"/>
        <v>05231</v>
      </c>
      <c r="C669" t="str">
        <f>"010"</f>
        <v>010</v>
      </c>
      <c r="D669">
        <v>2004</v>
      </c>
      <c r="E669">
        <v>32486100</v>
      </c>
      <c r="F669">
        <v>8083600</v>
      </c>
      <c r="G669" t="s">
        <v>11</v>
      </c>
      <c r="H669" t="s">
        <v>38</v>
      </c>
      <c r="I669" t="s">
        <v>13</v>
      </c>
      <c r="J669" t="s">
        <v>13</v>
      </c>
    </row>
    <row r="670" spans="1:11" x14ac:dyDescent="0.25">
      <c r="A670" t="s">
        <v>5</v>
      </c>
      <c r="B670" t="str">
        <f t="shared" si="7"/>
        <v>05231</v>
      </c>
      <c r="C670" t="str">
        <f>"012"</f>
        <v>012</v>
      </c>
      <c r="D670">
        <v>2005</v>
      </c>
      <c r="E670">
        <v>271543600</v>
      </c>
      <c r="F670">
        <v>75167200</v>
      </c>
      <c r="G670" t="s">
        <v>11</v>
      </c>
      <c r="H670" t="s">
        <v>38</v>
      </c>
      <c r="I670" t="s">
        <v>13</v>
      </c>
      <c r="J670" t="s">
        <v>13</v>
      </c>
    </row>
    <row r="671" spans="1:11" x14ac:dyDescent="0.25">
      <c r="A671" t="s">
        <v>5</v>
      </c>
      <c r="B671" t="str">
        <f t="shared" si="7"/>
        <v>05231</v>
      </c>
      <c r="C671" t="str">
        <f>"013"</f>
        <v>013</v>
      </c>
      <c r="D671">
        <v>2005</v>
      </c>
      <c r="E671">
        <v>126402700</v>
      </c>
      <c r="F671">
        <v>80042200</v>
      </c>
      <c r="G671" t="s">
        <v>11</v>
      </c>
      <c r="H671" t="s">
        <v>38</v>
      </c>
      <c r="I671" t="s">
        <v>13</v>
      </c>
      <c r="J671" t="s">
        <v>13</v>
      </c>
    </row>
    <row r="672" spans="1:11" x14ac:dyDescent="0.25">
      <c r="A672" t="s">
        <v>5</v>
      </c>
      <c r="B672" t="str">
        <f t="shared" si="7"/>
        <v>05231</v>
      </c>
      <c r="C672" t="str">
        <f>"014"</f>
        <v>014</v>
      </c>
      <c r="D672">
        <v>2006</v>
      </c>
      <c r="E672">
        <v>17597500</v>
      </c>
      <c r="F672">
        <v>11495300</v>
      </c>
      <c r="G672" t="s">
        <v>11</v>
      </c>
      <c r="H672" t="s">
        <v>38</v>
      </c>
      <c r="I672" t="s">
        <v>13</v>
      </c>
      <c r="J672" t="s">
        <v>13</v>
      </c>
    </row>
    <row r="673" spans="1:11" x14ac:dyDescent="0.25">
      <c r="A673" t="s">
        <v>5</v>
      </c>
      <c r="B673" t="str">
        <f t="shared" si="7"/>
        <v>05231</v>
      </c>
      <c r="C673" t="str">
        <f>"016"</f>
        <v>016</v>
      </c>
      <c r="D673">
        <v>2007</v>
      </c>
      <c r="E673">
        <v>96064200</v>
      </c>
      <c r="F673">
        <v>13701000</v>
      </c>
      <c r="G673" t="s">
        <v>11</v>
      </c>
      <c r="H673" t="s">
        <v>38</v>
      </c>
      <c r="I673" t="s">
        <v>13</v>
      </c>
      <c r="J673" t="s">
        <v>13</v>
      </c>
    </row>
    <row r="674" spans="1:11" x14ac:dyDescent="0.25">
      <c r="A674" t="s">
        <v>5</v>
      </c>
      <c r="B674" t="str">
        <f t="shared" si="7"/>
        <v>05231</v>
      </c>
      <c r="C674" t="str">
        <f>"017"</f>
        <v>017</v>
      </c>
      <c r="D674">
        <v>2008</v>
      </c>
      <c r="E674">
        <v>471800</v>
      </c>
      <c r="F674">
        <v>287900</v>
      </c>
      <c r="G674" t="s">
        <v>11</v>
      </c>
      <c r="H674" t="s">
        <v>38</v>
      </c>
      <c r="I674" t="s">
        <v>13</v>
      </c>
      <c r="J674" t="s">
        <v>13</v>
      </c>
    </row>
    <row r="675" spans="1:11" x14ac:dyDescent="0.25">
      <c r="A675" t="s">
        <v>5</v>
      </c>
      <c r="B675" t="str">
        <f t="shared" si="7"/>
        <v>05231</v>
      </c>
      <c r="C675" t="str">
        <f>"018"</f>
        <v>018</v>
      </c>
      <c r="D675">
        <v>2016</v>
      </c>
      <c r="E675">
        <v>40409400</v>
      </c>
      <c r="F675">
        <v>10648700</v>
      </c>
      <c r="G675" t="s">
        <v>11</v>
      </c>
      <c r="H675" t="s">
        <v>38</v>
      </c>
      <c r="I675" t="s">
        <v>13</v>
      </c>
      <c r="J675" t="s">
        <v>13</v>
      </c>
    </row>
    <row r="676" spans="1:11" x14ac:dyDescent="0.25">
      <c r="A676" t="s">
        <v>5</v>
      </c>
      <c r="B676" t="str">
        <f t="shared" si="7"/>
        <v>05231</v>
      </c>
      <c r="C676" t="str">
        <f>"019"</f>
        <v>019</v>
      </c>
      <c r="D676">
        <v>2017</v>
      </c>
      <c r="E676">
        <v>33410200</v>
      </c>
      <c r="F676">
        <v>6382700</v>
      </c>
      <c r="G676" t="s">
        <v>11</v>
      </c>
      <c r="H676" t="s">
        <v>38</v>
      </c>
      <c r="I676" t="s">
        <v>13</v>
      </c>
      <c r="J676" t="s">
        <v>13</v>
      </c>
    </row>
    <row r="677" spans="1:11" x14ac:dyDescent="0.25">
      <c r="A677" t="s">
        <v>39</v>
      </c>
      <c r="B677" t="s">
        <v>13</v>
      </c>
      <c r="C677" t="s">
        <v>7</v>
      </c>
      <c r="D677" t="s">
        <v>8</v>
      </c>
      <c r="E677">
        <v>877615700</v>
      </c>
      <c r="F677">
        <v>353507500</v>
      </c>
      <c r="G677" t="s">
        <v>11</v>
      </c>
      <c r="H677">
        <v>6603759000</v>
      </c>
      <c r="I677" t="s">
        <v>13</v>
      </c>
      <c r="J677" t="s">
        <v>13</v>
      </c>
      <c r="K677">
        <v>5.35</v>
      </c>
    </row>
    <row r="679" spans="1:11" x14ac:dyDescent="0.25">
      <c r="A679" t="s">
        <v>191</v>
      </c>
      <c r="B679" t="str">
        <f>"24231"</f>
        <v>24231</v>
      </c>
      <c r="C679" t="str">
        <f>"003"</f>
        <v>003</v>
      </c>
      <c r="D679">
        <v>2005</v>
      </c>
      <c r="E679">
        <v>25528500</v>
      </c>
      <c r="F679">
        <v>16532700</v>
      </c>
      <c r="G679" t="s">
        <v>11</v>
      </c>
      <c r="H679" t="s">
        <v>38</v>
      </c>
      <c r="I679" t="s">
        <v>13</v>
      </c>
      <c r="J679" t="s">
        <v>13</v>
      </c>
    </row>
    <row r="680" spans="1:11" x14ac:dyDescent="0.25">
      <c r="A680" t="s">
        <v>5</v>
      </c>
      <c r="B680" t="str">
        <f>"24231"</f>
        <v>24231</v>
      </c>
      <c r="C680" t="str">
        <f>"004"</f>
        <v>004</v>
      </c>
      <c r="D680">
        <v>2009</v>
      </c>
      <c r="E680">
        <v>159400</v>
      </c>
      <c r="F680">
        <v>-78300</v>
      </c>
      <c r="G680" t="s">
        <v>43</v>
      </c>
      <c r="H680" t="s">
        <v>38</v>
      </c>
      <c r="I680" t="s">
        <v>13</v>
      </c>
      <c r="J680" t="s">
        <v>13</v>
      </c>
    </row>
    <row r="681" spans="1:11" x14ac:dyDescent="0.25">
      <c r="A681" t="s">
        <v>39</v>
      </c>
      <c r="B681" t="s">
        <v>13</v>
      </c>
      <c r="C681" t="s">
        <v>7</v>
      </c>
      <c r="D681" t="s">
        <v>8</v>
      </c>
      <c r="E681">
        <v>25687900</v>
      </c>
      <c r="F681">
        <v>16532700</v>
      </c>
      <c r="G681" t="s">
        <v>11</v>
      </c>
      <c r="H681">
        <v>233457200</v>
      </c>
      <c r="I681" t="s">
        <v>13</v>
      </c>
      <c r="J681" t="s">
        <v>13</v>
      </c>
      <c r="K681">
        <v>7.08</v>
      </c>
    </row>
    <row r="683" spans="1:11" x14ac:dyDescent="0.25">
      <c r="A683" t="s">
        <v>192</v>
      </c>
      <c r="B683" t="str">
        <f>"40131"</f>
        <v>40131</v>
      </c>
      <c r="C683" t="str">
        <f>"001"</f>
        <v>001</v>
      </c>
      <c r="D683">
        <v>2010</v>
      </c>
      <c r="E683">
        <v>10596600</v>
      </c>
      <c r="F683">
        <v>9973500</v>
      </c>
      <c r="G683" t="s">
        <v>11</v>
      </c>
      <c r="H683" t="s">
        <v>38</v>
      </c>
      <c r="I683" t="s">
        <v>13</v>
      </c>
      <c r="J683" t="s">
        <v>13</v>
      </c>
    </row>
    <row r="684" spans="1:11" x14ac:dyDescent="0.25">
      <c r="A684" t="s">
        <v>5</v>
      </c>
      <c r="B684" t="str">
        <f>"40131"</f>
        <v>40131</v>
      </c>
      <c r="C684" t="str">
        <f>"002"</f>
        <v>002</v>
      </c>
      <c r="D684">
        <v>2011</v>
      </c>
      <c r="E684">
        <v>169434000</v>
      </c>
      <c r="F684">
        <v>63940900</v>
      </c>
      <c r="G684" t="s">
        <v>11</v>
      </c>
      <c r="H684" t="s">
        <v>38</v>
      </c>
      <c r="I684" t="s">
        <v>13</v>
      </c>
      <c r="J684" t="s">
        <v>13</v>
      </c>
    </row>
    <row r="685" spans="1:11" x14ac:dyDescent="0.25">
      <c r="A685" t="s">
        <v>5</v>
      </c>
      <c r="B685" t="str">
        <f>"40131"</f>
        <v>40131</v>
      </c>
      <c r="C685" t="str">
        <f>"003"</f>
        <v>003</v>
      </c>
      <c r="D685">
        <v>2011</v>
      </c>
      <c r="E685">
        <v>17518300</v>
      </c>
      <c r="F685">
        <v>11017400</v>
      </c>
      <c r="G685" t="s">
        <v>11</v>
      </c>
      <c r="H685" t="s">
        <v>38</v>
      </c>
      <c r="I685" t="s">
        <v>13</v>
      </c>
      <c r="J685" t="s">
        <v>13</v>
      </c>
    </row>
    <row r="686" spans="1:11" x14ac:dyDescent="0.25">
      <c r="A686" t="s">
        <v>5</v>
      </c>
      <c r="B686" t="str">
        <f>"40131"</f>
        <v>40131</v>
      </c>
      <c r="C686" t="str">
        <f>"004"</f>
        <v>004</v>
      </c>
      <c r="D686">
        <v>2016</v>
      </c>
      <c r="E686">
        <v>33617900</v>
      </c>
      <c r="F686">
        <v>26141100</v>
      </c>
      <c r="G686" t="s">
        <v>11</v>
      </c>
      <c r="H686" t="s">
        <v>38</v>
      </c>
      <c r="I686" t="s">
        <v>13</v>
      </c>
      <c r="J686" t="s">
        <v>13</v>
      </c>
    </row>
    <row r="687" spans="1:11" x14ac:dyDescent="0.25">
      <c r="A687" t="s">
        <v>39</v>
      </c>
      <c r="B687" t="s">
        <v>13</v>
      </c>
      <c r="C687" t="s">
        <v>7</v>
      </c>
      <c r="D687" t="s">
        <v>8</v>
      </c>
      <c r="E687">
        <v>231166800</v>
      </c>
      <c r="F687">
        <v>111072900</v>
      </c>
      <c r="G687" t="s">
        <v>11</v>
      </c>
      <c r="H687">
        <v>1513716500</v>
      </c>
      <c r="I687" t="s">
        <v>13</v>
      </c>
      <c r="J687" t="s">
        <v>13</v>
      </c>
      <c r="K687">
        <v>7.34</v>
      </c>
    </row>
    <row r="689" spans="1:11" x14ac:dyDescent="0.25">
      <c r="A689" t="s">
        <v>193</v>
      </c>
      <c r="B689" t="str">
        <f>"40236"</f>
        <v>40236</v>
      </c>
      <c r="C689" t="str">
        <f>"002"</f>
        <v>002</v>
      </c>
      <c r="D689">
        <v>2007</v>
      </c>
      <c r="E689">
        <v>52784400</v>
      </c>
      <c r="F689">
        <v>37809800</v>
      </c>
      <c r="G689" t="s">
        <v>11</v>
      </c>
      <c r="H689" t="s">
        <v>38</v>
      </c>
      <c r="I689" t="s">
        <v>13</v>
      </c>
      <c r="J689" t="s">
        <v>13</v>
      </c>
    </row>
    <row r="690" spans="1:11" x14ac:dyDescent="0.25">
      <c r="A690" t="s">
        <v>5</v>
      </c>
      <c r="B690" t="str">
        <f>"40236"</f>
        <v>40236</v>
      </c>
      <c r="C690" t="str">
        <f>"003"</f>
        <v>003</v>
      </c>
      <c r="D690">
        <v>2009</v>
      </c>
      <c r="E690">
        <v>75110500</v>
      </c>
      <c r="F690">
        <v>-620500</v>
      </c>
      <c r="G690" t="s">
        <v>43</v>
      </c>
      <c r="H690" t="s">
        <v>38</v>
      </c>
      <c r="I690" t="s">
        <v>13</v>
      </c>
      <c r="J690" t="s">
        <v>13</v>
      </c>
    </row>
    <row r="691" spans="1:11" x14ac:dyDescent="0.25">
      <c r="A691" t="s">
        <v>5</v>
      </c>
      <c r="B691" t="str">
        <f>"40236"</f>
        <v>40236</v>
      </c>
      <c r="C691" t="str">
        <f>"004"</f>
        <v>004</v>
      </c>
      <c r="D691">
        <v>2015</v>
      </c>
      <c r="E691">
        <v>50601200</v>
      </c>
      <c r="F691">
        <v>25162500</v>
      </c>
      <c r="G691" t="s">
        <v>11</v>
      </c>
      <c r="H691" t="s">
        <v>38</v>
      </c>
      <c r="I691" t="s">
        <v>13</v>
      </c>
      <c r="J691" t="s">
        <v>13</v>
      </c>
    </row>
    <row r="692" spans="1:11" x14ac:dyDescent="0.25">
      <c r="A692" t="s">
        <v>5</v>
      </c>
      <c r="B692" t="str">
        <f>"40236"</f>
        <v>40236</v>
      </c>
      <c r="C692" t="str">
        <f>"005"</f>
        <v>005</v>
      </c>
      <c r="D692">
        <v>2015</v>
      </c>
      <c r="E692">
        <v>6373400</v>
      </c>
      <c r="F692">
        <v>-547600</v>
      </c>
      <c r="G692" t="s">
        <v>43</v>
      </c>
      <c r="H692" t="s">
        <v>38</v>
      </c>
      <c r="I692" t="s">
        <v>13</v>
      </c>
      <c r="J692" t="s">
        <v>13</v>
      </c>
    </row>
    <row r="693" spans="1:11" x14ac:dyDescent="0.25">
      <c r="A693" t="s">
        <v>5</v>
      </c>
      <c r="B693" t="str">
        <f>"40236"</f>
        <v>40236</v>
      </c>
      <c r="C693" t="str">
        <f>"006"</f>
        <v>006</v>
      </c>
      <c r="D693">
        <v>2015</v>
      </c>
      <c r="E693">
        <v>66071100</v>
      </c>
      <c r="F693">
        <v>58112000</v>
      </c>
      <c r="G693" t="s">
        <v>11</v>
      </c>
      <c r="H693" t="s">
        <v>38</v>
      </c>
      <c r="I693" t="s">
        <v>13</v>
      </c>
      <c r="J693" t="s">
        <v>13</v>
      </c>
    </row>
    <row r="694" spans="1:11" x14ac:dyDescent="0.25">
      <c r="A694" t="s">
        <v>39</v>
      </c>
      <c r="B694" t="s">
        <v>13</v>
      </c>
      <c r="C694" t="s">
        <v>7</v>
      </c>
      <c r="D694" t="s">
        <v>8</v>
      </c>
      <c r="E694">
        <v>250940600</v>
      </c>
      <c r="F694">
        <v>121084300</v>
      </c>
      <c r="G694" t="s">
        <v>11</v>
      </c>
      <c r="H694">
        <v>2988433200</v>
      </c>
      <c r="I694" t="s">
        <v>13</v>
      </c>
      <c r="J694" t="s">
        <v>13</v>
      </c>
      <c r="K694">
        <v>4.05</v>
      </c>
    </row>
    <row r="696" spans="1:11" x14ac:dyDescent="0.25">
      <c r="A696" t="s">
        <v>194</v>
      </c>
      <c r="B696" t="str">
        <f>"44022"</f>
        <v>44022</v>
      </c>
      <c r="C696" t="str">
        <f>"001A"</f>
        <v>001A</v>
      </c>
      <c r="D696">
        <v>2017</v>
      </c>
      <c r="E696">
        <v>11288900</v>
      </c>
      <c r="F696">
        <v>-221600</v>
      </c>
      <c r="G696" t="s">
        <v>43</v>
      </c>
      <c r="H696" t="s">
        <v>38</v>
      </c>
      <c r="I696" t="s">
        <v>13</v>
      </c>
      <c r="J696" t="s">
        <v>13</v>
      </c>
    </row>
    <row r="697" spans="1:11" x14ac:dyDescent="0.25">
      <c r="A697" t="s">
        <v>39</v>
      </c>
      <c r="B697" t="s">
        <v>13</v>
      </c>
      <c r="C697" t="s">
        <v>7</v>
      </c>
      <c r="D697" t="s">
        <v>8</v>
      </c>
      <c r="E697">
        <v>11288900</v>
      </c>
      <c r="F697">
        <v>0</v>
      </c>
      <c r="G697" t="s">
        <v>11</v>
      </c>
      <c r="H697">
        <v>1323094600</v>
      </c>
      <c r="I697" t="s">
        <v>13</v>
      </c>
      <c r="J697" t="s">
        <v>13</v>
      </c>
      <c r="K697">
        <v>0</v>
      </c>
    </row>
    <row r="699" spans="1:11" x14ac:dyDescent="0.25">
      <c r="A699" t="s">
        <v>195</v>
      </c>
      <c r="B699" t="str">
        <f>"10231"</f>
        <v>10231</v>
      </c>
      <c r="C699" t="str">
        <f>"001"</f>
        <v>001</v>
      </c>
      <c r="D699">
        <v>1991</v>
      </c>
      <c r="E699">
        <v>1245900</v>
      </c>
      <c r="F699">
        <v>1006900</v>
      </c>
      <c r="G699" t="s">
        <v>11</v>
      </c>
      <c r="H699" t="s">
        <v>38</v>
      </c>
      <c r="I699" t="s">
        <v>13</v>
      </c>
      <c r="J699" t="s">
        <v>13</v>
      </c>
    </row>
    <row r="700" spans="1:11" x14ac:dyDescent="0.25">
      <c r="A700" t="s">
        <v>5</v>
      </c>
      <c r="B700" t="str">
        <f>"10231"</f>
        <v>10231</v>
      </c>
      <c r="C700" t="str">
        <f>"002"</f>
        <v>002</v>
      </c>
      <c r="D700">
        <v>1998</v>
      </c>
      <c r="E700">
        <v>239200</v>
      </c>
      <c r="F700">
        <v>180900</v>
      </c>
      <c r="G700" t="s">
        <v>11</v>
      </c>
      <c r="H700" t="s">
        <v>38</v>
      </c>
      <c r="I700" t="s">
        <v>13</v>
      </c>
      <c r="J700" t="s">
        <v>13</v>
      </c>
    </row>
    <row r="701" spans="1:11" x14ac:dyDescent="0.25">
      <c r="A701" t="s">
        <v>39</v>
      </c>
      <c r="B701" t="s">
        <v>13</v>
      </c>
      <c r="C701" t="s">
        <v>7</v>
      </c>
      <c r="D701" t="s">
        <v>8</v>
      </c>
      <c r="E701">
        <v>1485100</v>
      </c>
      <c r="F701">
        <v>1187800</v>
      </c>
      <c r="G701" t="s">
        <v>11</v>
      </c>
      <c r="H701">
        <v>41150200</v>
      </c>
      <c r="I701" t="s">
        <v>13</v>
      </c>
      <c r="J701" t="s">
        <v>13</v>
      </c>
      <c r="K701">
        <v>2.89</v>
      </c>
    </row>
    <row r="703" spans="1:11" x14ac:dyDescent="0.25">
      <c r="A703" t="s">
        <v>196</v>
      </c>
      <c r="B703" t="str">
        <f>"58131"</f>
        <v>58131</v>
      </c>
      <c r="C703" t="str">
        <f>"001"</f>
        <v>001</v>
      </c>
      <c r="D703">
        <v>2011</v>
      </c>
      <c r="E703">
        <v>1324700</v>
      </c>
      <c r="F703">
        <v>73100</v>
      </c>
      <c r="G703" t="s">
        <v>11</v>
      </c>
      <c r="H703" t="s">
        <v>38</v>
      </c>
      <c r="I703" t="s">
        <v>13</v>
      </c>
      <c r="J703" t="s">
        <v>13</v>
      </c>
    </row>
    <row r="704" spans="1:11" x14ac:dyDescent="0.25">
      <c r="A704" t="s">
        <v>5</v>
      </c>
      <c r="B704" t="str">
        <f>"58131"</f>
        <v>58131</v>
      </c>
      <c r="C704" t="str">
        <f>"002"</f>
        <v>002</v>
      </c>
      <c r="D704">
        <v>2015</v>
      </c>
      <c r="E704">
        <v>2546900</v>
      </c>
      <c r="F704">
        <v>64900</v>
      </c>
      <c r="G704" t="s">
        <v>11</v>
      </c>
      <c r="H704" t="s">
        <v>38</v>
      </c>
      <c r="I704" t="s">
        <v>13</v>
      </c>
      <c r="J704" t="s">
        <v>13</v>
      </c>
    </row>
    <row r="705" spans="1:11" x14ac:dyDescent="0.25">
      <c r="A705" t="s">
        <v>39</v>
      </c>
      <c r="B705" t="s">
        <v>13</v>
      </c>
      <c r="C705" t="s">
        <v>7</v>
      </c>
      <c r="D705" t="s">
        <v>8</v>
      </c>
      <c r="E705">
        <v>3871600</v>
      </c>
      <c r="F705">
        <v>138000</v>
      </c>
      <c r="G705" t="s">
        <v>11</v>
      </c>
      <c r="H705">
        <v>19462300</v>
      </c>
      <c r="I705" t="s">
        <v>13</v>
      </c>
      <c r="J705" t="s">
        <v>13</v>
      </c>
      <c r="K705">
        <v>0.71</v>
      </c>
    </row>
    <row r="707" spans="1:11" x14ac:dyDescent="0.25">
      <c r="A707" t="s">
        <v>197</v>
      </c>
      <c r="B707" t="str">
        <f>"40136"</f>
        <v>40136</v>
      </c>
      <c r="C707" t="str">
        <f>"003"</f>
        <v>003</v>
      </c>
      <c r="D707">
        <v>2008</v>
      </c>
      <c r="E707">
        <v>9300200</v>
      </c>
      <c r="F707">
        <v>3150400</v>
      </c>
      <c r="G707" t="s">
        <v>11</v>
      </c>
      <c r="H707" t="s">
        <v>38</v>
      </c>
      <c r="I707" t="s">
        <v>13</v>
      </c>
      <c r="J707" t="s">
        <v>13</v>
      </c>
    </row>
    <row r="708" spans="1:11" x14ac:dyDescent="0.25">
      <c r="A708" t="s">
        <v>5</v>
      </c>
      <c r="B708" t="str">
        <f>"40136"</f>
        <v>40136</v>
      </c>
      <c r="C708" t="str">
        <f>"004"</f>
        <v>004</v>
      </c>
      <c r="D708">
        <v>2016</v>
      </c>
      <c r="E708">
        <v>14353800</v>
      </c>
      <c r="F708">
        <v>2376600</v>
      </c>
      <c r="G708" t="s">
        <v>11</v>
      </c>
      <c r="H708" t="s">
        <v>38</v>
      </c>
      <c r="I708" t="s">
        <v>13</v>
      </c>
      <c r="J708" t="s">
        <v>13</v>
      </c>
    </row>
    <row r="709" spans="1:11" x14ac:dyDescent="0.25">
      <c r="A709" t="s">
        <v>39</v>
      </c>
      <c r="B709" t="s">
        <v>13</v>
      </c>
      <c r="C709" t="s">
        <v>7</v>
      </c>
      <c r="D709" t="s">
        <v>8</v>
      </c>
      <c r="E709">
        <v>23654000</v>
      </c>
      <c r="F709">
        <v>5527000</v>
      </c>
      <c r="G709" t="s">
        <v>11</v>
      </c>
      <c r="H709">
        <v>676077800</v>
      </c>
      <c r="I709" t="s">
        <v>13</v>
      </c>
      <c r="J709" t="s">
        <v>13</v>
      </c>
      <c r="K709">
        <v>0.82</v>
      </c>
    </row>
    <row r="711" spans="1:11" x14ac:dyDescent="0.25">
      <c r="A711" t="s">
        <v>198</v>
      </c>
      <c r="B711" t="str">
        <f>"55136"</f>
        <v>55136</v>
      </c>
      <c r="C711" t="str">
        <f>"003"</f>
        <v>003</v>
      </c>
      <c r="D711">
        <v>1993</v>
      </c>
      <c r="E711">
        <v>512700</v>
      </c>
      <c r="F711">
        <v>373500</v>
      </c>
      <c r="G711" t="s">
        <v>11</v>
      </c>
      <c r="H711" t="s">
        <v>38</v>
      </c>
      <c r="I711" t="s">
        <v>13</v>
      </c>
      <c r="J711" t="s">
        <v>13</v>
      </c>
    </row>
    <row r="712" spans="1:11" x14ac:dyDescent="0.25">
      <c r="A712" t="s">
        <v>5</v>
      </c>
      <c r="B712" t="str">
        <f>"55136"</f>
        <v>55136</v>
      </c>
      <c r="C712" t="str">
        <f>"004"</f>
        <v>004</v>
      </c>
      <c r="D712">
        <v>1993</v>
      </c>
      <c r="E712">
        <v>497600</v>
      </c>
      <c r="F712">
        <v>296500</v>
      </c>
      <c r="G712" t="s">
        <v>11</v>
      </c>
      <c r="H712" t="s">
        <v>38</v>
      </c>
      <c r="I712" t="s">
        <v>13</v>
      </c>
      <c r="J712" t="s">
        <v>13</v>
      </c>
    </row>
    <row r="713" spans="1:11" x14ac:dyDescent="0.25">
      <c r="A713" t="s">
        <v>5</v>
      </c>
      <c r="B713" t="str">
        <f>"55136"</f>
        <v>55136</v>
      </c>
      <c r="C713" t="str">
        <f>"005"</f>
        <v>005</v>
      </c>
      <c r="D713">
        <v>1995</v>
      </c>
      <c r="E713">
        <v>14066000</v>
      </c>
      <c r="F713">
        <v>13923400</v>
      </c>
      <c r="G713" t="s">
        <v>11</v>
      </c>
      <c r="H713" t="s">
        <v>38</v>
      </c>
      <c r="I713" t="s">
        <v>13</v>
      </c>
      <c r="J713" t="s">
        <v>13</v>
      </c>
    </row>
    <row r="714" spans="1:11" x14ac:dyDescent="0.25">
      <c r="A714" t="s">
        <v>39</v>
      </c>
      <c r="B714" t="s">
        <v>13</v>
      </c>
      <c r="C714" t="s">
        <v>7</v>
      </c>
      <c r="D714" t="s">
        <v>8</v>
      </c>
      <c r="E714">
        <v>15076300</v>
      </c>
      <c r="F714">
        <v>14593400</v>
      </c>
      <c r="G714" t="s">
        <v>11</v>
      </c>
      <c r="H714">
        <v>133238500</v>
      </c>
      <c r="I714" t="s">
        <v>13</v>
      </c>
      <c r="J714" t="s">
        <v>13</v>
      </c>
      <c r="K714">
        <v>10.95</v>
      </c>
    </row>
    <row r="716" spans="1:11" x14ac:dyDescent="0.25">
      <c r="A716" t="s">
        <v>199</v>
      </c>
      <c r="B716" t="str">
        <f>"69136"</f>
        <v>69136</v>
      </c>
      <c r="C716" t="str">
        <f>"001"</f>
        <v>001</v>
      </c>
      <c r="D716">
        <v>2016</v>
      </c>
      <c r="E716">
        <v>599800</v>
      </c>
      <c r="F716">
        <v>125900</v>
      </c>
      <c r="G716" t="s">
        <v>11</v>
      </c>
      <c r="H716" t="s">
        <v>38</v>
      </c>
      <c r="I716" t="s">
        <v>13</v>
      </c>
      <c r="J716" t="s">
        <v>13</v>
      </c>
    </row>
    <row r="717" spans="1:11" x14ac:dyDescent="0.25">
      <c r="A717" t="s">
        <v>39</v>
      </c>
      <c r="B717" t="s">
        <v>13</v>
      </c>
      <c r="C717" t="s">
        <v>7</v>
      </c>
      <c r="D717" t="s">
        <v>8</v>
      </c>
      <c r="E717">
        <v>599800</v>
      </c>
      <c r="F717">
        <v>125900</v>
      </c>
      <c r="G717" t="s">
        <v>11</v>
      </c>
      <c r="H717">
        <v>17011100</v>
      </c>
      <c r="I717" t="s">
        <v>13</v>
      </c>
      <c r="J717" t="s">
        <v>13</v>
      </c>
      <c r="K717">
        <v>0.74</v>
      </c>
    </row>
    <row r="719" spans="1:11" x14ac:dyDescent="0.25">
      <c r="A719" t="s">
        <v>200</v>
      </c>
      <c r="B719" t="str">
        <f>"08131"</f>
        <v>08131</v>
      </c>
      <c r="C719" t="str">
        <f>"001"</f>
        <v>001</v>
      </c>
      <c r="D719">
        <v>2013</v>
      </c>
      <c r="E719">
        <v>38047400</v>
      </c>
      <c r="F719">
        <v>37262300</v>
      </c>
      <c r="G719" t="s">
        <v>11</v>
      </c>
      <c r="H719" t="s">
        <v>38</v>
      </c>
      <c r="I719" t="s">
        <v>13</v>
      </c>
      <c r="J719" t="s">
        <v>13</v>
      </c>
    </row>
    <row r="720" spans="1:11" x14ac:dyDescent="0.25">
      <c r="A720" t="s">
        <v>39</v>
      </c>
      <c r="B720" t="s">
        <v>13</v>
      </c>
      <c r="C720" t="s">
        <v>7</v>
      </c>
      <c r="D720" t="s">
        <v>8</v>
      </c>
      <c r="E720">
        <v>38047400</v>
      </c>
      <c r="F720">
        <v>37262300</v>
      </c>
      <c r="G720" t="s">
        <v>11</v>
      </c>
      <c r="H720">
        <v>1123583900</v>
      </c>
      <c r="I720" t="s">
        <v>13</v>
      </c>
      <c r="J720" t="s">
        <v>13</v>
      </c>
      <c r="K720">
        <v>3.32</v>
      </c>
    </row>
    <row r="722" spans="1:11" x14ac:dyDescent="0.25">
      <c r="A722" t="s">
        <v>201</v>
      </c>
      <c r="B722" t="str">
        <f>"66236"</f>
        <v>66236</v>
      </c>
      <c r="C722" t="str">
        <f>"006"</f>
        <v>006</v>
      </c>
      <c r="D722">
        <v>2008</v>
      </c>
      <c r="E722">
        <v>1702300</v>
      </c>
      <c r="F722">
        <v>602300</v>
      </c>
      <c r="G722" t="s">
        <v>11</v>
      </c>
      <c r="H722" t="s">
        <v>38</v>
      </c>
      <c r="I722" t="s">
        <v>13</v>
      </c>
      <c r="J722" t="s">
        <v>13</v>
      </c>
    </row>
    <row r="723" spans="1:11" x14ac:dyDescent="0.25">
      <c r="A723" t="s">
        <v>5</v>
      </c>
      <c r="B723" t="str">
        <f>"66236"</f>
        <v>66236</v>
      </c>
      <c r="C723" t="str">
        <f>"007"</f>
        <v>007</v>
      </c>
      <c r="D723">
        <v>2011</v>
      </c>
      <c r="E723">
        <v>2663500</v>
      </c>
      <c r="F723">
        <v>2659900</v>
      </c>
      <c r="G723" t="s">
        <v>11</v>
      </c>
      <c r="H723" t="s">
        <v>38</v>
      </c>
      <c r="I723" t="s">
        <v>13</v>
      </c>
      <c r="J723" t="s">
        <v>13</v>
      </c>
    </row>
    <row r="724" spans="1:11" x14ac:dyDescent="0.25">
      <c r="A724" t="s">
        <v>5</v>
      </c>
      <c r="B724" t="str">
        <f>"14230"</f>
        <v>14230</v>
      </c>
      <c r="C724" t="str">
        <f>"007"</f>
        <v>007</v>
      </c>
      <c r="D724">
        <v>2011</v>
      </c>
      <c r="E724">
        <v>6025000</v>
      </c>
      <c r="F724">
        <v>6011200</v>
      </c>
      <c r="G724" t="s">
        <v>11</v>
      </c>
      <c r="H724" t="s">
        <v>38</v>
      </c>
      <c r="I724" t="s">
        <v>13</v>
      </c>
      <c r="J724" t="s">
        <v>13</v>
      </c>
    </row>
    <row r="725" spans="1:11" x14ac:dyDescent="0.25">
      <c r="A725" t="s">
        <v>5</v>
      </c>
      <c r="B725" t="str">
        <f>"66236"</f>
        <v>66236</v>
      </c>
      <c r="C725" t="str">
        <f>"008"</f>
        <v>008</v>
      </c>
      <c r="D725">
        <v>2013</v>
      </c>
      <c r="E725">
        <v>8613500</v>
      </c>
      <c r="F725">
        <v>2566100</v>
      </c>
      <c r="G725" t="s">
        <v>11</v>
      </c>
      <c r="H725" t="s">
        <v>38</v>
      </c>
      <c r="I725" t="s">
        <v>13</v>
      </c>
      <c r="J725" t="s">
        <v>13</v>
      </c>
    </row>
    <row r="726" spans="1:11" x14ac:dyDescent="0.25">
      <c r="A726" t="s">
        <v>5</v>
      </c>
      <c r="B726" t="str">
        <f>"14230"</f>
        <v>14230</v>
      </c>
      <c r="C726" t="str">
        <f>"009"</f>
        <v>009</v>
      </c>
      <c r="D726">
        <v>2015</v>
      </c>
      <c r="E726">
        <v>9813600</v>
      </c>
      <c r="F726">
        <v>5384700</v>
      </c>
      <c r="G726" t="s">
        <v>11</v>
      </c>
      <c r="H726" t="s">
        <v>38</v>
      </c>
      <c r="I726" t="s">
        <v>13</v>
      </c>
      <c r="J726" t="s">
        <v>13</v>
      </c>
    </row>
    <row r="727" spans="1:11" x14ac:dyDescent="0.25">
      <c r="A727" t="s">
        <v>5</v>
      </c>
      <c r="B727" t="str">
        <f>"66236"</f>
        <v>66236</v>
      </c>
      <c r="C727" t="str">
        <f>"010"</f>
        <v>010</v>
      </c>
      <c r="D727">
        <v>2017</v>
      </c>
      <c r="E727">
        <v>4787400</v>
      </c>
      <c r="F727">
        <v>-4200</v>
      </c>
      <c r="G727" t="s">
        <v>43</v>
      </c>
      <c r="H727" t="s">
        <v>38</v>
      </c>
      <c r="I727" t="s">
        <v>13</v>
      </c>
      <c r="J727" t="s">
        <v>13</v>
      </c>
    </row>
    <row r="728" spans="1:11" x14ac:dyDescent="0.25">
      <c r="A728" t="s">
        <v>5</v>
      </c>
      <c r="B728" t="str">
        <f>"66236"</f>
        <v>66236</v>
      </c>
      <c r="C728" t="str">
        <f>"011"</f>
        <v>011</v>
      </c>
      <c r="D728">
        <v>2017</v>
      </c>
      <c r="E728">
        <v>13978500</v>
      </c>
      <c r="F728">
        <v>2389800</v>
      </c>
      <c r="G728" t="s">
        <v>11</v>
      </c>
      <c r="H728" t="s">
        <v>38</v>
      </c>
      <c r="I728" t="s">
        <v>13</v>
      </c>
      <c r="J728" t="s">
        <v>13</v>
      </c>
    </row>
    <row r="729" spans="1:11" x14ac:dyDescent="0.25">
      <c r="A729" t="s">
        <v>39</v>
      </c>
      <c r="B729" t="s">
        <v>13</v>
      </c>
      <c r="C729" t="s">
        <v>7</v>
      </c>
      <c r="D729" t="s">
        <v>8</v>
      </c>
      <c r="E729">
        <v>47583800</v>
      </c>
      <c r="F729">
        <v>19614000</v>
      </c>
      <c r="G729" t="s">
        <v>11</v>
      </c>
      <c r="H729">
        <v>1365295600</v>
      </c>
      <c r="I729" t="s">
        <v>13</v>
      </c>
      <c r="J729" t="s">
        <v>13</v>
      </c>
      <c r="K729">
        <v>1.44</v>
      </c>
    </row>
    <row r="731" spans="1:11" x14ac:dyDescent="0.25">
      <c r="A731" t="s">
        <v>202</v>
      </c>
      <c r="B731" t="str">
        <f>"67136"</f>
        <v>67136</v>
      </c>
      <c r="C731" t="str">
        <f>"004"</f>
        <v>004</v>
      </c>
      <c r="D731">
        <v>2008</v>
      </c>
      <c r="E731">
        <v>2505800</v>
      </c>
      <c r="F731">
        <v>1487500</v>
      </c>
      <c r="G731" t="s">
        <v>11</v>
      </c>
      <c r="H731" t="s">
        <v>38</v>
      </c>
      <c r="I731" t="s">
        <v>13</v>
      </c>
      <c r="J731" t="s">
        <v>13</v>
      </c>
    </row>
    <row r="732" spans="1:11" x14ac:dyDescent="0.25">
      <c r="A732" t="s">
        <v>5</v>
      </c>
      <c r="B732" t="str">
        <f>"67136"</f>
        <v>67136</v>
      </c>
      <c r="C732" t="str">
        <f>"005"</f>
        <v>005</v>
      </c>
      <c r="D732">
        <v>2011</v>
      </c>
      <c r="E732">
        <v>1581400</v>
      </c>
      <c r="F732">
        <v>1227600</v>
      </c>
      <c r="G732" t="s">
        <v>11</v>
      </c>
      <c r="H732" t="s">
        <v>38</v>
      </c>
      <c r="I732" t="s">
        <v>13</v>
      </c>
      <c r="J732" t="s">
        <v>13</v>
      </c>
    </row>
    <row r="733" spans="1:11" x14ac:dyDescent="0.25">
      <c r="A733" t="s">
        <v>5</v>
      </c>
      <c r="B733" t="str">
        <f>"67136"</f>
        <v>67136</v>
      </c>
      <c r="C733" t="str">
        <f>"006"</f>
        <v>006</v>
      </c>
      <c r="D733">
        <v>2015</v>
      </c>
      <c r="E733">
        <v>11340700</v>
      </c>
      <c r="F733">
        <v>10010400</v>
      </c>
      <c r="G733" t="s">
        <v>11</v>
      </c>
      <c r="H733" t="s">
        <v>38</v>
      </c>
      <c r="I733" t="s">
        <v>13</v>
      </c>
      <c r="J733" t="s">
        <v>13</v>
      </c>
    </row>
    <row r="734" spans="1:11" x14ac:dyDescent="0.25">
      <c r="A734" t="s">
        <v>39</v>
      </c>
      <c r="B734" t="s">
        <v>13</v>
      </c>
      <c r="C734" t="s">
        <v>7</v>
      </c>
      <c r="D734" t="s">
        <v>8</v>
      </c>
      <c r="E734">
        <v>15427900</v>
      </c>
      <c r="F734">
        <v>12725500</v>
      </c>
      <c r="G734" t="s">
        <v>11</v>
      </c>
      <c r="H734">
        <v>1322284700</v>
      </c>
      <c r="I734" t="s">
        <v>13</v>
      </c>
      <c r="J734" t="s">
        <v>13</v>
      </c>
      <c r="K734">
        <v>0.96</v>
      </c>
    </row>
    <row r="736" spans="1:11" x14ac:dyDescent="0.25">
      <c r="A736" t="s">
        <v>203</v>
      </c>
      <c r="B736" t="str">
        <f>"37136"</f>
        <v>37136</v>
      </c>
      <c r="C736" t="str">
        <f>"001"</f>
        <v>001</v>
      </c>
      <c r="D736">
        <v>2007</v>
      </c>
      <c r="E736">
        <v>8769600</v>
      </c>
      <c r="F736">
        <v>5529100</v>
      </c>
      <c r="G736" t="s">
        <v>11</v>
      </c>
      <c r="H736" t="s">
        <v>38</v>
      </c>
      <c r="I736" t="s">
        <v>13</v>
      </c>
      <c r="J736" t="s">
        <v>13</v>
      </c>
    </row>
    <row r="737" spans="1:11" x14ac:dyDescent="0.25">
      <c r="A737" t="s">
        <v>39</v>
      </c>
      <c r="B737" t="s">
        <v>13</v>
      </c>
      <c r="C737" t="s">
        <v>7</v>
      </c>
      <c r="D737" t="s">
        <v>8</v>
      </c>
      <c r="E737">
        <v>8769600</v>
      </c>
      <c r="F737">
        <v>5529100</v>
      </c>
      <c r="G737" t="s">
        <v>11</v>
      </c>
      <c r="H737">
        <v>35704500</v>
      </c>
      <c r="I737" t="s">
        <v>13</v>
      </c>
      <c r="J737" t="s">
        <v>13</v>
      </c>
      <c r="K737">
        <v>15.49</v>
      </c>
    </row>
    <row r="739" spans="1:11" x14ac:dyDescent="0.25">
      <c r="A739" t="s">
        <v>204</v>
      </c>
      <c r="B739" t="str">
        <f>"54136"</f>
        <v>54136</v>
      </c>
      <c r="C739" t="str">
        <f>"002"</f>
        <v>002</v>
      </c>
      <c r="D739">
        <v>2005</v>
      </c>
      <c r="E739">
        <v>0</v>
      </c>
      <c r="F739">
        <v>-59400</v>
      </c>
      <c r="G739" t="s">
        <v>43</v>
      </c>
      <c r="H739" t="s">
        <v>38</v>
      </c>
      <c r="I739" t="s">
        <v>13</v>
      </c>
      <c r="J739" t="s">
        <v>13</v>
      </c>
    </row>
    <row r="740" spans="1:11" x14ac:dyDescent="0.25">
      <c r="A740" t="s">
        <v>5</v>
      </c>
      <c r="B740" t="str">
        <f>"54136"</f>
        <v>54136</v>
      </c>
      <c r="C740" t="str">
        <f>"003"</f>
        <v>003</v>
      </c>
      <c r="D740">
        <v>2010</v>
      </c>
      <c r="E740">
        <v>620300</v>
      </c>
      <c r="F740">
        <v>523700</v>
      </c>
      <c r="G740" t="s">
        <v>11</v>
      </c>
      <c r="H740" t="s">
        <v>38</v>
      </c>
      <c r="I740" t="s">
        <v>13</v>
      </c>
      <c r="J740" t="s">
        <v>13</v>
      </c>
    </row>
    <row r="741" spans="1:11" x14ac:dyDescent="0.25">
      <c r="A741" t="s">
        <v>39</v>
      </c>
      <c r="B741" t="s">
        <v>13</v>
      </c>
      <c r="C741" t="s">
        <v>7</v>
      </c>
      <c r="D741" t="s">
        <v>8</v>
      </c>
      <c r="E741">
        <v>620300</v>
      </c>
      <c r="F741">
        <v>523700</v>
      </c>
      <c r="G741" t="s">
        <v>11</v>
      </c>
      <c r="H741">
        <v>13722000</v>
      </c>
      <c r="I741" t="s">
        <v>13</v>
      </c>
      <c r="J741" t="s">
        <v>13</v>
      </c>
      <c r="K741">
        <v>3.82</v>
      </c>
    </row>
    <row r="743" spans="1:11" x14ac:dyDescent="0.25">
      <c r="A743" t="s">
        <v>205</v>
      </c>
      <c r="B743" t="str">
        <f>"22136"</f>
        <v>22136</v>
      </c>
      <c r="C743" t="str">
        <f>"001"</f>
        <v>001</v>
      </c>
      <c r="D743">
        <v>1997</v>
      </c>
      <c r="E743">
        <v>2112900</v>
      </c>
      <c r="F743">
        <v>1289000</v>
      </c>
      <c r="G743" t="s">
        <v>11</v>
      </c>
      <c r="H743" t="s">
        <v>38</v>
      </c>
      <c r="I743" t="s">
        <v>13</v>
      </c>
      <c r="J743" t="s">
        <v>13</v>
      </c>
    </row>
    <row r="744" spans="1:11" x14ac:dyDescent="0.25">
      <c r="A744" t="s">
        <v>39</v>
      </c>
      <c r="B744" t="s">
        <v>13</v>
      </c>
      <c r="C744" t="s">
        <v>7</v>
      </c>
      <c r="D744" t="s">
        <v>8</v>
      </c>
      <c r="E744">
        <v>2112900</v>
      </c>
      <c r="F744">
        <v>1289000</v>
      </c>
      <c r="G744" t="s">
        <v>11</v>
      </c>
      <c r="H744">
        <v>58584500</v>
      </c>
      <c r="I744" t="s">
        <v>13</v>
      </c>
      <c r="J744" t="s">
        <v>13</v>
      </c>
      <c r="K744">
        <v>2.2000000000000002</v>
      </c>
    </row>
    <row r="746" spans="1:11" x14ac:dyDescent="0.25">
      <c r="A746" t="s">
        <v>206</v>
      </c>
      <c r="B746" t="str">
        <f>"25136"</f>
        <v>25136</v>
      </c>
      <c r="C746" t="str">
        <f>"002"</f>
        <v>002</v>
      </c>
      <c r="D746">
        <v>1999</v>
      </c>
      <c r="E746">
        <v>4200700</v>
      </c>
      <c r="F746">
        <v>3227100</v>
      </c>
      <c r="G746" t="s">
        <v>11</v>
      </c>
      <c r="H746" t="s">
        <v>38</v>
      </c>
      <c r="I746" t="s">
        <v>13</v>
      </c>
      <c r="J746" t="s">
        <v>13</v>
      </c>
    </row>
    <row r="747" spans="1:11" x14ac:dyDescent="0.25">
      <c r="A747" t="s">
        <v>39</v>
      </c>
      <c r="B747" t="s">
        <v>13</v>
      </c>
      <c r="C747" t="s">
        <v>7</v>
      </c>
      <c r="D747" t="s">
        <v>8</v>
      </c>
      <c r="E747">
        <v>4200700</v>
      </c>
      <c r="F747">
        <v>3227100</v>
      </c>
      <c r="G747" t="s">
        <v>11</v>
      </c>
      <c r="H747">
        <v>39196300</v>
      </c>
      <c r="I747" t="s">
        <v>13</v>
      </c>
      <c r="J747" t="s">
        <v>13</v>
      </c>
      <c r="K747">
        <v>8.23</v>
      </c>
    </row>
    <row r="749" spans="1:11" x14ac:dyDescent="0.25">
      <c r="A749" t="s">
        <v>207</v>
      </c>
      <c r="B749" t="str">
        <f>"08136"</f>
        <v>08136</v>
      </c>
      <c r="C749" t="str">
        <f>"001"</f>
        <v>001</v>
      </c>
      <c r="D749">
        <v>1996</v>
      </c>
      <c r="E749">
        <v>6097700</v>
      </c>
      <c r="F749">
        <v>4324800</v>
      </c>
      <c r="G749" t="s">
        <v>11</v>
      </c>
      <c r="H749" t="s">
        <v>38</v>
      </c>
      <c r="I749" t="s">
        <v>13</v>
      </c>
      <c r="J749" t="s">
        <v>13</v>
      </c>
    </row>
    <row r="750" spans="1:11" x14ac:dyDescent="0.25">
      <c r="A750" t="s">
        <v>5</v>
      </c>
      <c r="B750" t="str">
        <f>"08136"</f>
        <v>08136</v>
      </c>
      <c r="C750" t="str">
        <f>"002"</f>
        <v>002</v>
      </c>
      <c r="D750">
        <v>2007</v>
      </c>
      <c r="E750">
        <v>16579300</v>
      </c>
      <c r="F750">
        <v>14207600</v>
      </c>
      <c r="G750" t="s">
        <v>11</v>
      </c>
      <c r="H750" t="s">
        <v>38</v>
      </c>
      <c r="I750" t="s">
        <v>13</v>
      </c>
      <c r="J750" t="s">
        <v>13</v>
      </c>
    </row>
    <row r="751" spans="1:11" x14ac:dyDescent="0.25">
      <c r="A751" t="s">
        <v>39</v>
      </c>
      <c r="B751" t="s">
        <v>13</v>
      </c>
      <c r="C751" t="s">
        <v>7</v>
      </c>
      <c r="D751" t="s">
        <v>8</v>
      </c>
      <c r="E751">
        <v>22677000</v>
      </c>
      <c r="F751">
        <v>18532400</v>
      </c>
      <c r="G751" t="s">
        <v>11</v>
      </c>
      <c r="H751">
        <v>71961000</v>
      </c>
      <c r="I751" t="s">
        <v>13</v>
      </c>
      <c r="J751" t="s">
        <v>13</v>
      </c>
      <c r="K751">
        <v>25.75</v>
      </c>
    </row>
    <row r="753" spans="1:11" x14ac:dyDescent="0.25">
      <c r="A753" t="s">
        <v>208</v>
      </c>
      <c r="B753" t="str">
        <f>"62236"</f>
        <v>62236</v>
      </c>
      <c r="C753" t="str">
        <f>"002"</f>
        <v>002</v>
      </c>
      <c r="D753">
        <v>1993</v>
      </c>
      <c r="E753">
        <v>12974400</v>
      </c>
      <c r="F753">
        <v>12490800</v>
      </c>
      <c r="G753" t="s">
        <v>11</v>
      </c>
      <c r="H753" t="s">
        <v>38</v>
      </c>
      <c r="I753" t="s">
        <v>13</v>
      </c>
      <c r="J753" t="s">
        <v>13</v>
      </c>
    </row>
    <row r="754" spans="1:11" x14ac:dyDescent="0.25">
      <c r="A754" t="s">
        <v>5</v>
      </c>
      <c r="B754" t="str">
        <f>"62236"</f>
        <v>62236</v>
      </c>
      <c r="C754" t="str">
        <f>"004"</f>
        <v>004</v>
      </c>
      <c r="D754">
        <v>1998</v>
      </c>
      <c r="E754">
        <v>11493900</v>
      </c>
      <c r="F754">
        <v>8778100</v>
      </c>
      <c r="G754" t="s">
        <v>11</v>
      </c>
      <c r="H754" t="s">
        <v>38</v>
      </c>
      <c r="I754" t="s">
        <v>13</v>
      </c>
      <c r="J754" t="s">
        <v>13</v>
      </c>
    </row>
    <row r="755" spans="1:11" x14ac:dyDescent="0.25">
      <c r="A755" t="s">
        <v>39</v>
      </c>
      <c r="B755" t="s">
        <v>13</v>
      </c>
      <c r="C755" t="s">
        <v>7</v>
      </c>
      <c r="D755" t="s">
        <v>8</v>
      </c>
      <c r="E755">
        <v>24468300</v>
      </c>
      <c r="F755">
        <v>21268900</v>
      </c>
      <c r="G755" t="s">
        <v>11</v>
      </c>
      <c r="H755">
        <v>66819200</v>
      </c>
      <c r="I755" t="s">
        <v>13</v>
      </c>
      <c r="J755" t="s">
        <v>13</v>
      </c>
      <c r="K755">
        <v>31.83</v>
      </c>
    </row>
    <row r="757" spans="1:11" x14ac:dyDescent="0.25">
      <c r="A757" t="s">
        <v>209</v>
      </c>
      <c r="B757" t="str">
        <f>"27136"</f>
        <v>27136</v>
      </c>
      <c r="C757" t="str">
        <f>"001"</f>
        <v>001</v>
      </c>
      <c r="D757">
        <v>2007</v>
      </c>
      <c r="E757">
        <v>9581400</v>
      </c>
      <c r="F757">
        <v>8024400</v>
      </c>
      <c r="G757" t="s">
        <v>11</v>
      </c>
      <c r="H757" t="s">
        <v>38</v>
      </c>
      <c r="I757" t="s">
        <v>13</v>
      </c>
      <c r="J757" t="s">
        <v>13</v>
      </c>
    </row>
    <row r="758" spans="1:11" x14ac:dyDescent="0.25">
      <c r="A758" t="s">
        <v>39</v>
      </c>
      <c r="B758" t="s">
        <v>13</v>
      </c>
      <c r="C758" t="s">
        <v>7</v>
      </c>
      <c r="D758" t="s">
        <v>8</v>
      </c>
      <c r="E758">
        <v>9581400</v>
      </c>
      <c r="F758">
        <v>8024400</v>
      </c>
      <c r="G758" t="s">
        <v>11</v>
      </c>
      <c r="H758">
        <v>29599300</v>
      </c>
      <c r="I758" t="s">
        <v>13</v>
      </c>
      <c r="J758" t="s">
        <v>13</v>
      </c>
      <c r="K758">
        <v>27.11</v>
      </c>
    </row>
    <row r="760" spans="1:11" x14ac:dyDescent="0.25">
      <c r="A760" t="s">
        <v>210</v>
      </c>
      <c r="B760" t="str">
        <f>"05126"</f>
        <v>05126</v>
      </c>
      <c r="C760" t="str">
        <f>"001"</f>
        <v>001</v>
      </c>
      <c r="D760">
        <v>2009</v>
      </c>
      <c r="E760">
        <v>170719700</v>
      </c>
      <c r="F760">
        <v>149727800</v>
      </c>
      <c r="G760" t="s">
        <v>11</v>
      </c>
      <c r="H760" t="s">
        <v>38</v>
      </c>
      <c r="I760" t="s">
        <v>13</v>
      </c>
      <c r="J760" t="s">
        <v>13</v>
      </c>
    </row>
    <row r="761" spans="1:11" x14ac:dyDescent="0.25">
      <c r="A761" t="s">
        <v>5</v>
      </c>
      <c r="B761" t="str">
        <f>"05126"</f>
        <v>05126</v>
      </c>
      <c r="C761" t="str">
        <f>"002"</f>
        <v>002</v>
      </c>
      <c r="D761">
        <v>2011</v>
      </c>
      <c r="E761">
        <v>51593000</v>
      </c>
      <c r="F761">
        <v>48307500</v>
      </c>
      <c r="G761" t="s">
        <v>11</v>
      </c>
      <c r="H761" t="s">
        <v>38</v>
      </c>
      <c r="I761" t="s">
        <v>13</v>
      </c>
      <c r="J761" t="s">
        <v>13</v>
      </c>
    </row>
    <row r="762" spans="1:11" x14ac:dyDescent="0.25">
      <c r="A762" t="s">
        <v>39</v>
      </c>
      <c r="B762" t="s">
        <v>13</v>
      </c>
      <c r="C762" t="s">
        <v>7</v>
      </c>
      <c r="D762" t="s">
        <v>8</v>
      </c>
      <c r="E762">
        <v>222312700</v>
      </c>
      <c r="F762">
        <v>198035300</v>
      </c>
      <c r="G762" t="s">
        <v>11</v>
      </c>
      <c r="H762">
        <v>895943900</v>
      </c>
      <c r="I762" t="s">
        <v>13</v>
      </c>
      <c r="J762" t="s">
        <v>13</v>
      </c>
      <c r="K762">
        <v>22.1</v>
      </c>
    </row>
    <row r="764" spans="1:11" x14ac:dyDescent="0.25">
      <c r="A764" t="s">
        <v>211</v>
      </c>
      <c r="B764" t="str">
        <f>"32136"</f>
        <v>32136</v>
      </c>
      <c r="C764" t="str">
        <f>"002"</f>
        <v>002</v>
      </c>
      <c r="D764">
        <v>2009</v>
      </c>
      <c r="E764">
        <v>11953600</v>
      </c>
      <c r="F764">
        <v>9306600</v>
      </c>
      <c r="G764" t="s">
        <v>11</v>
      </c>
      <c r="H764" t="s">
        <v>38</v>
      </c>
      <c r="I764" t="s">
        <v>13</v>
      </c>
      <c r="J764" t="s">
        <v>13</v>
      </c>
    </row>
    <row r="765" spans="1:11" x14ac:dyDescent="0.25">
      <c r="A765" t="s">
        <v>5</v>
      </c>
      <c r="B765" t="str">
        <f>"32136"</f>
        <v>32136</v>
      </c>
      <c r="C765" t="str">
        <f>"003"</f>
        <v>003</v>
      </c>
      <c r="D765">
        <v>2015</v>
      </c>
      <c r="E765">
        <v>78087800</v>
      </c>
      <c r="F765">
        <v>40725500</v>
      </c>
      <c r="G765" t="s">
        <v>11</v>
      </c>
      <c r="H765" t="s">
        <v>38</v>
      </c>
      <c r="I765" t="s">
        <v>13</v>
      </c>
      <c r="J765" t="s">
        <v>13</v>
      </c>
    </row>
    <row r="766" spans="1:11" x14ac:dyDescent="0.25">
      <c r="A766" t="s">
        <v>39</v>
      </c>
      <c r="B766" t="s">
        <v>13</v>
      </c>
      <c r="C766" t="s">
        <v>7</v>
      </c>
      <c r="D766" t="s">
        <v>8</v>
      </c>
      <c r="E766">
        <v>90041400</v>
      </c>
      <c r="F766">
        <v>50032100</v>
      </c>
      <c r="G766" t="s">
        <v>11</v>
      </c>
      <c r="H766">
        <v>705228900</v>
      </c>
      <c r="I766" t="s">
        <v>13</v>
      </c>
      <c r="J766" t="s">
        <v>13</v>
      </c>
      <c r="K766">
        <v>7.09</v>
      </c>
    </row>
    <row r="768" spans="1:11" x14ac:dyDescent="0.25">
      <c r="A768" t="s">
        <v>212</v>
      </c>
      <c r="B768" t="str">
        <f>"14236"</f>
        <v>14236</v>
      </c>
      <c r="C768" t="str">
        <f>"004"</f>
        <v>004</v>
      </c>
      <c r="D768">
        <v>2007</v>
      </c>
      <c r="E768">
        <v>11183100</v>
      </c>
      <c r="F768">
        <v>6220400</v>
      </c>
      <c r="G768" t="s">
        <v>11</v>
      </c>
      <c r="H768" t="s">
        <v>38</v>
      </c>
      <c r="I768" t="s">
        <v>13</v>
      </c>
      <c r="J768" t="s">
        <v>13</v>
      </c>
    </row>
    <row r="769" spans="1:11" x14ac:dyDescent="0.25">
      <c r="A769" t="s">
        <v>5</v>
      </c>
      <c r="B769" t="str">
        <f>"14236"</f>
        <v>14236</v>
      </c>
      <c r="C769" t="str">
        <f>"005"</f>
        <v>005</v>
      </c>
      <c r="D769">
        <v>2015</v>
      </c>
      <c r="E769">
        <v>47958600</v>
      </c>
      <c r="F769">
        <v>43556000</v>
      </c>
      <c r="G769" t="s">
        <v>11</v>
      </c>
      <c r="H769" t="s">
        <v>38</v>
      </c>
      <c r="I769" t="s">
        <v>13</v>
      </c>
      <c r="J769" t="s">
        <v>13</v>
      </c>
    </row>
    <row r="770" spans="1:11" x14ac:dyDescent="0.25">
      <c r="A770" t="s">
        <v>5</v>
      </c>
      <c r="B770" t="str">
        <f>"14236"</f>
        <v>14236</v>
      </c>
      <c r="C770" t="str">
        <f>"006"</f>
        <v>006</v>
      </c>
      <c r="D770">
        <v>2017</v>
      </c>
      <c r="E770">
        <v>13746800</v>
      </c>
      <c r="F770">
        <v>319000</v>
      </c>
      <c r="G770" t="s">
        <v>11</v>
      </c>
      <c r="H770" t="s">
        <v>38</v>
      </c>
      <c r="I770" t="s">
        <v>13</v>
      </c>
      <c r="J770" t="s">
        <v>13</v>
      </c>
    </row>
    <row r="771" spans="1:11" x14ac:dyDescent="0.25">
      <c r="A771" t="s">
        <v>39</v>
      </c>
      <c r="B771" t="s">
        <v>13</v>
      </c>
      <c r="C771" t="s">
        <v>7</v>
      </c>
      <c r="D771" t="s">
        <v>8</v>
      </c>
      <c r="E771">
        <v>72888500</v>
      </c>
      <c r="F771">
        <v>50095400</v>
      </c>
      <c r="G771" t="s">
        <v>11</v>
      </c>
      <c r="H771">
        <v>259632900</v>
      </c>
      <c r="I771" t="s">
        <v>13</v>
      </c>
      <c r="J771" t="s">
        <v>13</v>
      </c>
      <c r="K771">
        <v>19.29</v>
      </c>
    </row>
    <row r="773" spans="1:11" x14ac:dyDescent="0.25">
      <c r="A773" t="s">
        <v>213</v>
      </c>
      <c r="B773" t="str">
        <f>"44136"</f>
        <v>44136</v>
      </c>
      <c r="C773" t="str">
        <f>"002"</f>
        <v>002</v>
      </c>
      <c r="D773">
        <v>2000</v>
      </c>
      <c r="E773">
        <v>14268700</v>
      </c>
      <c r="F773">
        <v>13421900</v>
      </c>
      <c r="G773" t="s">
        <v>11</v>
      </c>
      <c r="H773" t="s">
        <v>38</v>
      </c>
      <c r="I773" t="s">
        <v>13</v>
      </c>
      <c r="J773" t="s">
        <v>13</v>
      </c>
    </row>
    <row r="774" spans="1:11" x14ac:dyDescent="0.25">
      <c r="A774" t="s">
        <v>5</v>
      </c>
      <c r="B774" t="str">
        <f>"44136"</f>
        <v>44136</v>
      </c>
      <c r="C774" t="str">
        <f>"003"</f>
        <v>003</v>
      </c>
      <c r="D774">
        <v>2013</v>
      </c>
      <c r="E774">
        <v>6079900</v>
      </c>
      <c r="F774">
        <v>5592200</v>
      </c>
      <c r="G774" t="s">
        <v>11</v>
      </c>
      <c r="H774" t="s">
        <v>38</v>
      </c>
      <c r="I774" t="s">
        <v>13</v>
      </c>
      <c r="J774" t="s">
        <v>13</v>
      </c>
    </row>
    <row r="775" spans="1:11" x14ac:dyDescent="0.25">
      <c r="A775" t="s">
        <v>5</v>
      </c>
      <c r="B775" t="str">
        <f>"44136"</f>
        <v>44136</v>
      </c>
      <c r="C775" t="str">
        <f>"004"</f>
        <v>004</v>
      </c>
      <c r="D775">
        <v>2017</v>
      </c>
      <c r="E775">
        <v>883700</v>
      </c>
      <c r="F775">
        <v>373400</v>
      </c>
      <c r="G775" t="s">
        <v>11</v>
      </c>
      <c r="H775" t="s">
        <v>38</v>
      </c>
      <c r="I775" t="s">
        <v>13</v>
      </c>
      <c r="J775" t="s">
        <v>13</v>
      </c>
    </row>
    <row r="776" spans="1:11" x14ac:dyDescent="0.25">
      <c r="A776" t="s">
        <v>5</v>
      </c>
      <c r="B776" t="str">
        <f>"44136"</f>
        <v>44136</v>
      </c>
      <c r="C776" t="str">
        <f>"005"</f>
        <v>005</v>
      </c>
      <c r="D776">
        <v>2017</v>
      </c>
      <c r="E776">
        <v>491900</v>
      </c>
      <c r="F776">
        <v>-30800</v>
      </c>
      <c r="G776" t="s">
        <v>43</v>
      </c>
      <c r="H776" t="s">
        <v>38</v>
      </c>
      <c r="I776" t="s">
        <v>13</v>
      </c>
      <c r="J776" t="s">
        <v>13</v>
      </c>
    </row>
    <row r="777" spans="1:11" x14ac:dyDescent="0.25">
      <c r="A777" t="s">
        <v>39</v>
      </c>
      <c r="B777" t="s">
        <v>13</v>
      </c>
      <c r="C777" t="s">
        <v>7</v>
      </c>
      <c r="D777" t="s">
        <v>8</v>
      </c>
      <c r="E777">
        <v>21724200</v>
      </c>
      <c r="F777">
        <v>19387500</v>
      </c>
      <c r="G777" t="s">
        <v>11</v>
      </c>
      <c r="H777">
        <v>199760600</v>
      </c>
      <c r="I777" t="s">
        <v>13</v>
      </c>
      <c r="J777" t="s">
        <v>13</v>
      </c>
      <c r="K777">
        <v>9.7100000000000009</v>
      </c>
    </row>
    <row r="779" spans="1:11" x14ac:dyDescent="0.25">
      <c r="A779" t="s">
        <v>214</v>
      </c>
      <c r="B779" t="str">
        <f t="shared" ref="B779:B784" si="8">"05136"</f>
        <v>05136</v>
      </c>
      <c r="C779" t="str">
        <f>"003"</f>
        <v>003</v>
      </c>
      <c r="D779">
        <v>2006</v>
      </c>
      <c r="E779">
        <v>38715300</v>
      </c>
      <c r="F779">
        <v>22412500</v>
      </c>
      <c r="G779" t="s">
        <v>11</v>
      </c>
      <c r="H779" t="s">
        <v>38</v>
      </c>
      <c r="I779" t="s">
        <v>13</v>
      </c>
      <c r="J779" t="s">
        <v>13</v>
      </c>
    </row>
    <row r="780" spans="1:11" x14ac:dyDescent="0.25">
      <c r="A780" t="s">
        <v>5</v>
      </c>
      <c r="B780" t="str">
        <f t="shared" si="8"/>
        <v>05136</v>
      </c>
      <c r="C780" t="str">
        <f>"004"</f>
        <v>004</v>
      </c>
      <c r="D780">
        <v>2007</v>
      </c>
      <c r="E780">
        <v>108246000</v>
      </c>
      <c r="F780">
        <v>40090300</v>
      </c>
      <c r="G780" t="s">
        <v>11</v>
      </c>
      <c r="H780" t="s">
        <v>38</v>
      </c>
      <c r="I780" t="s">
        <v>13</v>
      </c>
      <c r="J780" t="s">
        <v>13</v>
      </c>
    </row>
    <row r="781" spans="1:11" x14ac:dyDescent="0.25">
      <c r="A781" t="s">
        <v>5</v>
      </c>
      <c r="B781" t="str">
        <f t="shared" si="8"/>
        <v>05136</v>
      </c>
      <c r="C781" t="str">
        <f>"005"</f>
        <v>005</v>
      </c>
      <c r="D781">
        <v>2008</v>
      </c>
      <c r="E781">
        <v>13182000</v>
      </c>
      <c r="F781">
        <v>3309600</v>
      </c>
      <c r="G781" t="s">
        <v>11</v>
      </c>
      <c r="H781" t="s">
        <v>38</v>
      </c>
      <c r="I781" t="s">
        <v>13</v>
      </c>
      <c r="J781" t="s">
        <v>13</v>
      </c>
    </row>
    <row r="782" spans="1:11" x14ac:dyDescent="0.25">
      <c r="A782" t="s">
        <v>5</v>
      </c>
      <c r="B782" t="str">
        <f t="shared" si="8"/>
        <v>05136</v>
      </c>
      <c r="C782" t="str">
        <f>"006"</f>
        <v>006</v>
      </c>
      <c r="D782">
        <v>2008</v>
      </c>
      <c r="E782">
        <v>21036200</v>
      </c>
      <c r="F782">
        <v>13106100</v>
      </c>
      <c r="G782" t="s">
        <v>11</v>
      </c>
      <c r="H782" t="s">
        <v>38</v>
      </c>
      <c r="I782" t="s">
        <v>13</v>
      </c>
      <c r="J782" t="s">
        <v>13</v>
      </c>
    </row>
    <row r="783" spans="1:11" x14ac:dyDescent="0.25">
      <c r="A783" t="s">
        <v>5</v>
      </c>
      <c r="B783" t="str">
        <f t="shared" si="8"/>
        <v>05136</v>
      </c>
      <c r="C783" t="str">
        <f>"007"</f>
        <v>007</v>
      </c>
      <c r="D783">
        <v>2012</v>
      </c>
      <c r="E783">
        <v>18215100</v>
      </c>
      <c r="F783">
        <v>-30600</v>
      </c>
      <c r="G783" t="s">
        <v>43</v>
      </c>
      <c r="H783" t="s">
        <v>38</v>
      </c>
      <c r="I783" t="s">
        <v>13</v>
      </c>
      <c r="J783" t="s">
        <v>13</v>
      </c>
    </row>
    <row r="784" spans="1:11" x14ac:dyDescent="0.25">
      <c r="A784" t="s">
        <v>5</v>
      </c>
      <c r="B784" t="str">
        <f t="shared" si="8"/>
        <v>05136</v>
      </c>
      <c r="C784" t="str">
        <f>"008"</f>
        <v>008</v>
      </c>
      <c r="D784">
        <v>2015</v>
      </c>
      <c r="E784">
        <v>29657700</v>
      </c>
      <c r="F784">
        <v>21279600</v>
      </c>
      <c r="G784" t="s">
        <v>11</v>
      </c>
      <c r="H784" t="s">
        <v>38</v>
      </c>
      <c r="I784" t="s">
        <v>13</v>
      </c>
      <c r="J784" t="s">
        <v>13</v>
      </c>
    </row>
    <row r="785" spans="1:11" x14ac:dyDescent="0.25">
      <c r="A785" t="s">
        <v>39</v>
      </c>
      <c r="B785" t="s">
        <v>13</v>
      </c>
      <c r="C785" t="s">
        <v>7</v>
      </c>
      <c r="D785" t="s">
        <v>8</v>
      </c>
      <c r="E785">
        <v>229052300</v>
      </c>
      <c r="F785">
        <v>100198100</v>
      </c>
      <c r="G785" t="s">
        <v>11</v>
      </c>
      <c r="H785">
        <v>1809530400</v>
      </c>
      <c r="I785" t="s">
        <v>13</v>
      </c>
      <c r="J785" t="s">
        <v>13</v>
      </c>
      <c r="K785">
        <v>5.54</v>
      </c>
    </row>
    <row r="787" spans="1:11" x14ac:dyDescent="0.25">
      <c r="A787" t="s">
        <v>215</v>
      </c>
      <c r="B787" t="str">
        <f>"59135"</f>
        <v>59135</v>
      </c>
      <c r="C787" t="str">
        <f>"001"</f>
        <v>001</v>
      </c>
      <c r="D787">
        <v>2005</v>
      </c>
      <c r="E787">
        <v>2435000</v>
      </c>
      <c r="F787">
        <v>641400</v>
      </c>
      <c r="G787" t="s">
        <v>11</v>
      </c>
      <c r="H787" t="s">
        <v>38</v>
      </c>
      <c r="I787" t="s">
        <v>13</v>
      </c>
      <c r="J787" t="s">
        <v>13</v>
      </c>
    </row>
    <row r="788" spans="1:11" x14ac:dyDescent="0.25">
      <c r="A788" t="s">
        <v>5</v>
      </c>
      <c r="B788" t="str">
        <f>"59135"</f>
        <v>59135</v>
      </c>
      <c r="C788" t="str">
        <f>"002"</f>
        <v>002</v>
      </c>
      <c r="D788">
        <v>2011</v>
      </c>
      <c r="E788">
        <v>2954900</v>
      </c>
      <c r="F788">
        <v>2882000</v>
      </c>
      <c r="G788" t="s">
        <v>11</v>
      </c>
      <c r="H788" t="s">
        <v>38</v>
      </c>
      <c r="I788" t="s">
        <v>13</v>
      </c>
      <c r="J788" t="s">
        <v>13</v>
      </c>
    </row>
    <row r="789" spans="1:11" x14ac:dyDescent="0.25">
      <c r="A789" t="s">
        <v>39</v>
      </c>
      <c r="B789" t="s">
        <v>13</v>
      </c>
      <c r="C789" t="s">
        <v>7</v>
      </c>
      <c r="D789" t="s">
        <v>8</v>
      </c>
      <c r="E789">
        <v>5389900</v>
      </c>
      <c r="F789">
        <v>3523400</v>
      </c>
      <c r="G789" t="s">
        <v>11</v>
      </c>
      <c r="H789">
        <v>249808600</v>
      </c>
      <c r="I789" t="s">
        <v>13</v>
      </c>
      <c r="J789" t="s">
        <v>13</v>
      </c>
      <c r="K789">
        <v>1.41</v>
      </c>
    </row>
    <row r="791" spans="1:11" x14ac:dyDescent="0.25">
      <c r="A791" t="s">
        <v>216</v>
      </c>
      <c r="B791" t="str">
        <f>"55236"</f>
        <v>55236</v>
      </c>
      <c r="C791" t="str">
        <f>"005"</f>
        <v>005</v>
      </c>
      <c r="D791">
        <v>2017</v>
      </c>
      <c r="E791">
        <v>6496600</v>
      </c>
      <c r="F791">
        <v>174200</v>
      </c>
      <c r="G791" t="s">
        <v>11</v>
      </c>
      <c r="H791" t="s">
        <v>38</v>
      </c>
      <c r="I791" t="s">
        <v>13</v>
      </c>
      <c r="J791" t="s">
        <v>13</v>
      </c>
    </row>
    <row r="792" spans="1:11" x14ac:dyDescent="0.25">
      <c r="A792" t="s">
        <v>39</v>
      </c>
      <c r="B792" t="s">
        <v>13</v>
      </c>
      <c r="C792" t="s">
        <v>7</v>
      </c>
      <c r="D792" t="s">
        <v>8</v>
      </c>
      <c r="E792">
        <v>6496600</v>
      </c>
      <c r="F792">
        <v>174200</v>
      </c>
      <c r="G792" t="s">
        <v>11</v>
      </c>
      <c r="H792">
        <v>1894844300</v>
      </c>
      <c r="I792" t="s">
        <v>13</v>
      </c>
      <c r="J792" t="s">
        <v>13</v>
      </c>
      <c r="K792">
        <v>0.01</v>
      </c>
    </row>
    <row r="794" spans="1:11" x14ac:dyDescent="0.25">
      <c r="A794" t="s">
        <v>217</v>
      </c>
      <c r="B794" t="str">
        <f>"26236"</f>
        <v>26236</v>
      </c>
      <c r="C794" t="str">
        <f>"003"</f>
        <v>003</v>
      </c>
      <c r="D794">
        <v>1994</v>
      </c>
      <c r="E794">
        <v>5503000</v>
      </c>
      <c r="F794">
        <v>4324200</v>
      </c>
      <c r="G794" t="s">
        <v>11</v>
      </c>
      <c r="H794" t="s">
        <v>38</v>
      </c>
      <c r="I794" t="s">
        <v>13</v>
      </c>
      <c r="J794" t="s">
        <v>13</v>
      </c>
    </row>
    <row r="795" spans="1:11" x14ac:dyDescent="0.25">
      <c r="A795" t="s">
        <v>39</v>
      </c>
      <c r="B795" t="s">
        <v>13</v>
      </c>
      <c r="C795" t="s">
        <v>7</v>
      </c>
      <c r="D795" t="s">
        <v>8</v>
      </c>
      <c r="E795">
        <v>5503000</v>
      </c>
      <c r="F795">
        <v>4324200</v>
      </c>
      <c r="G795" t="s">
        <v>11</v>
      </c>
      <c r="H795">
        <v>60672000</v>
      </c>
      <c r="I795" t="s">
        <v>13</v>
      </c>
      <c r="J795" t="s">
        <v>13</v>
      </c>
      <c r="K795">
        <v>7.13</v>
      </c>
    </row>
    <row r="797" spans="1:11" x14ac:dyDescent="0.25">
      <c r="A797" t="s">
        <v>218</v>
      </c>
      <c r="B797" t="str">
        <f>"14136"</f>
        <v>14136</v>
      </c>
      <c r="C797" t="str">
        <f>"001"</f>
        <v>001</v>
      </c>
      <c r="D797">
        <v>2017</v>
      </c>
      <c r="E797">
        <v>6093200</v>
      </c>
      <c r="F797">
        <v>680600</v>
      </c>
      <c r="G797" t="s">
        <v>11</v>
      </c>
      <c r="H797" t="s">
        <v>38</v>
      </c>
      <c r="I797" t="s">
        <v>13</v>
      </c>
      <c r="J797" t="s">
        <v>13</v>
      </c>
    </row>
    <row r="798" spans="1:11" x14ac:dyDescent="0.25">
      <c r="A798" t="s">
        <v>39</v>
      </c>
      <c r="B798" t="s">
        <v>13</v>
      </c>
      <c r="C798" t="s">
        <v>7</v>
      </c>
      <c r="D798" t="s">
        <v>8</v>
      </c>
      <c r="E798">
        <v>6093200</v>
      </c>
      <c r="F798">
        <v>680600</v>
      </c>
      <c r="G798" t="s">
        <v>11</v>
      </c>
      <c r="H798">
        <v>71854800</v>
      </c>
      <c r="I798" t="s">
        <v>13</v>
      </c>
      <c r="J798" t="s">
        <v>13</v>
      </c>
      <c r="K798">
        <v>0.95</v>
      </c>
    </row>
    <row r="800" spans="1:11" x14ac:dyDescent="0.25">
      <c r="A800" t="s">
        <v>219</v>
      </c>
      <c r="B800" t="str">
        <f>"61241"</f>
        <v>61241</v>
      </c>
      <c r="C800" t="str">
        <f>"002"</f>
        <v>002</v>
      </c>
      <c r="D800">
        <v>2006</v>
      </c>
      <c r="E800">
        <v>8207000</v>
      </c>
      <c r="F800">
        <v>6199800</v>
      </c>
      <c r="G800" t="s">
        <v>11</v>
      </c>
      <c r="H800" t="s">
        <v>38</v>
      </c>
      <c r="I800" t="s">
        <v>13</v>
      </c>
      <c r="J800" t="s">
        <v>13</v>
      </c>
    </row>
    <row r="801" spans="1:11" x14ac:dyDescent="0.25">
      <c r="A801" t="s">
        <v>39</v>
      </c>
      <c r="B801" t="s">
        <v>13</v>
      </c>
      <c r="C801" t="s">
        <v>7</v>
      </c>
      <c r="D801" t="s">
        <v>8</v>
      </c>
      <c r="E801">
        <v>8207000</v>
      </c>
      <c r="F801">
        <v>6199800</v>
      </c>
      <c r="G801" t="s">
        <v>11</v>
      </c>
      <c r="H801">
        <v>94147200</v>
      </c>
      <c r="I801" t="s">
        <v>13</v>
      </c>
      <c r="J801" t="s">
        <v>13</v>
      </c>
      <c r="K801">
        <v>6.59</v>
      </c>
    </row>
    <row r="803" spans="1:11" x14ac:dyDescent="0.25">
      <c r="A803" t="s">
        <v>220</v>
      </c>
      <c r="B803" t="str">
        <f>"66141"</f>
        <v>66141</v>
      </c>
      <c r="C803" t="str">
        <f>"004"</f>
        <v>004</v>
      </c>
      <c r="D803">
        <v>1995</v>
      </c>
      <c r="E803">
        <v>42744000</v>
      </c>
      <c r="F803">
        <v>42098300</v>
      </c>
      <c r="G803" t="s">
        <v>11</v>
      </c>
      <c r="H803" t="s">
        <v>38</v>
      </c>
      <c r="I803" t="s">
        <v>13</v>
      </c>
      <c r="J803" t="s">
        <v>13</v>
      </c>
    </row>
    <row r="804" spans="1:11" x14ac:dyDescent="0.25">
      <c r="A804" t="s">
        <v>5</v>
      </c>
      <c r="B804" t="str">
        <f>"66141"</f>
        <v>66141</v>
      </c>
      <c r="C804" t="str">
        <f>"005"</f>
        <v>005</v>
      </c>
      <c r="D804">
        <v>2014</v>
      </c>
      <c r="E804">
        <v>7409000</v>
      </c>
      <c r="F804">
        <v>6475900</v>
      </c>
      <c r="G804" t="s">
        <v>11</v>
      </c>
      <c r="H804" t="s">
        <v>38</v>
      </c>
      <c r="I804" t="s">
        <v>13</v>
      </c>
      <c r="J804" t="s">
        <v>13</v>
      </c>
    </row>
    <row r="805" spans="1:11" x14ac:dyDescent="0.25">
      <c r="A805" t="s">
        <v>39</v>
      </c>
      <c r="B805" t="s">
        <v>13</v>
      </c>
      <c r="C805" t="s">
        <v>7</v>
      </c>
      <c r="D805" t="s">
        <v>8</v>
      </c>
      <c r="E805">
        <v>50153000</v>
      </c>
      <c r="F805">
        <v>48574200</v>
      </c>
      <c r="G805" t="s">
        <v>11</v>
      </c>
      <c r="H805">
        <v>683400200</v>
      </c>
      <c r="I805" t="s">
        <v>13</v>
      </c>
      <c r="J805" t="s">
        <v>13</v>
      </c>
      <c r="K805">
        <v>7.11</v>
      </c>
    </row>
    <row r="807" spans="1:11" x14ac:dyDescent="0.25">
      <c r="A807" t="s">
        <v>221</v>
      </c>
      <c r="B807" t="str">
        <f t="shared" ref="B807:B820" si="9">"53241"</f>
        <v>53241</v>
      </c>
      <c r="C807" t="str">
        <f>"017"</f>
        <v>017</v>
      </c>
      <c r="D807">
        <v>1997</v>
      </c>
      <c r="E807">
        <v>3043700</v>
      </c>
      <c r="F807">
        <v>1636200</v>
      </c>
      <c r="G807" t="s">
        <v>11</v>
      </c>
      <c r="H807" t="s">
        <v>38</v>
      </c>
      <c r="I807" t="s">
        <v>13</v>
      </c>
      <c r="J807" t="s">
        <v>13</v>
      </c>
    </row>
    <row r="808" spans="1:11" x14ac:dyDescent="0.25">
      <c r="A808" t="s">
        <v>5</v>
      </c>
      <c r="B808" t="str">
        <f t="shared" si="9"/>
        <v>53241</v>
      </c>
      <c r="C808" t="str">
        <f>"021"</f>
        <v>021</v>
      </c>
      <c r="D808">
        <v>1999</v>
      </c>
      <c r="E808">
        <v>11126500</v>
      </c>
      <c r="F808">
        <v>11124300</v>
      </c>
      <c r="G808" t="s">
        <v>11</v>
      </c>
      <c r="H808" t="s">
        <v>38</v>
      </c>
      <c r="I808" t="s">
        <v>13</v>
      </c>
      <c r="J808" t="s">
        <v>13</v>
      </c>
    </row>
    <row r="809" spans="1:11" x14ac:dyDescent="0.25">
      <c r="A809" t="s">
        <v>5</v>
      </c>
      <c r="B809" t="str">
        <f t="shared" si="9"/>
        <v>53241</v>
      </c>
      <c r="C809" t="str">
        <f>"022"</f>
        <v>022</v>
      </c>
      <c r="D809">
        <v>1999</v>
      </c>
      <c r="E809">
        <v>60316700</v>
      </c>
      <c r="F809">
        <v>54808200</v>
      </c>
      <c r="G809" t="s">
        <v>11</v>
      </c>
      <c r="H809" t="s">
        <v>38</v>
      </c>
      <c r="I809" t="s">
        <v>13</v>
      </c>
      <c r="J809" t="s">
        <v>13</v>
      </c>
    </row>
    <row r="810" spans="1:11" x14ac:dyDescent="0.25">
      <c r="A810" t="s">
        <v>5</v>
      </c>
      <c r="B810" t="str">
        <f t="shared" si="9"/>
        <v>53241</v>
      </c>
      <c r="C810" t="str">
        <f>"023"</f>
        <v>023</v>
      </c>
      <c r="D810">
        <v>2002</v>
      </c>
      <c r="E810">
        <v>7650700</v>
      </c>
      <c r="F810">
        <v>2677000</v>
      </c>
      <c r="G810" t="s">
        <v>11</v>
      </c>
      <c r="H810" t="s">
        <v>38</v>
      </c>
      <c r="I810" t="s">
        <v>13</v>
      </c>
      <c r="J810" t="s">
        <v>13</v>
      </c>
    </row>
    <row r="811" spans="1:11" x14ac:dyDescent="0.25">
      <c r="A811" t="s">
        <v>5</v>
      </c>
      <c r="B811" t="str">
        <f t="shared" si="9"/>
        <v>53241</v>
      </c>
      <c r="C811" t="str">
        <f>"025"</f>
        <v>025</v>
      </c>
      <c r="D811">
        <v>2003</v>
      </c>
      <c r="E811">
        <v>7992800</v>
      </c>
      <c r="F811">
        <v>7979900</v>
      </c>
      <c r="G811" t="s">
        <v>11</v>
      </c>
      <c r="H811" t="s">
        <v>38</v>
      </c>
      <c r="I811" t="s">
        <v>13</v>
      </c>
      <c r="J811" t="s">
        <v>13</v>
      </c>
    </row>
    <row r="812" spans="1:11" x14ac:dyDescent="0.25">
      <c r="A812" t="s">
        <v>5</v>
      </c>
      <c r="B812" t="str">
        <f t="shared" si="9"/>
        <v>53241</v>
      </c>
      <c r="C812" t="str">
        <f>"026"</f>
        <v>026</v>
      </c>
      <c r="D812">
        <v>2004</v>
      </c>
      <c r="E812">
        <v>44844900</v>
      </c>
      <c r="F812">
        <v>11201800</v>
      </c>
      <c r="G812" t="s">
        <v>11</v>
      </c>
      <c r="H812" t="s">
        <v>38</v>
      </c>
      <c r="I812" t="s">
        <v>13</v>
      </c>
      <c r="J812" t="s">
        <v>13</v>
      </c>
    </row>
    <row r="813" spans="1:11" x14ac:dyDescent="0.25">
      <c r="A813" t="s">
        <v>5</v>
      </c>
      <c r="B813" t="str">
        <f t="shared" si="9"/>
        <v>53241</v>
      </c>
      <c r="C813" t="str">
        <f>"027"</f>
        <v>027</v>
      </c>
      <c r="D813">
        <v>2003</v>
      </c>
      <c r="E813">
        <v>4355500</v>
      </c>
      <c r="F813">
        <v>290700</v>
      </c>
      <c r="G813" t="s">
        <v>11</v>
      </c>
      <c r="H813" t="s">
        <v>38</v>
      </c>
      <c r="I813" t="s">
        <v>13</v>
      </c>
      <c r="J813" t="s">
        <v>13</v>
      </c>
    </row>
    <row r="814" spans="1:11" x14ac:dyDescent="0.25">
      <c r="A814" t="s">
        <v>5</v>
      </c>
      <c r="B814" t="str">
        <f t="shared" si="9"/>
        <v>53241</v>
      </c>
      <c r="C814" t="str">
        <f>"028"</f>
        <v>028</v>
      </c>
      <c r="D814">
        <v>2006</v>
      </c>
      <c r="E814">
        <v>2344400</v>
      </c>
      <c r="F814">
        <v>-127000</v>
      </c>
      <c r="G814" t="s">
        <v>43</v>
      </c>
      <c r="H814" t="s">
        <v>38</v>
      </c>
      <c r="I814" t="s">
        <v>13</v>
      </c>
      <c r="J814" t="s">
        <v>13</v>
      </c>
    </row>
    <row r="815" spans="1:11" x14ac:dyDescent="0.25">
      <c r="A815" t="s">
        <v>5</v>
      </c>
      <c r="B815" t="str">
        <f t="shared" si="9"/>
        <v>53241</v>
      </c>
      <c r="C815" t="str">
        <f>"029"</f>
        <v>029</v>
      </c>
      <c r="D815">
        <v>2007</v>
      </c>
      <c r="E815">
        <v>9521100</v>
      </c>
      <c r="F815">
        <v>2911000</v>
      </c>
      <c r="G815" t="s">
        <v>11</v>
      </c>
      <c r="H815" t="s">
        <v>38</v>
      </c>
      <c r="I815" t="s">
        <v>13</v>
      </c>
      <c r="J815" t="s">
        <v>13</v>
      </c>
    </row>
    <row r="816" spans="1:11" x14ac:dyDescent="0.25">
      <c r="A816" t="s">
        <v>5</v>
      </c>
      <c r="B816" t="str">
        <f t="shared" si="9"/>
        <v>53241</v>
      </c>
      <c r="C816" t="str">
        <f>"032"</f>
        <v>032</v>
      </c>
      <c r="D816">
        <v>2008</v>
      </c>
      <c r="E816">
        <v>121121000</v>
      </c>
      <c r="F816">
        <v>66286200</v>
      </c>
      <c r="G816" t="s">
        <v>11</v>
      </c>
      <c r="H816" t="s">
        <v>38</v>
      </c>
      <c r="I816" t="s">
        <v>13</v>
      </c>
      <c r="J816" t="s">
        <v>13</v>
      </c>
    </row>
    <row r="817" spans="1:11" x14ac:dyDescent="0.25">
      <c r="A817" t="s">
        <v>5</v>
      </c>
      <c r="B817" t="str">
        <f t="shared" si="9"/>
        <v>53241</v>
      </c>
      <c r="C817" t="str">
        <f>"033"</f>
        <v>033</v>
      </c>
      <c r="D817">
        <v>2008</v>
      </c>
      <c r="E817">
        <v>23333400</v>
      </c>
      <c r="F817">
        <v>16284900</v>
      </c>
      <c r="G817" t="s">
        <v>11</v>
      </c>
      <c r="H817" t="s">
        <v>38</v>
      </c>
      <c r="I817" t="s">
        <v>13</v>
      </c>
      <c r="J817" t="s">
        <v>13</v>
      </c>
    </row>
    <row r="818" spans="1:11" x14ac:dyDescent="0.25">
      <c r="A818" t="s">
        <v>5</v>
      </c>
      <c r="B818" t="str">
        <f t="shared" si="9"/>
        <v>53241</v>
      </c>
      <c r="C818" t="str">
        <f>"035"</f>
        <v>035</v>
      </c>
      <c r="D818">
        <v>2011</v>
      </c>
      <c r="E818">
        <v>115094100</v>
      </c>
      <c r="F818">
        <v>87363600</v>
      </c>
      <c r="G818" t="s">
        <v>11</v>
      </c>
      <c r="H818" t="s">
        <v>38</v>
      </c>
      <c r="I818" t="s">
        <v>13</v>
      </c>
      <c r="J818" t="s">
        <v>13</v>
      </c>
    </row>
    <row r="819" spans="1:11" x14ac:dyDescent="0.25">
      <c r="A819" t="s">
        <v>5</v>
      </c>
      <c r="B819" t="str">
        <f t="shared" si="9"/>
        <v>53241</v>
      </c>
      <c r="C819" t="str">
        <f>"036"</f>
        <v>036</v>
      </c>
      <c r="D819">
        <v>2016</v>
      </c>
      <c r="E819">
        <v>98661400</v>
      </c>
      <c r="F819">
        <v>9651800</v>
      </c>
      <c r="G819" t="s">
        <v>11</v>
      </c>
      <c r="H819" t="s">
        <v>38</v>
      </c>
      <c r="I819" t="s">
        <v>13</v>
      </c>
      <c r="J819" t="s">
        <v>13</v>
      </c>
    </row>
    <row r="820" spans="1:11" x14ac:dyDescent="0.25">
      <c r="A820" t="s">
        <v>5</v>
      </c>
      <c r="B820" t="str">
        <f t="shared" si="9"/>
        <v>53241</v>
      </c>
      <c r="C820" t="str">
        <f>"037"</f>
        <v>037</v>
      </c>
      <c r="D820">
        <v>2017</v>
      </c>
      <c r="E820">
        <v>9415100</v>
      </c>
      <c r="F820">
        <v>2154700</v>
      </c>
      <c r="G820" t="s">
        <v>11</v>
      </c>
      <c r="H820" t="s">
        <v>38</v>
      </c>
      <c r="I820" t="s">
        <v>13</v>
      </c>
      <c r="J820" t="s">
        <v>13</v>
      </c>
    </row>
    <row r="821" spans="1:11" x14ac:dyDescent="0.25">
      <c r="A821" t="s">
        <v>39</v>
      </c>
      <c r="B821" t="s">
        <v>13</v>
      </c>
      <c r="C821" t="s">
        <v>7</v>
      </c>
      <c r="D821" t="s">
        <v>8</v>
      </c>
      <c r="E821">
        <v>518821300</v>
      </c>
      <c r="F821">
        <v>274370300</v>
      </c>
      <c r="G821" t="s">
        <v>11</v>
      </c>
      <c r="H821">
        <v>4910020700</v>
      </c>
      <c r="I821" t="s">
        <v>13</v>
      </c>
      <c r="J821" t="s">
        <v>13</v>
      </c>
      <c r="K821">
        <v>5.59</v>
      </c>
    </row>
    <row r="823" spans="1:11" x14ac:dyDescent="0.25">
      <c r="A823" t="s">
        <v>222</v>
      </c>
      <c r="B823" t="str">
        <f>"28241"</f>
        <v>28241</v>
      </c>
      <c r="C823" t="str">
        <f>"004"</f>
        <v>004</v>
      </c>
      <c r="D823">
        <v>2000</v>
      </c>
      <c r="E823">
        <v>1609700</v>
      </c>
      <c r="F823">
        <v>1609700</v>
      </c>
      <c r="G823" t="s">
        <v>11</v>
      </c>
      <c r="H823" t="s">
        <v>38</v>
      </c>
      <c r="I823" t="s">
        <v>13</v>
      </c>
      <c r="J823" t="s">
        <v>13</v>
      </c>
    </row>
    <row r="824" spans="1:11" x14ac:dyDescent="0.25">
      <c r="A824" t="s">
        <v>5</v>
      </c>
      <c r="B824" t="str">
        <f>"28241"</f>
        <v>28241</v>
      </c>
      <c r="C824" t="str">
        <f>"005"</f>
        <v>005</v>
      </c>
      <c r="D824">
        <v>2001</v>
      </c>
      <c r="E824">
        <v>31118000</v>
      </c>
      <c r="F824">
        <v>9680700</v>
      </c>
      <c r="G824" t="s">
        <v>11</v>
      </c>
      <c r="H824" t="s">
        <v>38</v>
      </c>
      <c r="I824" t="s">
        <v>13</v>
      </c>
      <c r="J824" t="s">
        <v>13</v>
      </c>
    </row>
    <row r="825" spans="1:11" x14ac:dyDescent="0.25">
      <c r="A825" t="s">
        <v>5</v>
      </c>
      <c r="B825" t="str">
        <f>"28241"</f>
        <v>28241</v>
      </c>
      <c r="C825" t="str">
        <f>"006"</f>
        <v>006</v>
      </c>
      <c r="D825">
        <v>2009</v>
      </c>
      <c r="E825">
        <v>7670300</v>
      </c>
      <c r="F825">
        <v>7670300</v>
      </c>
      <c r="G825" t="s">
        <v>11</v>
      </c>
      <c r="H825" t="s">
        <v>38</v>
      </c>
      <c r="I825" t="s">
        <v>13</v>
      </c>
      <c r="J825" t="s">
        <v>13</v>
      </c>
    </row>
    <row r="826" spans="1:11" x14ac:dyDescent="0.25">
      <c r="A826" t="s">
        <v>5</v>
      </c>
      <c r="B826" t="str">
        <f>"28241"</f>
        <v>28241</v>
      </c>
      <c r="C826" t="str">
        <f>"007"</f>
        <v>007</v>
      </c>
      <c r="D826">
        <v>2012</v>
      </c>
      <c r="E826">
        <v>9961000</v>
      </c>
      <c r="F826">
        <v>9942800</v>
      </c>
      <c r="G826" t="s">
        <v>11</v>
      </c>
      <c r="H826" t="s">
        <v>38</v>
      </c>
      <c r="I826" t="s">
        <v>13</v>
      </c>
      <c r="J826" t="s">
        <v>13</v>
      </c>
    </row>
    <row r="827" spans="1:11" x14ac:dyDescent="0.25">
      <c r="A827" t="s">
        <v>5</v>
      </c>
      <c r="B827" t="str">
        <f>"28241"</f>
        <v>28241</v>
      </c>
      <c r="C827" t="str">
        <f>"008"</f>
        <v>008</v>
      </c>
      <c r="D827">
        <v>2015</v>
      </c>
      <c r="E827">
        <v>1706500</v>
      </c>
      <c r="F827">
        <v>833300</v>
      </c>
      <c r="G827" t="s">
        <v>11</v>
      </c>
      <c r="H827" t="s">
        <v>38</v>
      </c>
      <c r="I827" t="s">
        <v>13</v>
      </c>
      <c r="J827" t="s">
        <v>13</v>
      </c>
    </row>
    <row r="828" spans="1:11" x14ac:dyDescent="0.25">
      <c r="A828" t="s">
        <v>39</v>
      </c>
      <c r="B828" t="s">
        <v>13</v>
      </c>
      <c r="C828" t="s">
        <v>7</v>
      </c>
      <c r="D828" t="s">
        <v>8</v>
      </c>
      <c r="E828">
        <v>52065500</v>
      </c>
      <c r="F828">
        <v>29736800</v>
      </c>
      <c r="G828" t="s">
        <v>11</v>
      </c>
      <c r="H828">
        <v>535314100</v>
      </c>
      <c r="I828" t="s">
        <v>13</v>
      </c>
      <c r="J828" t="s">
        <v>13</v>
      </c>
      <c r="K828">
        <v>5.56</v>
      </c>
    </row>
    <row r="830" spans="1:11" x14ac:dyDescent="0.25">
      <c r="A830" t="s">
        <v>223</v>
      </c>
      <c r="B830" t="str">
        <f>"28141"</f>
        <v>28141</v>
      </c>
      <c r="C830" t="str">
        <f>"002"</f>
        <v>002</v>
      </c>
      <c r="D830">
        <v>1994</v>
      </c>
      <c r="E830">
        <v>74675400</v>
      </c>
      <c r="F830">
        <v>63296600</v>
      </c>
      <c r="G830" t="s">
        <v>11</v>
      </c>
      <c r="H830" t="s">
        <v>38</v>
      </c>
      <c r="I830" t="s">
        <v>13</v>
      </c>
      <c r="J830" t="s">
        <v>13</v>
      </c>
    </row>
    <row r="831" spans="1:11" x14ac:dyDescent="0.25">
      <c r="A831" t="s">
        <v>5</v>
      </c>
      <c r="B831" t="str">
        <f>"28141"</f>
        <v>28141</v>
      </c>
      <c r="C831" t="str">
        <f>"003"</f>
        <v>003</v>
      </c>
      <c r="D831">
        <v>1995</v>
      </c>
      <c r="E831">
        <v>62209100</v>
      </c>
      <c r="F831">
        <v>61507700</v>
      </c>
      <c r="G831" t="s">
        <v>11</v>
      </c>
      <c r="H831" t="s">
        <v>38</v>
      </c>
      <c r="I831" t="s">
        <v>13</v>
      </c>
      <c r="J831" t="s">
        <v>13</v>
      </c>
    </row>
    <row r="832" spans="1:11" x14ac:dyDescent="0.25">
      <c r="A832" t="s">
        <v>39</v>
      </c>
      <c r="B832" t="s">
        <v>13</v>
      </c>
      <c r="C832" t="s">
        <v>7</v>
      </c>
      <c r="D832" t="s">
        <v>8</v>
      </c>
      <c r="E832">
        <v>136884500</v>
      </c>
      <c r="F832">
        <v>124804300</v>
      </c>
      <c r="G832" t="s">
        <v>11</v>
      </c>
      <c r="H832">
        <v>352511200</v>
      </c>
      <c r="I832" t="s">
        <v>13</v>
      </c>
      <c r="J832" t="s">
        <v>13</v>
      </c>
      <c r="K832">
        <v>35.4</v>
      </c>
    </row>
    <row r="834" spans="1:11" x14ac:dyDescent="0.25">
      <c r="A834" t="s">
        <v>224</v>
      </c>
      <c r="B834" t="str">
        <f>"49141"</f>
        <v>49141</v>
      </c>
      <c r="C834" t="str">
        <f>"001"</f>
        <v>001</v>
      </c>
      <c r="D834">
        <v>2008</v>
      </c>
      <c r="E834">
        <v>2382800</v>
      </c>
      <c r="F834">
        <v>1037400</v>
      </c>
      <c r="G834" t="s">
        <v>11</v>
      </c>
      <c r="H834" t="s">
        <v>38</v>
      </c>
      <c r="I834" t="s">
        <v>13</v>
      </c>
      <c r="J834" t="s">
        <v>13</v>
      </c>
    </row>
    <row r="835" spans="1:11" x14ac:dyDescent="0.25">
      <c r="A835" t="s">
        <v>39</v>
      </c>
      <c r="B835" t="s">
        <v>13</v>
      </c>
      <c r="C835" t="s">
        <v>7</v>
      </c>
      <c r="D835" t="s">
        <v>8</v>
      </c>
      <c r="E835">
        <v>2382800</v>
      </c>
      <c r="F835">
        <v>1037400</v>
      </c>
      <c r="G835" t="s">
        <v>11</v>
      </c>
      <c r="H835">
        <v>19430300</v>
      </c>
      <c r="I835" t="s">
        <v>13</v>
      </c>
      <c r="J835" t="s">
        <v>13</v>
      </c>
      <c r="K835">
        <v>5.34</v>
      </c>
    </row>
    <row r="837" spans="1:11" x14ac:dyDescent="0.25">
      <c r="A837" t="s">
        <v>225</v>
      </c>
      <c r="B837" t="str">
        <f>"14241"</f>
        <v>14241</v>
      </c>
      <c r="C837" t="str">
        <f>"002"</f>
        <v>002</v>
      </c>
      <c r="D837">
        <v>1996</v>
      </c>
      <c r="E837">
        <v>19029500</v>
      </c>
      <c r="F837">
        <v>17590700</v>
      </c>
      <c r="G837" t="s">
        <v>11</v>
      </c>
      <c r="H837" t="s">
        <v>38</v>
      </c>
      <c r="I837" t="s">
        <v>13</v>
      </c>
      <c r="J837" t="s">
        <v>13</v>
      </c>
    </row>
    <row r="838" spans="1:11" x14ac:dyDescent="0.25">
      <c r="A838" t="s">
        <v>5</v>
      </c>
      <c r="B838" t="str">
        <f>"14241"</f>
        <v>14241</v>
      </c>
      <c r="C838" t="str">
        <f>"003"</f>
        <v>003</v>
      </c>
      <c r="D838">
        <v>1996</v>
      </c>
      <c r="E838">
        <v>4583800</v>
      </c>
      <c r="F838">
        <v>1860100</v>
      </c>
      <c r="G838" t="s">
        <v>11</v>
      </c>
      <c r="H838" t="s">
        <v>38</v>
      </c>
      <c r="I838" t="s">
        <v>13</v>
      </c>
      <c r="J838" t="s">
        <v>13</v>
      </c>
    </row>
    <row r="839" spans="1:11" x14ac:dyDescent="0.25">
      <c r="A839" t="s">
        <v>39</v>
      </c>
      <c r="B839" t="s">
        <v>13</v>
      </c>
      <c r="C839" t="s">
        <v>7</v>
      </c>
      <c r="D839" t="s">
        <v>8</v>
      </c>
      <c r="E839">
        <v>23613300</v>
      </c>
      <c r="F839">
        <v>19450800</v>
      </c>
      <c r="G839" t="s">
        <v>11</v>
      </c>
      <c r="H839">
        <v>108952300</v>
      </c>
      <c r="I839" t="s">
        <v>13</v>
      </c>
      <c r="J839" t="s">
        <v>13</v>
      </c>
      <c r="K839">
        <v>17.850000000000001</v>
      </c>
    </row>
    <row r="841" spans="1:11" x14ac:dyDescent="0.25">
      <c r="A841" t="s">
        <v>226</v>
      </c>
      <c r="B841" t="str">
        <f>"44241"</f>
        <v>44241</v>
      </c>
      <c r="C841" t="str">
        <f>"004"</f>
        <v>004</v>
      </c>
      <c r="D841">
        <v>2000</v>
      </c>
      <c r="E841">
        <v>18565000</v>
      </c>
      <c r="F841">
        <v>2515700</v>
      </c>
      <c r="G841" t="s">
        <v>11</v>
      </c>
      <c r="H841" t="s">
        <v>38</v>
      </c>
      <c r="I841" t="s">
        <v>13</v>
      </c>
      <c r="J841" t="s">
        <v>13</v>
      </c>
    </row>
    <row r="842" spans="1:11" x14ac:dyDescent="0.25">
      <c r="A842" t="s">
        <v>5</v>
      </c>
      <c r="B842" t="str">
        <f>"44241"</f>
        <v>44241</v>
      </c>
      <c r="C842" t="str">
        <f>"005"</f>
        <v>005</v>
      </c>
      <c r="D842">
        <v>2003</v>
      </c>
      <c r="E842">
        <v>1954300</v>
      </c>
      <c r="F842">
        <v>876400</v>
      </c>
      <c r="G842" t="s">
        <v>11</v>
      </c>
      <c r="H842" t="s">
        <v>38</v>
      </c>
      <c r="I842" t="s">
        <v>13</v>
      </c>
      <c r="J842" t="s">
        <v>13</v>
      </c>
    </row>
    <row r="843" spans="1:11" x14ac:dyDescent="0.25">
      <c r="A843" t="s">
        <v>5</v>
      </c>
      <c r="B843" t="str">
        <f>"44241"</f>
        <v>44241</v>
      </c>
      <c r="C843" t="str">
        <f>"006"</f>
        <v>006</v>
      </c>
      <c r="D843">
        <v>2006</v>
      </c>
      <c r="E843">
        <v>43656000</v>
      </c>
      <c r="F843">
        <v>40504300</v>
      </c>
      <c r="G843" t="s">
        <v>11</v>
      </c>
      <c r="H843" t="s">
        <v>38</v>
      </c>
      <c r="I843" t="s">
        <v>13</v>
      </c>
      <c r="J843" t="s">
        <v>13</v>
      </c>
    </row>
    <row r="844" spans="1:11" x14ac:dyDescent="0.25">
      <c r="A844" t="s">
        <v>5</v>
      </c>
      <c r="B844" t="str">
        <f>"44241"</f>
        <v>44241</v>
      </c>
      <c r="C844" t="str">
        <f>"008"</f>
        <v>008</v>
      </c>
      <c r="D844">
        <v>2013</v>
      </c>
      <c r="E844">
        <v>7749500</v>
      </c>
      <c r="F844">
        <v>5178300</v>
      </c>
      <c r="G844" t="s">
        <v>11</v>
      </c>
      <c r="H844" t="s">
        <v>38</v>
      </c>
      <c r="I844" t="s">
        <v>13</v>
      </c>
      <c r="J844" t="s">
        <v>13</v>
      </c>
    </row>
    <row r="845" spans="1:11" x14ac:dyDescent="0.25">
      <c r="A845" t="s">
        <v>5</v>
      </c>
      <c r="B845" t="str">
        <f>"44241"</f>
        <v>44241</v>
      </c>
      <c r="C845" t="str">
        <f>"009"</f>
        <v>009</v>
      </c>
      <c r="D845">
        <v>2016</v>
      </c>
      <c r="E845">
        <v>1938700</v>
      </c>
      <c r="F845">
        <v>632100</v>
      </c>
      <c r="G845" t="s">
        <v>11</v>
      </c>
      <c r="H845" t="s">
        <v>38</v>
      </c>
      <c r="I845" t="s">
        <v>13</v>
      </c>
      <c r="J845" t="s">
        <v>13</v>
      </c>
    </row>
    <row r="846" spans="1:11" x14ac:dyDescent="0.25">
      <c r="A846" t="s">
        <v>39</v>
      </c>
      <c r="B846" t="s">
        <v>13</v>
      </c>
      <c r="C846" t="s">
        <v>7</v>
      </c>
      <c r="D846" t="s">
        <v>8</v>
      </c>
      <c r="E846">
        <v>73863500</v>
      </c>
      <c r="F846">
        <v>49706800</v>
      </c>
      <c r="G846" t="s">
        <v>11</v>
      </c>
      <c r="H846">
        <v>1088410700</v>
      </c>
      <c r="I846" t="s">
        <v>13</v>
      </c>
      <c r="J846" t="s">
        <v>13</v>
      </c>
      <c r="K846">
        <v>4.57</v>
      </c>
    </row>
    <row r="848" spans="1:11" x14ac:dyDescent="0.25">
      <c r="A848" t="s">
        <v>227</v>
      </c>
      <c r="B848" t="str">
        <f>"36132"</f>
        <v>36132</v>
      </c>
      <c r="C848" t="str">
        <f>"001"</f>
        <v>001</v>
      </c>
      <c r="D848">
        <v>2003</v>
      </c>
      <c r="E848">
        <v>1241100</v>
      </c>
      <c r="F848">
        <v>457500</v>
      </c>
      <c r="G848" t="s">
        <v>11</v>
      </c>
      <c r="H848" t="s">
        <v>38</v>
      </c>
      <c r="I848" t="s">
        <v>13</v>
      </c>
      <c r="J848" t="s">
        <v>13</v>
      </c>
    </row>
    <row r="849" spans="1:11" x14ac:dyDescent="0.25">
      <c r="A849" t="s">
        <v>39</v>
      </c>
      <c r="B849" t="s">
        <v>13</v>
      </c>
      <c r="C849" t="s">
        <v>7</v>
      </c>
      <c r="D849" t="s">
        <v>8</v>
      </c>
      <c r="E849">
        <v>1241100</v>
      </c>
      <c r="F849">
        <v>457500</v>
      </c>
      <c r="G849" t="s">
        <v>11</v>
      </c>
      <c r="H849">
        <v>13201500</v>
      </c>
      <c r="I849" t="s">
        <v>13</v>
      </c>
      <c r="J849" t="s">
        <v>13</v>
      </c>
      <c r="K849">
        <v>3.47</v>
      </c>
    </row>
    <row r="851" spans="1:11" x14ac:dyDescent="0.25">
      <c r="A851" t="s">
        <v>228</v>
      </c>
      <c r="B851" t="str">
        <f t="shared" ref="B851:B867" si="10">"30241"</f>
        <v>30241</v>
      </c>
      <c r="C851" t="str">
        <f>"001"</f>
        <v>001</v>
      </c>
      <c r="D851">
        <v>1979</v>
      </c>
      <c r="E851">
        <v>70598900</v>
      </c>
      <c r="F851">
        <v>68325900</v>
      </c>
      <c r="G851" t="s">
        <v>11</v>
      </c>
      <c r="H851" t="s">
        <v>38</v>
      </c>
      <c r="I851" t="s">
        <v>13</v>
      </c>
      <c r="J851" t="s">
        <v>13</v>
      </c>
    </row>
    <row r="852" spans="1:11" x14ac:dyDescent="0.25">
      <c r="A852" t="s">
        <v>5</v>
      </c>
      <c r="B852" t="str">
        <f t="shared" si="10"/>
        <v>30241</v>
      </c>
      <c r="C852" t="str">
        <f>"004"</f>
        <v>004</v>
      </c>
      <c r="D852">
        <v>1989</v>
      </c>
      <c r="E852">
        <v>102871000</v>
      </c>
      <c r="F852">
        <v>86697700</v>
      </c>
      <c r="G852" t="s">
        <v>11</v>
      </c>
      <c r="H852" t="s">
        <v>38</v>
      </c>
      <c r="I852" t="s">
        <v>13</v>
      </c>
      <c r="J852" t="s">
        <v>13</v>
      </c>
    </row>
    <row r="853" spans="1:11" x14ac:dyDescent="0.25">
      <c r="A853" t="s">
        <v>5</v>
      </c>
      <c r="B853" t="str">
        <f t="shared" si="10"/>
        <v>30241</v>
      </c>
      <c r="C853" t="str">
        <f>"005"</f>
        <v>005</v>
      </c>
      <c r="D853">
        <v>1994</v>
      </c>
      <c r="E853">
        <v>99119500</v>
      </c>
      <c r="F853">
        <v>98799800</v>
      </c>
      <c r="G853" t="s">
        <v>11</v>
      </c>
      <c r="H853" t="s">
        <v>38</v>
      </c>
      <c r="I853" t="s">
        <v>13</v>
      </c>
      <c r="J853" t="s">
        <v>13</v>
      </c>
    </row>
    <row r="854" spans="1:11" x14ac:dyDescent="0.25">
      <c r="A854" t="s">
        <v>5</v>
      </c>
      <c r="B854" t="str">
        <f t="shared" si="10"/>
        <v>30241</v>
      </c>
      <c r="C854" t="str">
        <f>"006"</f>
        <v>006</v>
      </c>
      <c r="D854">
        <v>1997</v>
      </c>
      <c r="E854">
        <v>15393300</v>
      </c>
      <c r="F854">
        <v>11677100</v>
      </c>
      <c r="G854" t="s">
        <v>11</v>
      </c>
      <c r="H854" t="s">
        <v>38</v>
      </c>
      <c r="I854" t="s">
        <v>13</v>
      </c>
      <c r="J854" t="s">
        <v>13</v>
      </c>
    </row>
    <row r="855" spans="1:11" x14ac:dyDescent="0.25">
      <c r="A855" t="s">
        <v>5</v>
      </c>
      <c r="B855" t="str">
        <f t="shared" si="10"/>
        <v>30241</v>
      </c>
      <c r="C855" t="str">
        <f>"007"</f>
        <v>007</v>
      </c>
      <c r="D855">
        <v>2002</v>
      </c>
      <c r="E855">
        <v>10198700</v>
      </c>
      <c r="F855">
        <v>9020100</v>
      </c>
      <c r="G855" t="s">
        <v>11</v>
      </c>
      <c r="H855" t="s">
        <v>38</v>
      </c>
      <c r="I855" t="s">
        <v>13</v>
      </c>
      <c r="J855" t="s">
        <v>13</v>
      </c>
    </row>
    <row r="856" spans="1:11" x14ac:dyDescent="0.25">
      <c r="A856" t="s">
        <v>5</v>
      </c>
      <c r="B856" t="str">
        <f t="shared" si="10"/>
        <v>30241</v>
      </c>
      <c r="C856" t="str">
        <f>"008"</f>
        <v>008</v>
      </c>
      <c r="D856">
        <v>2002</v>
      </c>
      <c r="E856">
        <v>75652600</v>
      </c>
      <c r="F856">
        <v>75406700</v>
      </c>
      <c r="G856" t="s">
        <v>11</v>
      </c>
      <c r="H856" t="s">
        <v>38</v>
      </c>
      <c r="I856" t="s">
        <v>13</v>
      </c>
      <c r="J856" t="s">
        <v>13</v>
      </c>
    </row>
    <row r="857" spans="1:11" x14ac:dyDescent="0.25">
      <c r="A857" t="s">
        <v>5</v>
      </c>
      <c r="B857" t="str">
        <f t="shared" si="10"/>
        <v>30241</v>
      </c>
      <c r="C857" t="str">
        <f>"009"</f>
        <v>009</v>
      </c>
      <c r="D857">
        <v>2003</v>
      </c>
      <c r="E857">
        <v>57301700</v>
      </c>
      <c r="F857">
        <v>32763000</v>
      </c>
      <c r="G857" t="s">
        <v>11</v>
      </c>
      <c r="H857" t="s">
        <v>38</v>
      </c>
      <c r="I857" t="s">
        <v>13</v>
      </c>
      <c r="J857" t="s">
        <v>13</v>
      </c>
    </row>
    <row r="858" spans="1:11" x14ac:dyDescent="0.25">
      <c r="A858" t="s">
        <v>5</v>
      </c>
      <c r="B858" t="str">
        <f t="shared" si="10"/>
        <v>30241</v>
      </c>
      <c r="C858" t="str">
        <f>"010"</f>
        <v>010</v>
      </c>
      <c r="D858">
        <v>2005</v>
      </c>
      <c r="E858">
        <v>13768100</v>
      </c>
      <c r="F858">
        <v>1470400</v>
      </c>
      <c r="G858" t="s">
        <v>11</v>
      </c>
      <c r="H858" t="s">
        <v>38</v>
      </c>
      <c r="I858" t="s">
        <v>13</v>
      </c>
      <c r="J858" t="s">
        <v>13</v>
      </c>
    </row>
    <row r="859" spans="1:11" x14ac:dyDescent="0.25">
      <c r="A859" t="s">
        <v>5</v>
      </c>
      <c r="B859" t="str">
        <f t="shared" si="10"/>
        <v>30241</v>
      </c>
      <c r="C859" t="str">
        <f>"011"</f>
        <v>011</v>
      </c>
      <c r="D859">
        <v>2006</v>
      </c>
      <c r="E859">
        <v>95152400</v>
      </c>
      <c r="F859">
        <v>92279100</v>
      </c>
      <c r="G859" t="s">
        <v>11</v>
      </c>
      <c r="H859" t="s">
        <v>38</v>
      </c>
      <c r="I859" t="s">
        <v>13</v>
      </c>
      <c r="J859" t="s">
        <v>13</v>
      </c>
    </row>
    <row r="860" spans="1:11" x14ac:dyDescent="0.25">
      <c r="A860" t="s">
        <v>5</v>
      </c>
      <c r="B860" t="str">
        <f t="shared" si="10"/>
        <v>30241</v>
      </c>
      <c r="C860" t="str">
        <f>"013"</f>
        <v>013</v>
      </c>
      <c r="D860">
        <v>2008</v>
      </c>
      <c r="E860">
        <v>50155100</v>
      </c>
      <c r="F860">
        <v>50123100</v>
      </c>
      <c r="G860" t="s">
        <v>11</v>
      </c>
      <c r="H860" t="s">
        <v>38</v>
      </c>
      <c r="I860" t="s">
        <v>13</v>
      </c>
      <c r="J860" t="s">
        <v>13</v>
      </c>
    </row>
    <row r="861" spans="1:11" x14ac:dyDescent="0.25">
      <c r="A861" t="s">
        <v>5</v>
      </c>
      <c r="B861" t="str">
        <f t="shared" si="10"/>
        <v>30241</v>
      </c>
      <c r="C861" t="str">
        <f>"015"</f>
        <v>015</v>
      </c>
      <c r="D861">
        <v>2013</v>
      </c>
      <c r="E861">
        <v>284700</v>
      </c>
      <c r="F861">
        <v>-6800</v>
      </c>
      <c r="G861" t="s">
        <v>43</v>
      </c>
      <c r="H861" t="s">
        <v>38</v>
      </c>
      <c r="I861" t="s">
        <v>13</v>
      </c>
      <c r="J861" t="s">
        <v>13</v>
      </c>
    </row>
    <row r="862" spans="1:11" x14ac:dyDescent="0.25">
      <c r="A862" t="s">
        <v>5</v>
      </c>
      <c r="B862" t="str">
        <f t="shared" si="10"/>
        <v>30241</v>
      </c>
      <c r="C862" t="str">
        <f>"016"</f>
        <v>016</v>
      </c>
      <c r="D862">
        <v>2013</v>
      </c>
      <c r="E862">
        <v>149781700</v>
      </c>
      <c r="F862">
        <v>148209800</v>
      </c>
      <c r="G862" t="s">
        <v>11</v>
      </c>
      <c r="H862" t="s">
        <v>38</v>
      </c>
      <c r="I862" t="s">
        <v>13</v>
      </c>
      <c r="J862" t="s">
        <v>13</v>
      </c>
    </row>
    <row r="863" spans="1:11" x14ac:dyDescent="0.25">
      <c r="A863" t="s">
        <v>5</v>
      </c>
      <c r="B863" t="str">
        <f t="shared" si="10"/>
        <v>30241</v>
      </c>
      <c r="C863" t="str">
        <f>"017"</f>
        <v>017</v>
      </c>
      <c r="D863">
        <v>2014</v>
      </c>
      <c r="E863">
        <v>8173400</v>
      </c>
      <c r="F863">
        <v>8122500</v>
      </c>
      <c r="G863" t="s">
        <v>11</v>
      </c>
      <c r="H863" t="s">
        <v>38</v>
      </c>
      <c r="I863" t="s">
        <v>13</v>
      </c>
      <c r="J863" t="s">
        <v>13</v>
      </c>
    </row>
    <row r="864" spans="1:11" x14ac:dyDescent="0.25">
      <c r="A864" t="s">
        <v>5</v>
      </c>
      <c r="B864" t="str">
        <f t="shared" si="10"/>
        <v>30241</v>
      </c>
      <c r="C864" t="str">
        <f>"018"</f>
        <v>018</v>
      </c>
      <c r="D864">
        <v>2015</v>
      </c>
      <c r="E864">
        <v>1762100</v>
      </c>
      <c r="F864">
        <v>1579800</v>
      </c>
      <c r="G864" t="s">
        <v>11</v>
      </c>
      <c r="H864" t="s">
        <v>38</v>
      </c>
      <c r="I864" t="s">
        <v>13</v>
      </c>
      <c r="J864" t="s">
        <v>13</v>
      </c>
    </row>
    <row r="865" spans="1:11" x14ac:dyDescent="0.25">
      <c r="A865" t="s">
        <v>5</v>
      </c>
      <c r="B865" t="str">
        <f t="shared" si="10"/>
        <v>30241</v>
      </c>
      <c r="C865" t="str">
        <f>"019"</f>
        <v>019</v>
      </c>
      <c r="D865">
        <v>2017</v>
      </c>
      <c r="E865">
        <v>315300</v>
      </c>
      <c r="F865">
        <v>-85600</v>
      </c>
      <c r="G865" t="s">
        <v>43</v>
      </c>
      <c r="H865" t="s">
        <v>38</v>
      </c>
      <c r="I865" t="s">
        <v>13</v>
      </c>
      <c r="J865" t="s">
        <v>13</v>
      </c>
    </row>
    <row r="866" spans="1:11" x14ac:dyDescent="0.25">
      <c r="A866" t="s">
        <v>5</v>
      </c>
      <c r="B866" t="str">
        <f t="shared" si="10"/>
        <v>30241</v>
      </c>
      <c r="C866" t="str">
        <f>"020"</f>
        <v>020</v>
      </c>
      <c r="D866">
        <v>2017</v>
      </c>
      <c r="E866">
        <v>3800</v>
      </c>
      <c r="F866">
        <v>-200</v>
      </c>
      <c r="G866" t="s">
        <v>43</v>
      </c>
      <c r="H866" t="s">
        <v>38</v>
      </c>
      <c r="I866" t="s">
        <v>13</v>
      </c>
      <c r="J866" t="s">
        <v>13</v>
      </c>
    </row>
    <row r="867" spans="1:11" x14ac:dyDescent="0.25">
      <c r="A867" t="s">
        <v>5</v>
      </c>
      <c r="B867" t="str">
        <f t="shared" si="10"/>
        <v>30241</v>
      </c>
      <c r="C867" t="str">
        <f>"021"</f>
        <v>021</v>
      </c>
      <c r="D867">
        <v>2017</v>
      </c>
      <c r="E867">
        <v>4545600</v>
      </c>
      <c r="F867">
        <v>4526200</v>
      </c>
      <c r="G867" t="s">
        <v>11</v>
      </c>
      <c r="H867" t="s">
        <v>38</v>
      </c>
      <c r="I867" t="s">
        <v>13</v>
      </c>
      <c r="J867" t="s">
        <v>13</v>
      </c>
    </row>
    <row r="868" spans="1:11" x14ac:dyDescent="0.25">
      <c r="A868" t="s">
        <v>39</v>
      </c>
      <c r="B868" t="s">
        <v>13</v>
      </c>
      <c r="C868" t="s">
        <v>7</v>
      </c>
      <c r="D868" t="s">
        <v>8</v>
      </c>
      <c r="E868">
        <v>755077900</v>
      </c>
      <c r="F868">
        <v>689001200</v>
      </c>
      <c r="G868" t="s">
        <v>11</v>
      </c>
      <c r="H868">
        <v>6628943800</v>
      </c>
      <c r="I868" t="s">
        <v>13</v>
      </c>
      <c r="J868" t="s">
        <v>13</v>
      </c>
      <c r="K868">
        <v>10.39</v>
      </c>
    </row>
    <row r="870" spans="1:11" x14ac:dyDescent="0.25">
      <c r="A870" t="s">
        <v>229</v>
      </c>
      <c r="B870" t="str">
        <f>"66142"</f>
        <v>66142</v>
      </c>
      <c r="C870" t="str">
        <f>"002"</f>
        <v>002</v>
      </c>
      <c r="D870">
        <v>2005</v>
      </c>
      <c r="E870">
        <v>22265500</v>
      </c>
      <c r="F870">
        <v>19396800</v>
      </c>
      <c r="G870" t="s">
        <v>11</v>
      </c>
      <c r="H870" t="s">
        <v>38</v>
      </c>
      <c r="I870" t="s">
        <v>13</v>
      </c>
      <c r="J870" t="s">
        <v>13</v>
      </c>
    </row>
    <row r="871" spans="1:11" x14ac:dyDescent="0.25">
      <c r="A871" t="s">
        <v>39</v>
      </c>
      <c r="B871" t="s">
        <v>13</v>
      </c>
      <c r="C871" t="s">
        <v>7</v>
      </c>
      <c r="D871" t="s">
        <v>8</v>
      </c>
      <c r="E871">
        <v>22265500</v>
      </c>
      <c r="F871">
        <v>19396800</v>
      </c>
      <c r="G871" t="s">
        <v>11</v>
      </c>
      <c r="H871">
        <v>320761000</v>
      </c>
      <c r="I871" t="s">
        <v>13</v>
      </c>
      <c r="J871" t="s">
        <v>13</v>
      </c>
      <c r="K871">
        <v>6.05</v>
      </c>
    </row>
    <row r="873" spans="1:11" x14ac:dyDescent="0.25">
      <c r="A873" t="s">
        <v>230</v>
      </c>
      <c r="B873" t="str">
        <f>"31241"</f>
        <v>31241</v>
      </c>
      <c r="C873" t="str">
        <f>"002"</f>
        <v>002</v>
      </c>
      <c r="D873">
        <v>1994</v>
      </c>
      <c r="E873">
        <v>6065100</v>
      </c>
      <c r="F873">
        <v>5666100</v>
      </c>
      <c r="G873" t="s">
        <v>11</v>
      </c>
      <c r="H873" t="s">
        <v>38</v>
      </c>
      <c r="I873" t="s">
        <v>13</v>
      </c>
      <c r="J873" t="s">
        <v>13</v>
      </c>
    </row>
    <row r="874" spans="1:11" x14ac:dyDescent="0.25">
      <c r="A874" t="s">
        <v>39</v>
      </c>
      <c r="B874" t="s">
        <v>13</v>
      </c>
      <c r="C874" t="s">
        <v>7</v>
      </c>
      <c r="D874" t="s">
        <v>8</v>
      </c>
      <c r="E874">
        <v>6065100</v>
      </c>
      <c r="F874">
        <v>5666100</v>
      </c>
      <c r="G874" t="s">
        <v>11</v>
      </c>
      <c r="H874">
        <v>165968400</v>
      </c>
      <c r="I874" t="s">
        <v>13</v>
      </c>
      <c r="J874" t="s">
        <v>13</v>
      </c>
      <c r="K874">
        <v>3.41</v>
      </c>
    </row>
    <row r="876" spans="1:11" x14ac:dyDescent="0.25">
      <c r="A876" t="s">
        <v>231</v>
      </c>
      <c r="B876" t="str">
        <f>"36241"</f>
        <v>36241</v>
      </c>
      <c r="C876" t="str">
        <f>"004"</f>
        <v>004</v>
      </c>
      <c r="D876">
        <v>2011</v>
      </c>
      <c r="E876">
        <v>23017700</v>
      </c>
      <c r="F876">
        <v>19320600</v>
      </c>
      <c r="G876" t="s">
        <v>11</v>
      </c>
      <c r="H876" t="s">
        <v>38</v>
      </c>
      <c r="I876" t="s">
        <v>13</v>
      </c>
      <c r="J876" t="s">
        <v>13</v>
      </c>
    </row>
    <row r="877" spans="1:11" x14ac:dyDescent="0.25">
      <c r="A877" t="s">
        <v>5</v>
      </c>
      <c r="B877" t="str">
        <f>"08241"</f>
        <v>08241</v>
      </c>
      <c r="C877" t="str">
        <f>"005"</f>
        <v>005</v>
      </c>
      <c r="D877">
        <v>2014</v>
      </c>
      <c r="E877">
        <v>26341600</v>
      </c>
      <c r="F877">
        <v>15406600</v>
      </c>
      <c r="G877" t="s">
        <v>11</v>
      </c>
      <c r="H877" t="s">
        <v>38</v>
      </c>
      <c r="I877" t="s">
        <v>13</v>
      </c>
      <c r="J877" t="s">
        <v>13</v>
      </c>
    </row>
    <row r="878" spans="1:11" x14ac:dyDescent="0.25">
      <c r="A878" t="s">
        <v>39</v>
      </c>
      <c r="B878" t="s">
        <v>13</v>
      </c>
      <c r="C878" t="s">
        <v>7</v>
      </c>
      <c r="D878" t="s">
        <v>8</v>
      </c>
      <c r="E878">
        <v>49359300</v>
      </c>
      <c r="F878">
        <v>34727200</v>
      </c>
      <c r="G878" t="s">
        <v>11</v>
      </c>
      <c r="H878">
        <v>303285800</v>
      </c>
      <c r="I878" t="s">
        <v>13</v>
      </c>
      <c r="J878" t="s">
        <v>13</v>
      </c>
      <c r="K878">
        <v>11.45</v>
      </c>
    </row>
    <row r="880" spans="1:11" x14ac:dyDescent="0.25">
      <c r="A880" t="s">
        <v>232</v>
      </c>
      <c r="B880" t="str">
        <f>"44141"</f>
        <v>44141</v>
      </c>
      <c r="C880" t="str">
        <f>"004"</f>
        <v>004</v>
      </c>
      <c r="D880">
        <v>2005</v>
      </c>
      <c r="E880">
        <v>10128400</v>
      </c>
      <c r="F880">
        <v>9350200</v>
      </c>
      <c r="G880" t="s">
        <v>11</v>
      </c>
      <c r="H880" t="s">
        <v>38</v>
      </c>
      <c r="I880" t="s">
        <v>13</v>
      </c>
      <c r="J880" t="s">
        <v>13</v>
      </c>
    </row>
    <row r="881" spans="1:11" x14ac:dyDescent="0.25">
      <c r="A881" t="s">
        <v>5</v>
      </c>
      <c r="B881" t="str">
        <f>"44141"</f>
        <v>44141</v>
      </c>
      <c r="C881" t="str">
        <f>"005"</f>
        <v>005</v>
      </c>
      <c r="D881">
        <v>2008</v>
      </c>
      <c r="E881">
        <v>44038000</v>
      </c>
      <c r="F881">
        <v>32692900</v>
      </c>
      <c r="G881" t="s">
        <v>11</v>
      </c>
      <c r="H881" t="s">
        <v>38</v>
      </c>
      <c r="I881" t="s">
        <v>13</v>
      </c>
      <c r="J881" t="s">
        <v>13</v>
      </c>
    </row>
    <row r="882" spans="1:11" x14ac:dyDescent="0.25">
      <c r="A882" t="s">
        <v>5</v>
      </c>
      <c r="B882" t="str">
        <f>"44141"</f>
        <v>44141</v>
      </c>
      <c r="C882" t="str">
        <f>"006"</f>
        <v>006</v>
      </c>
      <c r="D882">
        <v>2016</v>
      </c>
      <c r="E882">
        <v>13759100</v>
      </c>
      <c r="F882">
        <v>-159400</v>
      </c>
      <c r="G882" t="s">
        <v>43</v>
      </c>
      <c r="H882" t="s">
        <v>38</v>
      </c>
      <c r="I882" t="s">
        <v>13</v>
      </c>
      <c r="J882" t="s">
        <v>13</v>
      </c>
    </row>
    <row r="883" spans="1:11" x14ac:dyDescent="0.25">
      <c r="A883" t="s">
        <v>39</v>
      </c>
      <c r="B883" t="s">
        <v>13</v>
      </c>
      <c r="C883" t="s">
        <v>7</v>
      </c>
      <c r="D883" t="s">
        <v>8</v>
      </c>
      <c r="E883">
        <v>67925500</v>
      </c>
      <c r="F883">
        <v>42043100</v>
      </c>
      <c r="G883" t="s">
        <v>11</v>
      </c>
      <c r="H883">
        <v>524142700</v>
      </c>
      <c r="I883" t="s">
        <v>13</v>
      </c>
      <c r="J883" t="s">
        <v>13</v>
      </c>
      <c r="K883">
        <v>8.02</v>
      </c>
    </row>
    <row r="885" spans="1:11" x14ac:dyDescent="0.25">
      <c r="A885" t="s">
        <v>233</v>
      </c>
      <c r="B885" t="str">
        <f>"17141"</f>
        <v>17141</v>
      </c>
      <c r="C885" t="str">
        <f>"002"</f>
        <v>002</v>
      </c>
      <c r="D885">
        <v>1997</v>
      </c>
      <c r="E885">
        <v>2082900</v>
      </c>
      <c r="F885">
        <v>396900</v>
      </c>
      <c r="G885" t="s">
        <v>11</v>
      </c>
      <c r="H885" t="s">
        <v>38</v>
      </c>
      <c r="I885" t="s">
        <v>13</v>
      </c>
      <c r="J885" t="s">
        <v>13</v>
      </c>
    </row>
    <row r="886" spans="1:11" x14ac:dyDescent="0.25">
      <c r="A886" t="s">
        <v>5</v>
      </c>
      <c r="B886" t="str">
        <f>"17141"</f>
        <v>17141</v>
      </c>
      <c r="C886" t="str">
        <f>"003"</f>
        <v>003</v>
      </c>
      <c r="D886">
        <v>2005</v>
      </c>
      <c r="E886">
        <v>2471800</v>
      </c>
      <c r="F886">
        <v>2270600</v>
      </c>
      <c r="G886" t="s">
        <v>11</v>
      </c>
      <c r="H886" t="s">
        <v>38</v>
      </c>
      <c r="I886" t="s">
        <v>13</v>
      </c>
      <c r="J886" t="s">
        <v>13</v>
      </c>
    </row>
    <row r="887" spans="1:11" x14ac:dyDescent="0.25">
      <c r="A887" t="s">
        <v>39</v>
      </c>
      <c r="B887" t="s">
        <v>13</v>
      </c>
      <c r="C887" t="s">
        <v>7</v>
      </c>
      <c r="D887" t="s">
        <v>8</v>
      </c>
      <c r="E887">
        <v>4554700</v>
      </c>
      <c r="F887">
        <v>2667500</v>
      </c>
      <c r="G887" t="s">
        <v>11</v>
      </c>
      <c r="H887">
        <v>21863600</v>
      </c>
      <c r="I887" t="s">
        <v>13</v>
      </c>
      <c r="J887" t="s">
        <v>13</v>
      </c>
      <c r="K887">
        <v>12.2</v>
      </c>
    </row>
    <row r="889" spans="1:11" x14ac:dyDescent="0.25">
      <c r="A889" t="s">
        <v>234</v>
      </c>
      <c r="B889" t="str">
        <f>"37145"</f>
        <v>37145</v>
      </c>
      <c r="C889" t="str">
        <f>"001"</f>
        <v>001</v>
      </c>
      <c r="D889">
        <v>2005</v>
      </c>
      <c r="E889">
        <v>16336400</v>
      </c>
      <c r="F889">
        <v>14074100</v>
      </c>
      <c r="G889" t="s">
        <v>11</v>
      </c>
      <c r="H889" t="s">
        <v>38</v>
      </c>
      <c r="I889" t="s">
        <v>13</v>
      </c>
      <c r="J889" t="s">
        <v>13</v>
      </c>
    </row>
    <row r="890" spans="1:11" x14ac:dyDescent="0.25">
      <c r="A890" t="s">
        <v>5</v>
      </c>
      <c r="B890" t="str">
        <f>"37145"</f>
        <v>37145</v>
      </c>
      <c r="C890" t="str">
        <f>"002"</f>
        <v>002</v>
      </c>
      <c r="D890">
        <v>2005</v>
      </c>
      <c r="E890">
        <v>32006200</v>
      </c>
      <c r="F890">
        <v>26607600</v>
      </c>
      <c r="G890" t="s">
        <v>11</v>
      </c>
      <c r="H890" t="s">
        <v>38</v>
      </c>
      <c r="I890" t="s">
        <v>13</v>
      </c>
      <c r="J890" t="s">
        <v>13</v>
      </c>
    </row>
    <row r="891" spans="1:11" x14ac:dyDescent="0.25">
      <c r="A891" t="s">
        <v>5</v>
      </c>
      <c r="B891" t="str">
        <f>"37145"</f>
        <v>37145</v>
      </c>
      <c r="C891" t="str">
        <f>"003"</f>
        <v>003</v>
      </c>
      <c r="D891">
        <v>2005</v>
      </c>
      <c r="E891">
        <v>1024700</v>
      </c>
      <c r="F891">
        <v>619600</v>
      </c>
      <c r="G891" t="s">
        <v>11</v>
      </c>
      <c r="H891" t="s">
        <v>38</v>
      </c>
      <c r="I891" t="s">
        <v>13</v>
      </c>
      <c r="J891" t="s">
        <v>13</v>
      </c>
    </row>
    <row r="892" spans="1:11" x14ac:dyDescent="0.25">
      <c r="A892" t="s">
        <v>5</v>
      </c>
      <c r="B892" t="str">
        <f>"37145"</f>
        <v>37145</v>
      </c>
      <c r="C892" t="str">
        <f>"004"</f>
        <v>004</v>
      </c>
      <c r="D892">
        <v>2005</v>
      </c>
      <c r="E892">
        <v>5038200</v>
      </c>
      <c r="F892">
        <v>4931600</v>
      </c>
      <c r="G892" t="s">
        <v>11</v>
      </c>
      <c r="H892" t="s">
        <v>38</v>
      </c>
      <c r="I892" t="s">
        <v>13</v>
      </c>
      <c r="J892" t="s">
        <v>13</v>
      </c>
    </row>
    <row r="893" spans="1:11" x14ac:dyDescent="0.25">
      <c r="A893" t="s">
        <v>39</v>
      </c>
      <c r="B893" t="s">
        <v>13</v>
      </c>
      <c r="C893" t="s">
        <v>7</v>
      </c>
      <c r="D893" t="s">
        <v>8</v>
      </c>
      <c r="E893">
        <v>54405500</v>
      </c>
      <c r="F893">
        <v>46232900</v>
      </c>
      <c r="G893" t="s">
        <v>11</v>
      </c>
      <c r="H893">
        <v>594524100</v>
      </c>
      <c r="I893" t="s">
        <v>13</v>
      </c>
      <c r="J893" t="s">
        <v>13</v>
      </c>
      <c r="K893">
        <v>7.78</v>
      </c>
    </row>
    <row r="895" spans="1:11" x14ac:dyDescent="0.25">
      <c r="A895" t="s">
        <v>235</v>
      </c>
      <c r="B895" t="str">
        <f t="shared" ref="B895:B905" si="11">"32246"</f>
        <v>32246</v>
      </c>
      <c r="C895" t="str">
        <f>"006"</f>
        <v>006</v>
      </c>
      <c r="D895">
        <v>1994</v>
      </c>
      <c r="E895">
        <v>99031500</v>
      </c>
      <c r="F895">
        <v>65146700</v>
      </c>
      <c r="G895" t="s">
        <v>11</v>
      </c>
      <c r="H895" t="s">
        <v>38</v>
      </c>
      <c r="I895" t="s">
        <v>13</v>
      </c>
      <c r="J895" t="s">
        <v>13</v>
      </c>
    </row>
    <row r="896" spans="1:11" x14ac:dyDescent="0.25">
      <c r="A896" t="s">
        <v>5</v>
      </c>
      <c r="B896" t="str">
        <f t="shared" si="11"/>
        <v>32246</v>
      </c>
      <c r="C896" t="str">
        <f>"007"</f>
        <v>007</v>
      </c>
      <c r="D896">
        <v>1997</v>
      </c>
      <c r="E896">
        <v>26107400</v>
      </c>
      <c r="F896">
        <v>11106600</v>
      </c>
      <c r="G896" t="s">
        <v>11</v>
      </c>
      <c r="H896" t="s">
        <v>38</v>
      </c>
      <c r="I896" t="s">
        <v>13</v>
      </c>
      <c r="J896" t="s">
        <v>13</v>
      </c>
    </row>
    <row r="897" spans="1:11" x14ac:dyDescent="0.25">
      <c r="A897" t="s">
        <v>5</v>
      </c>
      <c r="B897" t="str">
        <f t="shared" si="11"/>
        <v>32246</v>
      </c>
      <c r="C897" t="str">
        <f>"009"</f>
        <v>009</v>
      </c>
      <c r="D897">
        <v>1999</v>
      </c>
      <c r="E897">
        <v>21332700</v>
      </c>
      <c r="F897">
        <v>19889800</v>
      </c>
      <c r="G897" t="s">
        <v>11</v>
      </c>
      <c r="H897" t="s">
        <v>38</v>
      </c>
      <c r="I897" t="s">
        <v>13</v>
      </c>
      <c r="J897" t="s">
        <v>13</v>
      </c>
    </row>
    <row r="898" spans="1:11" x14ac:dyDescent="0.25">
      <c r="A898" t="s">
        <v>5</v>
      </c>
      <c r="B898" t="str">
        <f t="shared" si="11"/>
        <v>32246</v>
      </c>
      <c r="C898" t="str">
        <f>"010"</f>
        <v>010</v>
      </c>
      <c r="D898">
        <v>2003</v>
      </c>
      <c r="E898">
        <v>5459300</v>
      </c>
      <c r="F898">
        <v>2919200</v>
      </c>
      <c r="G898" t="s">
        <v>11</v>
      </c>
      <c r="H898" t="s">
        <v>38</v>
      </c>
      <c r="I898" t="s">
        <v>13</v>
      </c>
      <c r="J898" t="s">
        <v>13</v>
      </c>
    </row>
    <row r="899" spans="1:11" x14ac:dyDescent="0.25">
      <c r="A899" t="s">
        <v>5</v>
      </c>
      <c r="B899" t="str">
        <f t="shared" si="11"/>
        <v>32246</v>
      </c>
      <c r="C899" t="str">
        <f>"011"</f>
        <v>011</v>
      </c>
      <c r="D899">
        <v>2005</v>
      </c>
      <c r="E899">
        <v>286309700</v>
      </c>
      <c r="F899">
        <v>153353900</v>
      </c>
      <c r="G899" t="s">
        <v>11</v>
      </c>
      <c r="H899" t="s">
        <v>38</v>
      </c>
      <c r="I899" t="s">
        <v>13</v>
      </c>
      <c r="J899" t="s">
        <v>13</v>
      </c>
    </row>
    <row r="900" spans="1:11" x14ac:dyDescent="0.25">
      <c r="A900" t="s">
        <v>5</v>
      </c>
      <c r="B900" t="str">
        <f t="shared" si="11"/>
        <v>32246</v>
      </c>
      <c r="C900" t="str">
        <f>"012"</f>
        <v>012</v>
      </c>
      <c r="D900">
        <v>2005</v>
      </c>
      <c r="E900">
        <v>42986900</v>
      </c>
      <c r="F900">
        <v>23623100</v>
      </c>
      <c r="G900" t="s">
        <v>11</v>
      </c>
      <c r="H900" t="s">
        <v>38</v>
      </c>
      <c r="I900" t="s">
        <v>13</v>
      </c>
      <c r="J900" t="s">
        <v>13</v>
      </c>
    </row>
    <row r="901" spans="1:11" x14ac:dyDescent="0.25">
      <c r="A901" t="s">
        <v>5</v>
      </c>
      <c r="B901" t="str">
        <f t="shared" si="11"/>
        <v>32246</v>
      </c>
      <c r="C901" t="str">
        <f>"013"</f>
        <v>013</v>
      </c>
      <c r="D901">
        <v>2006</v>
      </c>
      <c r="E901">
        <v>107536200</v>
      </c>
      <c r="F901">
        <v>53837800</v>
      </c>
      <c r="G901" t="s">
        <v>11</v>
      </c>
      <c r="H901" t="s">
        <v>38</v>
      </c>
      <c r="I901" t="s">
        <v>13</v>
      </c>
      <c r="J901" t="s">
        <v>13</v>
      </c>
    </row>
    <row r="902" spans="1:11" x14ac:dyDescent="0.25">
      <c r="A902" t="s">
        <v>5</v>
      </c>
      <c r="B902" t="str">
        <f t="shared" si="11"/>
        <v>32246</v>
      </c>
      <c r="C902" t="str">
        <f>"014"</f>
        <v>014</v>
      </c>
      <c r="D902">
        <v>2006</v>
      </c>
      <c r="E902">
        <v>121225600</v>
      </c>
      <c r="F902">
        <v>60478300</v>
      </c>
      <c r="G902" t="s">
        <v>11</v>
      </c>
      <c r="H902" t="s">
        <v>38</v>
      </c>
      <c r="I902" t="s">
        <v>13</v>
      </c>
      <c r="J902" t="s">
        <v>13</v>
      </c>
    </row>
    <row r="903" spans="1:11" x14ac:dyDescent="0.25">
      <c r="A903" t="s">
        <v>5</v>
      </c>
      <c r="B903" t="str">
        <f t="shared" si="11"/>
        <v>32246</v>
      </c>
      <c r="C903" t="str">
        <f>"015"</f>
        <v>015</v>
      </c>
      <c r="D903">
        <v>2013</v>
      </c>
      <c r="E903">
        <v>92529200</v>
      </c>
      <c r="F903">
        <v>29727200</v>
      </c>
      <c r="G903" t="s">
        <v>11</v>
      </c>
      <c r="H903" t="s">
        <v>38</v>
      </c>
      <c r="I903" t="s">
        <v>13</v>
      </c>
      <c r="J903" t="s">
        <v>13</v>
      </c>
    </row>
    <row r="904" spans="1:11" x14ac:dyDescent="0.25">
      <c r="A904" t="s">
        <v>5</v>
      </c>
      <c r="B904" t="str">
        <f t="shared" si="11"/>
        <v>32246</v>
      </c>
      <c r="C904" t="str">
        <f>"016"</f>
        <v>016</v>
      </c>
      <c r="D904">
        <v>2014</v>
      </c>
      <c r="E904">
        <v>24914700</v>
      </c>
      <c r="F904">
        <v>6827400</v>
      </c>
      <c r="G904" t="s">
        <v>11</v>
      </c>
      <c r="H904" t="s">
        <v>38</v>
      </c>
      <c r="I904" t="s">
        <v>13</v>
      </c>
      <c r="J904" t="s">
        <v>13</v>
      </c>
    </row>
    <row r="905" spans="1:11" x14ac:dyDescent="0.25">
      <c r="A905" t="s">
        <v>5</v>
      </c>
      <c r="B905" t="str">
        <f t="shared" si="11"/>
        <v>32246</v>
      </c>
      <c r="C905" t="str">
        <f>"017"</f>
        <v>017</v>
      </c>
      <c r="D905">
        <v>2015</v>
      </c>
      <c r="E905">
        <v>56462200</v>
      </c>
      <c r="F905">
        <v>44717600</v>
      </c>
      <c r="G905" t="s">
        <v>11</v>
      </c>
      <c r="H905" t="s">
        <v>38</v>
      </c>
      <c r="I905" t="s">
        <v>13</v>
      </c>
      <c r="J905" t="s">
        <v>13</v>
      </c>
    </row>
    <row r="906" spans="1:11" x14ac:dyDescent="0.25">
      <c r="A906" t="s">
        <v>39</v>
      </c>
      <c r="B906" t="s">
        <v>13</v>
      </c>
      <c r="C906" t="s">
        <v>7</v>
      </c>
      <c r="D906" t="s">
        <v>8</v>
      </c>
      <c r="E906">
        <v>883895400</v>
      </c>
      <c r="F906">
        <v>471627600</v>
      </c>
      <c r="G906" t="s">
        <v>11</v>
      </c>
      <c r="H906">
        <v>3877255400</v>
      </c>
      <c r="I906" t="s">
        <v>13</v>
      </c>
      <c r="J906" t="s">
        <v>13</v>
      </c>
      <c r="K906">
        <v>12.16</v>
      </c>
    </row>
    <row r="908" spans="1:11" x14ac:dyDescent="0.25">
      <c r="A908" t="s">
        <v>236</v>
      </c>
      <c r="B908" t="str">
        <f>"62146"</f>
        <v>62146</v>
      </c>
      <c r="C908" t="str">
        <f>"001"</f>
        <v>001</v>
      </c>
      <c r="D908">
        <v>2003</v>
      </c>
      <c r="E908">
        <v>9904000</v>
      </c>
      <c r="F908">
        <v>9785700</v>
      </c>
      <c r="G908" t="s">
        <v>11</v>
      </c>
      <c r="H908" t="s">
        <v>38</v>
      </c>
      <c r="I908" t="s">
        <v>13</v>
      </c>
      <c r="J908" t="s">
        <v>13</v>
      </c>
    </row>
    <row r="909" spans="1:11" x14ac:dyDescent="0.25">
      <c r="A909" t="s">
        <v>39</v>
      </c>
      <c r="B909" t="s">
        <v>13</v>
      </c>
      <c r="C909" t="s">
        <v>7</v>
      </c>
      <c r="D909" t="s">
        <v>8</v>
      </c>
      <c r="E909">
        <v>9904000</v>
      </c>
      <c r="F909">
        <v>9785700</v>
      </c>
      <c r="G909" t="s">
        <v>11</v>
      </c>
      <c r="H909">
        <v>34813600</v>
      </c>
      <c r="I909" t="s">
        <v>13</v>
      </c>
      <c r="J909" t="s">
        <v>13</v>
      </c>
      <c r="K909">
        <v>28.11</v>
      </c>
    </row>
    <row r="911" spans="1:11" x14ac:dyDescent="0.25">
      <c r="A911" t="s">
        <v>237</v>
      </c>
      <c r="B911" t="str">
        <f>"54246"</f>
        <v>54246</v>
      </c>
      <c r="C911" t="str">
        <f>"005"</f>
        <v>005</v>
      </c>
      <c r="D911">
        <v>1997</v>
      </c>
      <c r="E911">
        <v>4494600</v>
      </c>
      <c r="F911">
        <v>1532600</v>
      </c>
      <c r="G911" t="s">
        <v>11</v>
      </c>
      <c r="H911" t="s">
        <v>38</v>
      </c>
      <c r="I911" t="s">
        <v>13</v>
      </c>
      <c r="J911" t="s">
        <v>13</v>
      </c>
    </row>
    <row r="912" spans="1:11" x14ac:dyDescent="0.25">
      <c r="A912" t="s">
        <v>5</v>
      </c>
      <c r="B912" t="str">
        <f>"54246"</f>
        <v>54246</v>
      </c>
      <c r="C912" t="str">
        <f>"008"</f>
        <v>008</v>
      </c>
      <c r="D912">
        <v>2003</v>
      </c>
      <c r="E912">
        <v>3962400</v>
      </c>
      <c r="F912">
        <v>3102400</v>
      </c>
      <c r="G912" t="s">
        <v>11</v>
      </c>
      <c r="H912" t="s">
        <v>38</v>
      </c>
      <c r="I912" t="s">
        <v>13</v>
      </c>
      <c r="J912" t="s">
        <v>13</v>
      </c>
    </row>
    <row r="913" spans="1:11" x14ac:dyDescent="0.25">
      <c r="A913" t="s">
        <v>5</v>
      </c>
      <c r="B913" t="str">
        <f>"54246"</f>
        <v>54246</v>
      </c>
      <c r="C913" t="str">
        <f>"009"</f>
        <v>009</v>
      </c>
      <c r="D913">
        <v>2006</v>
      </c>
      <c r="E913">
        <v>11893500</v>
      </c>
      <c r="F913">
        <v>9009900</v>
      </c>
      <c r="G913" t="s">
        <v>11</v>
      </c>
      <c r="H913" t="s">
        <v>38</v>
      </c>
      <c r="I913" t="s">
        <v>13</v>
      </c>
      <c r="J913" t="s">
        <v>13</v>
      </c>
    </row>
    <row r="914" spans="1:11" x14ac:dyDescent="0.25">
      <c r="A914" t="s">
        <v>5</v>
      </c>
      <c r="B914" t="str">
        <f>"54246"</f>
        <v>54246</v>
      </c>
      <c r="C914" t="str">
        <f>"010"</f>
        <v>010</v>
      </c>
      <c r="D914">
        <v>2007</v>
      </c>
      <c r="E914">
        <v>1839300</v>
      </c>
      <c r="F914">
        <v>1435800</v>
      </c>
      <c r="G914" t="s">
        <v>11</v>
      </c>
      <c r="H914" t="s">
        <v>38</v>
      </c>
      <c r="I914" t="s">
        <v>13</v>
      </c>
      <c r="J914" t="s">
        <v>13</v>
      </c>
    </row>
    <row r="915" spans="1:11" x14ac:dyDescent="0.25">
      <c r="A915" t="s">
        <v>5</v>
      </c>
      <c r="B915" t="str">
        <f>"54246"</f>
        <v>54246</v>
      </c>
      <c r="C915" t="str">
        <f>"011"</f>
        <v>011</v>
      </c>
      <c r="D915">
        <v>2011</v>
      </c>
      <c r="E915">
        <v>5566300</v>
      </c>
      <c r="F915">
        <v>5536100</v>
      </c>
      <c r="G915" t="s">
        <v>11</v>
      </c>
      <c r="H915" t="s">
        <v>38</v>
      </c>
      <c r="I915" t="s">
        <v>13</v>
      </c>
      <c r="J915" t="s">
        <v>13</v>
      </c>
    </row>
    <row r="916" spans="1:11" x14ac:dyDescent="0.25">
      <c r="A916" t="s">
        <v>39</v>
      </c>
      <c r="B916" t="s">
        <v>13</v>
      </c>
      <c r="C916" t="s">
        <v>7</v>
      </c>
      <c r="D916" t="s">
        <v>8</v>
      </c>
      <c r="E916">
        <v>27756100</v>
      </c>
      <c r="F916">
        <v>20616800</v>
      </c>
      <c r="G916" t="s">
        <v>11</v>
      </c>
      <c r="H916">
        <v>154414900</v>
      </c>
      <c r="I916" t="s">
        <v>13</v>
      </c>
      <c r="J916" t="s">
        <v>13</v>
      </c>
      <c r="K916">
        <v>13.35</v>
      </c>
    </row>
    <row r="918" spans="1:11" x14ac:dyDescent="0.25">
      <c r="A918" t="s">
        <v>238</v>
      </c>
      <c r="B918" t="str">
        <f>"56146"</f>
        <v>56146</v>
      </c>
      <c r="C918" t="str">
        <f>"002"</f>
        <v>002</v>
      </c>
      <c r="D918">
        <v>2000</v>
      </c>
      <c r="E918">
        <v>88439600</v>
      </c>
      <c r="F918">
        <v>52071000</v>
      </c>
      <c r="G918" t="s">
        <v>11</v>
      </c>
      <c r="H918" t="s">
        <v>38</v>
      </c>
      <c r="I918" t="s">
        <v>13</v>
      </c>
      <c r="J918" t="s">
        <v>13</v>
      </c>
    </row>
    <row r="919" spans="1:11" x14ac:dyDescent="0.25">
      <c r="A919" t="s">
        <v>5</v>
      </c>
      <c r="B919" t="str">
        <f>"56146"</f>
        <v>56146</v>
      </c>
      <c r="C919" t="str">
        <f>"003"</f>
        <v>003</v>
      </c>
      <c r="D919">
        <v>2005</v>
      </c>
      <c r="E919">
        <v>364230500</v>
      </c>
      <c r="F919">
        <v>320266800</v>
      </c>
      <c r="G919" t="s">
        <v>11</v>
      </c>
      <c r="H919" t="s">
        <v>38</v>
      </c>
      <c r="I919" t="s">
        <v>13</v>
      </c>
      <c r="J919" t="s">
        <v>13</v>
      </c>
    </row>
    <row r="920" spans="1:11" x14ac:dyDescent="0.25">
      <c r="A920" t="s">
        <v>5</v>
      </c>
      <c r="B920" t="str">
        <f>"56146"</f>
        <v>56146</v>
      </c>
      <c r="C920" t="str">
        <f>"004"</f>
        <v>004</v>
      </c>
      <c r="D920">
        <v>2007</v>
      </c>
      <c r="E920">
        <v>51615500</v>
      </c>
      <c r="F920">
        <v>19874500</v>
      </c>
      <c r="G920" t="s">
        <v>11</v>
      </c>
      <c r="H920" t="s">
        <v>38</v>
      </c>
      <c r="I920" t="s">
        <v>13</v>
      </c>
      <c r="J920" t="s">
        <v>13</v>
      </c>
    </row>
    <row r="921" spans="1:11" x14ac:dyDescent="0.25">
      <c r="A921" t="s">
        <v>39</v>
      </c>
      <c r="B921" t="s">
        <v>13</v>
      </c>
      <c r="C921" t="s">
        <v>7</v>
      </c>
      <c r="D921" t="s">
        <v>8</v>
      </c>
      <c r="E921">
        <v>504285600</v>
      </c>
      <c r="F921">
        <v>392212300</v>
      </c>
      <c r="G921" t="s">
        <v>11</v>
      </c>
      <c r="H921">
        <v>1573034400</v>
      </c>
      <c r="I921" t="s">
        <v>13</v>
      </c>
      <c r="J921" t="s">
        <v>13</v>
      </c>
      <c r="K921">
        <v>24.93</v>
      </c>
    </row>
    <row r="923" spans="1:11" x14ac:dyDescent="0.25">
      <c r="A923" t="s">
        <v>239</v>
      </c>
      <c r="B923" t="str">
        <f>"09128"</f>
        <v>09128</v>
      </c>
      <c r="C923" t="str">
        <f>"001"</f>
        <v>001</v>
      </c>
      <c r="D923">
        <v>2003</v>
      </c>
      <c r="E923">
        <v>89977800</v>
      </c>
      <c r="F923">
        <v>77838900</v>
      </c>
      <c r="G923" t="s">
        <v>11</v>
      </c>
      <c r="H923" t="s">
        <v>38</v>
      </c>
      <c r="I923" t="s">
        <v>13</v>
      </c>
      <c r="J923" t="s">
        <v>13</v>
      </c>
    </row>
    <row r="924" spans="1:11" x14ac:dyDescent="0.25">
      <c r="A924" t="s">
        <v>5</v>
      </c>
      <c r="B924" t="str">
        <f>"09128"</f>
        <v>09128</v>
      </c>
      <c r="C924" t="str">
        <f>"002"</f>
        <v>002</v>
      </c>
      <c r="D924">
        <v>2003</v>
      </c>
      <c r="E924">
        <v>16261100</v>
      </c>
      <c r="F924">
        <v>16129200</v>
      </c>
      <c r="G924" t="s">
        <v>11</v>
      </c>
      <c r="H924" t="s">
        <v>38</v>
      </c>
      <c r="I924" t="s">
        <v>13</v>
      </c>
      <c r="J924" t="s">
        <v>13</v>
      </c>
    </row>
    <row r="925" spans="1:11" x14ac:dyDescent="0.25">
      <c r="A925" t="s">
        <v>39</v>
      </c>
      <c r="B925" t="s">
        <v>13</v>
      </c>
      <c r="C925" t="s">
        <v>7</v>
      </c>
      <c r="D925" t="s">
        <v>8</v>
      </c>
      <c r="E925">
        <v>106238900</v>
      </c>
      <c r="F925">
        <v>93968100</v>
      </c>
      <c r="G925" t="s">
        <v>11</v>
      </c>
      <c r="H925">
        <v>628631600</v>
      </c>
      <c r="I925" t="s">
        <v>13</v>
      </c>
      <c r="J925" t="s">
        <v>13</v>
      </c>
      <c r="K925">
        <v>14.95</v>
      </c>
    </row>
    <row r="927" spans="1:11" x14ac:dyDescent="0.25">
      <c r="A927" t="s">
        <v>240</v>
      </c>
      <c r="B927" t="str">
        <f>"28246"</f>
        <v>28246</v>
      </c>
      <c r="C927" t="str">
        <f>"002"</f>
        <v>002</v>
      </c>
      <c r="D927">
        <v>1998</v>
      </c>
      <c r="E927">
        <v>28267600</v>
      </c>
      <c r="F927">
        <v>16821900</v>
      </c>
      <c r="G927" t="s">
        <v>11</v>
      </c>
      <c r="H927" t="s">
        <v>38</v>
      </c>
      <c r="I927" t="s">
        <v>13</v>
      </c>
      <c r="J927" t="s">
        <v>13</v>
      </c>
    </row>
    <row r="928" spans="1:11" x14ac:dyDescent="0.25">
      <c r="A928" t="s">
        <v>5</v>
      </c>
      <c r="B928" t="str">
        <f>"28246"</f>
        <v>28246</v>
      </c>
      <c r="C928" t="str">
        <f>"003"</f>
        <v>003</v>
      </c>
      <c r="D928">
        <v>2006</v>
      </c>
      <c r="E928">
        <v>9673900</v>
      </c>
      <c r="F928">
        <v>2680100</v>
      </c>
      <c r="G928" t="s">
        <v>11</v>
      </c>
      <c r="H928" t="s">
        <v>38</v>
      </c>
      <c r="I928" t="s">
        <v>13</v>
      </c>
      <c r="J928" t="s">
        <v>13</v>
      </c>
    </row>
    <row r="929" spans="1:11" x14ac:dyDescent="0.25">
      <c r="A929" t="s">
        <v>5</v>
      </c>
      <c r="B929" t="str">
        <f>"28246"</f>
        <v>28246</v>
      </c>
      <c r="C929" t="str">
        <f>"004"</f>
        <v>004</v>
      </c>
      <c r="D929">
        <v>2006</v>
      </c>
      <c r="E929">
        <v>26104100</v>
      </c>
      <c r="F929">
        <v>17538700</v>
      </c>
      <c r="G929" t="s">
        <v>11</v>
      </c>
      <c r="H929" t="s">
        <v>38</v>
      </c>
      <c r="I929" t="s">
        <v>13</v>
      </c>
      <c r="J929" t="s">
        <v>13</v>
      </c>
    </row>
    <row r="930" spans="1:11" x14ac:dyDescent="0.25">
      <c r="A930" t="s">
        <v>5</v>
      </c>
      <c r="B930" t="str">
        <f>"28246"</f>
        <v>28246</v>
      </c>
      <c r="C930" t="str">
        <f>"005"</f>
        <v>005</v>
      </c>
      <c r="D930">
        <v>2014</v>
      </c>
      <c r="E930">
        <v>4429100</v>
      </c>
      <c r="F930">
        <v>-1503800</v>
      </c>
      <c r="G930" t="s">
        <v>43</v>
      </c>
      <c r="H930" t="s">
        <v>38</v>
      </c>
      <c r="I930" t="s">
        <v>13</v>
      </c>
      <c r="J930" t="s">
        <v>13</v>
      </c>
    </row>
    <row r="931" spans="1:11" x14ac:dyDescent="0.25">
      <c r="A931" t="s">
        <v>5</v>
      </c>
      <c r="B931" t="str">
        <f>"28246"</f>
        <v>28246</v>
      </c>
      <c r="C931" t="str">
        <f>"006"</f>
        <v>006</v>
      </c>
      <c r="D931">
        <v>2014</v>
      </c>
      <c r="E931">
        <v>3214800</v>
      </c>
      <c r="F931">
        <v>-97400</v>
      </c>
      <c r="G931" t="s">
        <v>43</v>
      </c>
      <c r="H931" t="s">
        <v>38</v>
      </c>
      <c r="I931" t="s">
        <v>13</v>
      </c>
      <c r="J931" t="s">
        <v>13</v>
      </c>
    </row>
    <row r="932" spans="1:11" x14ac:dyDescent="0.25">
      <c r="A932" t="s">
        <v>39</v>
      </c>
      <c r="B932" t="s">
        <v>13</v>
      </c>
      <c r="C932" t="s">
        <v>7</v>
      </c>
      <c r="D932" t="s">
        <v>8</v>
      </c>
      <c r="E932">
        <v>71689500</v>
      </c>
      <c r="F932">
        <v>37040700</v>
      </c>
      <c r="G932" t="s">
        <v>11</v>
      </c>
      <c r="H932">
        <v>565307400</v>
      </c>
      <c r="I932" t="s">
        <v>13</v>
      </c>
      <c r="J932" t="s">
        <v>13</v>
      </c>
      <c r="K932">
        <v>6.55</v>
      </c>
    </row>
    <row r="934" spans="1:11" x14ac:dyDescent="0.25">
      <c r="A934" t="s">
        <v>241</v>
      </c>
      <c r="B934" t="str">
        <f>"22246"</f>
        <v>22246</v>
      </c>
      <c r="C934" t="str">
        <f>"003"</f>
        <v>003</v>
      </c>
      <c r="D934">
        <v>2006</v>
      </c>
      <c r="E934">
        <v>7356800</v>
      </c>
      <c r="F934">
        <v>6932300</v>
      </c>
      <c r="G934" t="s">
        <v>11</v>
      </c>
      <c r="H934" t="s">
        <v>38</v>
      </c>
      <c r="I934" t="s">
        <v>13</v>
      </c>
      <c r="J934" t="s">
        <v>13</v>
      </c>
    </row>
    <row r="935" spans="1:11" x14ac:dyDescent="0.25">
      <c r="A935" t="s">
        <v>5</v>
      </c>
      <c r="B935" t="str">
        <f>"22246"</f>
        <v>22246</v>
      </c>
      <c r="C935" t="str">
        <f>"004"</f>
        <v>004</v>
      </c>
      <c r="D935">
        <v>2006</v>
      </c>
      <c r="E935">
        <v>5236500</v>
      </c>
      <c r="F935">
        <v>2822100</v>
      </c>
      <c r="G935" t="s">
        <v>11</v>
      </c>
      <c r="H935" t="s">
        <v>38</v>
      </c>
      <c r="I935" t="s">
        <v>13</v>
      </c>
      <c r="J935" t="s">
        <v>13</v>
      </c>
    </row>
    <row r="936" spans="1:11" x14ac:dyDescent="0.25">
      <c r="A936" t="s">
        <v>39</v>
      </c>
      <c r="B936" t="s">
        <v>13</v>
      </c>
      <c r="C936" t="s">
        <v>7</v>
      </c>
      <c r="D936" t="s">
        <v>8</v>
      </c>
      <c r="E936">
        <v>12593300</v>
      </c>
      <c r="F936">
        <v>9754400</v>
      </c>
      <c r="G936" t="s">
        <v>11</v>
      </c>
      <c r="H936">
        <v>251701400</v>
      </c>
      <c r="I936" t="s">
        <v>13</v>
      </c>
      <c r="J936" t="s">
        <v>13</v>
      </c>
      <c r="K936">
        <v>3.88</v>
      </c>
    </row>
    <row r="938" spans="1:11" x14ac:dyDescent="0.25">
      <c r="A938" t="s">
        <v>242</v>
      </c>
      <c r="B938" t="str">
        <f>"05025"</f>
        <v>05025</v>
      </c>
      <c r="C938" t="str">
        <f>"001A"</f>
        <v>001A</v>
      </c>
      <c r="D938">
        <v>2015</v>
      </c>
      <c r="E938">
        <v>45671300</v>
      </c>
      <c r="F938">
        <v>18278200</v>
      </c>
      <c r="G938" t="s">
        <v>11</v>
      </c>
      <c r="H938" t="s">
        <v>38</v>
      </c>
      <c r="I938" t="s">
        <v>13</v>
      </c>
      <c r="J938" t="s">
        <v>13</v>
      </c>
    </row>
    <row r="939" spans="1:11" x14ac:dyDescent="0.25">
      <c r="A939" t="s">
        <v>39</v>
      </c>
      <c r="B939" t="s">
        <v>13</v>
      </c>
      <c r="C939" t="s">
        <v>7</v>
      </c>
      <c r="D939" t="s">
        <v>8</v>
      </c>
      <c r="E939">
        <v>45671300</v>
      </c>
      <c r="F939">
        <v>18278200</v>
      </c>
      <c r="G939" t="s">
        <v>11</v>
      </c>
      <c r="H939">
        <v>945329000</v>
      </c>
      <c r="I939" t="s">
        <v>13</v>
      </c>
      <c r="J939" t="s">
        <v>13</v>
      </c>
      <c r="K939">
        <v>1.93</v>
      </c>
    </row>
    <row r="941" spans="1:11" x14ac:dyDescent="0.25">
      <c r="A941" t="s">
        <v>243</v>
      </c>
      <c r="B941" t="str">
        <f>"44146"</f>
        <v>44146</v>
      </c>
      <c r="C941" t="str">
        <f>"004"</f>
        <v>004</v>
      </c>
      <c r="D941">
        <v>2007</v>
      </c>
      <c r="E941">
        <v>51900200</v>
      </c>
      <c r="F941">
        <v>48486800</v>
      </c>
      <c r="G941" t="s">
        <v>11</v>
      </c>
      <c r="H941" t="s">
        <v>38</v>
      </c>
      <c r="I941" t="s">
        <v>13</v>
      </c>
      <c r="J941" t="s">
        <v>13</v>
      </c>
    </row>
    <row r="942" spans="1:11" x14ac:dyDescent="0.25">
      <c r="A942" t="s">
        <v>5</v>
      </c>
      <c r="B942" t="str">
        <f>"44146"</f>
        <v>44146</v>
      </c>
      <c r="C942" t="str">
        <f>"005"</f>
        <v>005</v>
      </c>
      <c r="D942">
        <v>2013</v>
      </c>
      <c r="E942">
        <v>30198200</v>
      </c>
      <c r="F942">
        <v>18462500</v>
      </c>
      <c r="G942" t="s">
        <v>11</v>
      </c>
      <c r="H942" t="s">
        <v>38</v>
      </c>
      <c r="I942" t="s">
        <v>13</v>
      </c>
      <c r="J942" t="s">
        <v>13</v>
      </c>
    </row>
    <row r="943" spans="1:11" x14ac:dyDescent="0.25">
      <c r="A943" t="s">
        <v>5</v>
      </c>
      <c r="B943" t="str">
        <f>"44146"</f>
        <v>44146</v>
      </c>
      <c r="C943" t="str">
        <f>"006"</f>
        <v>006</v>
      </c>
      <c r="D943">
        <v>2016</v>
      </c>
      <c r="E943">
        <v>43372000</v>
      </c>
      <c r="F943">
        <v>42220300</v>
      </c>
      <c r="G943" t="s">
        <v>11</v>
      </c>
      <c r="H943" t="s">
        <v>38</v>
      </c>
      <c r="I943" t="s">
        <v>13</v>
      </c>
      <c r="J943" t="s">
        <v>13</v>
      </c>
    </row>
    <row r="944" spans="1:11" x14ac:dyDescent="0.25">
      <c r="A944" t="s">
        <v>39</v>
      </c>
      <c r="B944" t="s">
        <v>13</v>
      </c>
      <c r="C944" t="s">
        <v>7</v>
      </c>
      <c r="D944" t="s">
        <v>8</v>
      </c>
      <c r="E944">
        <v>125470400</v>
      </c>
      <c r="F944">
        <v>109169600</v>
      </c>
      <c r="G944" t="s">
        <v>11</v>
      </c>
      <c r="H944">
        <v>878465300</v>
      </c>
      <c r="I944" t="s">
        <v>13</v>
      </c>
      <c r="J944" t="s">
        <v>13</v>
      </c>
      <c r="K944">
        <v>12.43</v>
      </c>
    </row>
    <row r="946" spans="1:11" x14ac:dyDescent="0.25">
      <c r="A946" t="s">
        <v>244</v>
      </c>
      <c r="B946" t="str">
        <f>"25147"</f>
        <v>25147</v>
      </c>
      <c r="C946" t="str">
        <f>"001"</f>
        <v>001</v>
      </c>
      <c r="D946">
        <v>1992</v>
      </c>
      <c r="E946">
        <v>2822900</v>
      </c>
      <c r="F946">
        <v>2773300</v>
      </c>
      <c r="G946" t="s">
        <v>11</v>
      </c>
      <c r="H946" t="s">
        <v>38</v>
      </c>
      <c r="I946" t="s">
        <v>13</v>
      </c>
      <c r="J946" t="s">
        <v>13</v>
      </c>
    </row>
    <row r="947" spans="1:11" x14ac:dyDescent="0.25">
      <c r="A947" t="s">
        <v>5</v>
      </c>
      <c r="B947" t="str">
        <f>"22147"</f>
        <v>22147</v>
      </c>
      <c r="C947" t="str">
        <f>"002"</f>
        <v>002</v>
      </c>
      <c r="D947">
        <v>1996</v>
      </c>
      <c r="E947">
        <v>600100</v>
      </c>
      <c r="F947">
        <v>306800</v>
      </c>
      <c r="G947" t="s">
        <v>11</v>
      </c>
      <c r="H947" t="s">
        <v>38</v>
      </c>
      <c r="I947" t="s">
        <v>13</v>
      </c>
      <c r="J947" t="s">
        <v>13</v>
      </c>
    </row>
    <row r="948" spans="1:11" x14ac:dyDescent="0.25">
      <c r="A948" t="s">
        <v>39</v>
      </c>
      <c r="B948" t="s">
        <v>13</v>
      </c>
      <c r="C948" t="s">
        <v>7</v>
      </c>
      <c r="D948" t="s">
        <v>8</v>
      </c>
      <c r="E948">
        <v>3423000</v>
      </c>
      <c r="F948">
        <v>3080100</v>
      </c>
      <c r="G948" t="s">
        <v>11</v>
      </c>
      <c r="H948">
        <v>30166400</v>
      </c>
      <c r="I948" t="s">
        <v>13</v>
      </c>
      <c r="J948" t="s">
        <v>13</v>
      </c>
      <c r="K948">
        <v>10.210000000000001</v>
      </c>
    </row>
    <row r="950" spans="1:11" x14ac:dyDescent="0.25">
      <c r="A950" t="s">
        <v>245</v>
      </c>
      <c r="B950" t="str">
        <f>"11246"</f>
        <v>11246</v>
      </c>
      <c r="C950" t="str">
        <f>"003"</f>
        <v>003</v>
      </c>
      <c r="D950">
        <v>2005</v>
      </c>
      <c r="E950">
        <v>1088300</v>
      </c>
      <c r="F950">
        <v>927300</v>
      </c>
      <c r="G950" t="s">
        <v>11</v>
      </c>
      <c r="H950" t="s">
        <v>38</v>
      </c>
      <c r="I950" t="s">
        <v>13</v>
      </c>
      <c r="J950" t="s">
        <v>13</v>
      </c>
    </row>
    <row r="951" spans="1:11" x14ac:dyDescent="0.25">
      <c r="A951" t="s">
        <v>5</v>
      </c>
      <c r="B951" t="str">
        <f>"11246"</f>
        <v>11246</v>
      </c>
      <c r="C951" t="str">
        <f>"004"</f>
        <v>004</v>
      </c>
      <c r="D951">
        <v>2015</v>
      </c>
      <c r="E951">
        <v>17068700</v>
      </c>
      <c r="F951">
        <v>1035900</v>
      </c>
      <c r="G951" t="s">
        <v>11</v>
      </c>
      <c r="H951" t="s">
        <v>38</v>
      </c>
      <c r="I951" t="s">
        <v>13</v>
      </c>
      <c r="J951" t="s">
        <v>13</v>
      </c>
    </row>
    <row r="952" spans="1:11" x14ac:dyDescent="0.25">
      <c r="A952" t="s">
        <v>5</v>
      </c>
      <c r="B952" t="str">
        <f>"11246"</f>
        <v>11246</v>
      </c>
      <c r="C952" t="str">
        <f>"005"</f>
        <v>005</v>
      </c>
      <c r="D952">
        <v>2015</v>
      </c>
      <c r="E952">
        <v>13764000</v>
      </c>
      <c r="F952">
        <v>1141200</v>
      </c>
      <c r="G952" t="s">
        <v>11</v>
      </c>
      <c r="H952" t="s">
        <v>38</v>
      </c>
      <c r="I952" t="s">
        <v>13</v>
      </c>
      <c r="J952" t="s">
        <v>13</v>
      </c>
    </row>
    <row r="953" spans="1:11" x14ac:dyDescent="0.25">
      <c r="A953" t="s">
        <v>39</v>
      </c>
      <c r="B953" t="s">
        <v>13</v>
      </c>
      <c r="C953" t="s">
        <v>7</v>
      </c>
      <c r="D953" t="s">
        <v>8</v>
      </c>
      <c r="E953">
        <v>31921000</v>
      </c>
      <c r="F953">
        <v>3104400</v>
      </c>
      <c r="G953" t="s">
        <v>11</v>
      </c>
      <c r="H953">
        <v>264826300</v>
      </c>
      <c r="I953" t="s">
        <v>13</v>
      </c>
      <c r="J953" t="s">
        <v>13</v>
      </c>
      <c r="K953">
        <v>1.17</v>
      </c>
    </row>
    <row r="955" spans="1:11" x14ac:dyDescent="0.25">
      <c r="A955" t="s">
        <v>246</v>
      </c>
      <c r="B955" t="str">
        <f>"14146"</f>
        <v>14146</v>
      </c>
      <c r="C955" t="str">
        <f>"004"</f>
        <v>004</v>
      </c>
      <c r="D955">
        <v>2006</v>
      </c>
      <c r="E955">
        <v>12125700</v>
      </c>
      <c r="F955">
        <v>11231700</v>
      </c>
      <c r="G955" t="s">
        <v>11</v>
      </c>
      <c r="H955" t="s">
        <v>38</v>
      </c>
      <c r="I955" t="s">
        <v>13</v>
      </c>
      <c r="J955" t="s">
        <v>13</v>
      </c>
    </row>
    <row r="956" spans="1:11" x14ac:dyDescent="0.25">
      <c r="A956" t="s">
        <v>5</v>
      </c>
      <c r="B956" t="str">
        <f>"14146"</f>
        <v>14146</v>
      </c>
      <c r="C956" t="str">
        <f>"005"</f>
        <v>005</v>
      </c>
      <c r="D956">
        <v>2015</v>
      </c>
      <c r="E956">
        <v>12573700</v>
      </c>
      <c r="F956">
        <v>12276100</v>
      </c>
      <c r="G956" t="s">
        <v>11</v>
      </c>
      <c r="H956" t="s">
        <v>38</v>
      </c>
      <c r="I956" t="s">
        <v>13</v>
      </c>
      <c r="J956" t="s">
        <v>13</v>
      </c>
    </row>
    <row r="957" spans="1:11" x14ac:dyDescent="0.25">
      <c r="A957" t="s">
        <v>39</v>
      </c>
      <c r="B957" t="s">
        <v>13</v>
      </c>
      <c r="C957" t="s">
        <v>7</v>
      </c>
      <c r="D957" t="s">
        <v>8</v>
      </c>
      <c r="E957">
        <v>24699400</v>
      </c>
      <c r="F957">
        <v>23507800</v>
      </c>
      <c r="G957" t="s">
        <v>11</v>
      </c>
      <c r="H957">
        <v>173250300</v>
      </c>
      <c r="I957" t="s">
        <v>13</v>
      </c>
      <c r="J957" t="s">
        <v>13</v>
      </c>
      <c r="K957">
        <v>13.57</v>
      </c>
    </row>
    <row r="959" spans="1:11" x14ac:dyDescent="0.25">
      <c r="A959" t="s">
        <v>247</v>
      </c>
      <c r="B959" t="str">
        <f>"10246"</f>
        <v>10246</v>
      </c>
      <c r="C959" t="str">
        <f>"001"</f>
        <v>001</v>
      </c>
      <c r="D959">
        <v>1995</v>
      </c>
      <c r="E959">
        <v>2493500</v>
      </c>
      <c r="F959">
        <v>2306300</v>
      </c>
      <c r="G959" t="s">
        <v>11</v>
      </c>
      <c r="H959" t="s">
        <v>38</v>
      </c>
      <c r="I959" t="s">
        <v>13</v>
      </c>
      <c r="J959" t="s">
        <v>13</v>
      </c>
    </row>
    <row r="960" spans="1:11" x14ac:dyDescent="0.25">
      <c r="A960" t="s">
        <v>5</v>
      </c>
      <c r="B960" t="str">
        <f>"10246"</f>
        <v>10246</v>
      </c>
      <c r="C960" t="str">
        <f>"002"</f>
        <v>002</v>
      </c>
      <c r="D960">
        <v>2006</v>
      </c>
      <c r="E960">
        <v>7669200</v>
      </c>
      <c r="F960">
        <v>3101800</v>
      </c>
      <c r="G960" t="s">
        <v>11</v>
      </c>
      <c r="H960" t="s">
        <v>38</v>
      </c>
      <c r="I960" t="s">
        <v>13</v>
      </c>
      <c r="J960" t="s">
        <v>13</v>
      </c>
    </row>
    <row r="961" spans="1:11" x14ac:dyDescent="0.25">
      <c r="A961" t="s">
        <v>39</v>
      </c>
      <c r="B961" t="s">
        <v>13</v>
      </c>
      <c r="C961" t="s">
        <v>7</v>
      </c>
      <c r="D961" t="s">
        <v>8</v>
      </c>
      <c r="E961">
        <v>10162700</v>
      </c>
      <c r="F961">
        <v>5408100</v>
      </c>
      <c r="G961" t="s">
        <v>11</v>
      </c>
      <c r="H961">
        <v>56225200</v>
      </c>
      <c r="I961" t="s">
        <v>13</v>
      </c>
      <c r="J961" t="s">
        <v>13</v>
      </c>
      <c r="K961">
        <v>9.6199999999999992</v>
      </c>
    </row>
    <row r="963" spans="1:11" x14ac:dyDescent="0.25">
      <c r="A963" t="s">
        <v>248</v>
      </c>
      <c r="B963" t="str">
        <f>"48146"</f>
        <v>48146</v>
      </c>
      <c r="C963" t="str">
        <f>"002"</f>
        <v>002</v>
      </c>
      <c r="D963">
        <v>2002</v>
      </c>
      <c r="E963">
        <v>4799900</v>
      </c>
      <c r="F963">
        <v>-709700</v>
      </c>
      <c r="G963" t="s">
        <v>43</v>
      </c>
      <c r="H963" t="s">
        <v>38</v>
      </c>
      <c r="I963" t="s">
        <v>13</v>
      </c>
      <c r="J963" t="s">
        <v>13</v>
      </c>
    </row>
    <row r="964" spans="1:11" x14ac:dyDescent="0.25">
      <c r="A964" t="s">
        <v>5</v>
      </c>
      <c r="B964" t="str">
        <f>"48146"</f>
        <v>48146</v>
      </c>
      <c r="C964" t="str">
        <f>"003"</f>
        <v>003</v>
      </c>
      <c r="D964">
        <v>2005</v>
      </c>
      <c r="E964">
        <v>3947200</v>
      </c>
      <c r="F964">
        <v>424800</v>
      </c>
      <c r="G964" t="s">
        <v>11</v>
      </c>
      <c r="H964" t="s">
        <v>38</v>
      </c>
      <c r="I964" t="s">
        <v>13</v>
      </c>
      <c r="J964" t="s">
        <v>13</v>
      </c>
    </row>
    <row r="965" spans="1:11" x14ac:dyDescent="0.25">
      <c r="A965" t="s">
        <v>39</v>
      </c>
      <c r="B965" t="s">
        <v>13</v>
      </c>
      <c r="C965" t="s">
        <v>7</v>
      </c>
      <c r="D965" t="s">
        <v>8</v>
      </c>
      <c r="E965">
        <v>8747100</v>
      </c>
      <c r="F965">
        <v>424800</v>
      </c>
      <c r="G965" t="s">
        <v>11</v>
      </c>
      <c r="H965">
        <v>71177700</v>
      </c>
      <c r="I965" t="s">
        <v>13</v>
      </c>
      <c r="J965" t="s">
        <v>13</v>
      </c>
      <c r="K965">
        <v>0.6</v>
      </c>
    </row>
    <row r="967" spans="1:11" x14ac:dyDescent="0.25">
      <c r="A967" t="s">
        <v>249</v>
      </c>
      <c r="B967" t="str">
        <f>"31146"</f>
        <v>31146</v>
      </c>
      <c r="C967" t="str">
        <f>"001"</f>
        <v>001</v>
      </c>
      <c r="D967">
        <v>1995</v>
      </c>
      <c r="E967">
        <v>32242600</v>
      </c>
      <c r="F967">
        <v>27522400</v>
      </c>
      <c r="G967" t="s">
        <v>11</v>
      </c>
      <c r="H967" t="s">
        <v>38</v>
      </c>
      <c r="I967" t="s">
        <v>13</v>
      </c>
      <c r="J967" t="s">
        <v>13</v>
      </c>
    </row>
    <row r="968" spans="1:11" x14ac:dyDescent="0.25">
      <c r="A968" t="s">
        <v>39</v>
      </c>
      <c r="B968" t="s">
        <v>13</v>
      </c>
      <c r="C968" t="s">
        <v>7</v>
      </c>
      <c r="D968" t="s">
        <v>8</v>
      </c>
      <c r="E968">
        <v>32242600</v>
      </c>
      <c r="F968">
        <v>27522400</v>
      </c>
      <c r="G968" t="s">
        <v>11</v>
      </c>
      <c r="H968">
        <v>183383200</v>
      </c>
      <c r="I968" t="s">
        <v>13</v>
      </c>
      <c r="J968" t="s">
        <v>13</v>
      </c>
      <c r="K968">
        <v>15.01</v>
      </c>
    </row>
    <row r="970" spans="1:11" x14ac:dyDescent="0.25">
      <c r="A970" t="s">
        <v>250</v>
      </c>
      <c r="B970" t="str">
        <f>"13032"</f>
        <v>13032</v>
      </c>
      <c r="C970" t="str">
        <f>"002O"</f>
        <v>002O</v>
      </c>
      <c r="D970">
        <v>2006</v>
      </c>
      <c r="E970">
        <v>60684700</v>
      </c>
      <c r="F970">
        <v>35837900</v>
      </c>
      <c r="G970" t="s">
        <v>11</v>
      </c>
      <c r="H970" t="s">
        <v>38</v>
      </c>
      <c r="I970" t="s">
        <v>13</v>
      </c>
      <c r="J970" t="s">
        <v>13</v>
      </c>
    </row>
    <row r="971" spans="1:11" x14ac:dyDescent="0.25">
      <c r="A971" t="s">
        <v>39</v>
      </c>
      <c r="B971" t="s">
        <v>13</v>
      </c>
      <c r="C971" t="s">
        <v>7</v>
      </c>
      <c r="D971" t="s">
        <v>8</v>
      </c>
      <c r="E971">
        <v>60684700</v>
      </c>
      <c r="F971">
        <v>35837900</v>
      </c>
      <c r="G971" t="s">
        <v>11</v>
      </c>
      <c r="H971">
        <v>449257900</v>
      </c>
      <c r="I971" t="s">
        <v>13</v>
      </c>
      <c r="J971" t="s">
        <v>13</v>
      </c>
      <c r="K971">
        <v>7.98</v>
      </c>
    </row>
    <row r="972" spans="1:11" x14ac:dyDescent="0.25">
      <c r="A972" t="s">
        <v>250</v>
      </c>
      <c r="B972" t="str">
        <f t="shared" ref="B972:B984" si="12">"13251"</f>
        <v>13251</v>
      </c>
      <c r="C972" t="str">
        <f>"025"</f>
        <v>025</v>
      </c>
      <c r="D972">
        <v>1995</v>
      </c>
      <c r="E972">
        <v>192663800</v>
      </c>
      <c r="F972">
        <v>154057100</v>
      </c>
      <c r="G972" t="s">
        <v>11</v>
      </c>
      <c r="H972" t="s">
        <v>38</v>
      </c>
      <c r="I972" t="s">
        <v>13</v>
      </c>
      <c r="J972" t="s">
        <v>13</v>
      </c>
    </row>
    <row r="973" spans="1:11" x14ac:dyDescent="0.25">
      <c r="A973" t="s">
        <v>5</v>
      </c>
      <c r="B973" t="str">
        <f t="shared" si="12"/>
        <v>13251</v>
      </c>
      <c r="C973" t="str">
        <f>"029"</f>
        <v>029</v>
      </c>
      <c r="D973">
        <v>2000</v>
      </c>
      <c r="E973">
        <v>59293600</v>
      </c>
      <c r="F973">
        <v>17552200</v>
      </c>
      <c r="G973" t="s">
        <v>11</v>
      </c>
      <c r="H973" t="s">
        <v>38</v>
      </c>
      <c r="I973" t="s">
        <v>13</v>
      </c>
      <c r="J973" t="s">
        <v>13</v>
      </c>
    </row>
    <row r="974" spans="1:11" x14ac:dyDescent="0.25">
      <c r="A974" t="s">
        <v>5</v>
      </c>
      <c r="B974" t="str">
        <f t="shared" si="12"/>
        <v>13251</v>
      </c>
      <c r="C974" t="str">
        <f>"035"</f>
        <v>035</v>
      </c>
      <c r="D974">
        <v>2005</v>
      </c>
      <c r="E974">
        <v>64840500</v>
      </c>
      <c r="F974">
        <v>39039900</v>
      </c>
      <c r="G974" t="s">
        <v>11</v>
      </c>
      <c r="H974" t="s">
        <v>38</v>
      </c>
      <c r="I974" t="s">
        <v>13</v>
      </c>
      <c r="J974" t="s">
        <v>13</v>
      </c>
    </row>
    <row r="975" spans="1:11" x14ac:dyDescent="0.25">
      <c r="A975" t="s">
        <v>5</v>
      </c>
      <c r="B975" t="str">
        <f t="shared" si="12"/>
        <v>13251</v>
      </c>
      <c r="C975" t="str">
        <f>"036"</f>
        <v>036</v>
      </c>
      <c r="D975">
        <v>2005</v>
      </c>
      <c r="E975">
        <v>437813700</v>
      </c>
      <c r="F975">
        <v>340161300</v>
      </c>
      <c r="G975" t="s">
        <v>11</v>
      </c>
      <c r="H975" t="s">
        <v>38</v>
      </c>
      <c r="I975" t="s">
        <v>13</v>
      </c>
      <c r="J975" t="s">
        <v>13</v>
      </c>
    </row>
    <row r="976" spans="1:11" x14ac:dyDescent="0.25">
      <c r="A976" t="s">
        <v>5</v>
      </c>
      <c r="B976" t="str">
        <f t="shared" si="12"/>
        <v>13251</v>
      </c>
      <c r="C976" t="str">
        <f>"037"</f>
        <v>037</v>
      </c>
      <c r="D976">
        <v>2006</v>
      </c>
      <c r="E976">
        <v>95486000</v>
      </c>
      <c r="F976">
        <v>52019100</v>
      </c>
      <c r="G976" t="s">
        <v>11</v>
      </c>
      <c r="H976" t="s">
        <v>38</v>
      </c>
      <c r="I976" t="s">
        <v>13</v>
      </c>
      <c r="J976" t="s">
        <v>13</v>
      </c>
    </row>
    <row r="977" spans="1:11" x14ac:dyDescent="0.25">
      <c r="A977" t="s">
        <v>5</v>
      </c>
      <c r="B977" t="str">
        <f t="shared" si="12"/>
        <v>13251</v>
      </c>
      <c r="C977" t="str">
        <f>"038"</f>
        <v>038</v>
      </c>
      <c r="D977">
        <v>2008</v>
      </c>
      <c r="E977">
        <v>47490300</v>
      </c>
      <c r="F977">
        <v>-6713400</v>
      </c>
      <c r="G977" t="s">
        <v>43</v>
      </c>
      <c r="H977" t="s">
        <v>38</v>
      </c>
      <c r="I977" t="s">
        <v>13</v>
      </c>
      <c r="J977" t="s">
        <v>13</v>
      </c>
    </row>
    <row r="978" spans="1:11" x14ac:dyDescent="0.25">
      <c r="A978" t="s">
        <v>5</v>
      </c>
      <c r="B978" t="str">
        <f t="shared" si="12"/>
        <v>13251</v>
      </c>
      <c r="C978" t="str">
        <f>"039"</f>
        <v>039</v>
      </c>
      <c r="D978">
        <v>2008</v>
      </c>
      <c r="E978">
        <v>344703200</v>
      </c>
      <c r="F978">
        <v>81446700</v>
      </c>
      <c r="G978" t="s">
        <v>11</v>
      </c>
      <c r="H978" t="s">
        <v>38</v>
      </c>
      <c r="I978" t="s">
        <v>13</v>
      </c>
      <c r="J978" t="s">
        <v>13</v>
      </c>
    </row>
    <row r="979" spans="1:11" x14ac:dyDescent="0.25">
      <c r="A979" t="s">
        <v>5</v>
      </c>
      <c r="B979" t="str">
        <f t="shared" si="12"/>
        <v>13251</v>
      </c>
      <c r="C979" t="str">
        <f>"041"</f>
        <v>041</v>
      </c>
      <c r="D979">
        <v>2011</v>
      </c>
      <c r="E979">
        <v>57097000</v>
      </c>
      <c r="F979">
        <v>38393700</v>
      </c>
      <c r="G979" t="s">
        <v>11</v>
      </c>
      <c r="H979" t="s">
        <v>38</v>
      </c>
      <c r="I979" t="s">
        <v>13</v>
      </c>
      <c r="J979" t="s">
        <v>13</v>
      </c>
    </row>
    <row r="980" spans="1:11" x14ac:dyDescent="0.25">
      <c r="A980" t="s">
        <v>5</v>
      </c>
      <c r="B980" t="str">
        <f t="shared" si="12"/>
        <v>13251</v>
      </c>
      <c r="C980" t="str">
        <f>"042"</f>
        <v>042</v>
      </c>
      <c r="D980">
        <v>2012</v>
      </c>
      <c r="E980">
        <v>72970500</v>
      </c>
      <c r="F980">
        <v>22104300</v>
      </c>
      <c r="G980" t="s">
        <v>11</v>
      </c>
      <c r="H980" t="s">
        <v>38</v>
      </c>
      <c r="I980" t="s">
        <v>13</v>
      </c>
      <c r="J980" t="s">
        <v>13</v>
      </c>
    </row>
    <row r="981" spans="1:11" x14ac:dyDescent="0.25">
      <c r="A981" t="s">
        <v>5</v>
      </c>
      <c r="B981" t="str">
        <f t="shared" si="12"/>
        <v>13251</v>
      </c>
      <c r="C981" t="str">
        <f>"044"</f>
        <v>044</v>
      </c>
      <c r="D981">
        <v>2013</v>
      </c>
      <c r="E981">
        <v>46751500</v>
      </c>
      <c r="F981">
        <v>16303100</v>
      </c>
      <c r="G981" t="s">
        <v>11</v>
      </c>
      <c r="H981" t="s">
        <v>38</v>
      </c>
      <c r="I981" t="s">
        <v>13</v>
      </c>
      <c r="J981" t="s">
        <v>13</v>
      </c>
    </row>
    <row r="982" spans="1:11" x14ac:dyDescent="0.25">
      <c r="A982" t="s">
        <v>5</v>
      </c>
      <c r="B982" t="str">
        <f t="shared" si="12"/>
        <v>13251</v>
      </c>
      <c r="C982" t="str">
        <f>"045"</f>
        <v>045</v>
      </c>
      <c r="D982">
        <v>2015</v>
      </c>
      <c r="E982">
        <v>102594900</v>
      </c>
      <c r="F982">
        <v>23290900</v>
      </c>
      <c r="G982" t="s">
        <v>11</v>
      </c>
      <c r="H982" t="s">
        <v>38</v>
      </c>
      <c r="I982" t="s">
        <v>13</v>
      </c>
      <c r="J982" t="s">
        <v>13</v>
      </c>
    </row>
    <row r="983" spans="1:11" x14ac:dyDescent="0.25">
      <c r="A983" t="s">
        <v>5</v>
      </c>
      <c r="B983" t="str">
        <f t="shared" si="12"/>
        <v>13251</v>
      </c>
      <c r="C983" t="str">
        <f>"046"</f>
        <v>046</v>
      </c>
      <c r="D983">
        <v>2015</v>
      </c>
      <c r="E983">
        <v>148293700</v>
      </c>
      <c r="F983">
        <v>29359400</v>
      </c>
      <c r="G983" t="s">
        <v>11</v>
      </c>
      <c r="H983" t="s">
        <v>38</v>
      </c>
      <c r="I983" t="s">
        <v>13</v>
      </c>
      <c r="J983" t="s">
        <v>13</v>
      </c>
    </row>
    <row r="984" spans="1:11" x14ac:dyDescent="0.25">
      <c r="A984" t="s">
        <v>5</v>
      </c>
      <c r="B984" t="str">
        <f t="shared" si="12"/>
        <v>13251</v>
      </c>
      <c r="C984" t="str">
        <f>"047"</f>
        <v>047</v>
      </c>
      <c r="D984">
        <v>2017</v>
      </c>
      <c r="E984">
        <v>17618300</v>
      </c>
      <c r="F984">
        <v>7585700</v>
      </c>
      <c r="G984" t="s">
        <v>11</v>
      </c>
      <c r="H984" t="s">
        <v>38</v>
      </c>
      <c r="I984" t="s">
        <v>13</v>
      </c>
      <c r="J984" t="s">
        <v>13</v>
      </c>
    </row>
    <row r="985" spans="1:11" x14ac:dyDescent="0.25">
      <c r="A985" t="s">
        <v>39</v>
      </c>
      <c r="B985" t="s">
        <v>13</v>
      </c>
      <c r="C985" t="s">
        <v>7</v>
      </c>
      <c r="D985" t="s">
        <v>8</v>
      </c>
      <c r="E985">
        <v>1687617000</v>
      </c>
      <c r="F985">
        <v>821313400</v>
      </c>
      <c r="G985" t="s">
        <v>11</v>
      </c>
      <c r="H985">
        <v>28727407800</v>
      </c>
      <c r="I985" t="s">
        <v>13</v>
      </c>
      <c r="J985" t="s">
        <v>13</v>
      </c>
      <c r="K985">
        <v>2.86</v>
      </c>
    </row>
    <row r="987" spans="1:11" x14ac:dyDescent="0.25">
      <c r="A987" t="s">
        <v>251</v>
      </c>
      <c r="B987" t="str">
        <f>"68251"</f>
        <v>68251</v>
      </c>
      <c r="C987" t="str">
        <f>"002"</f>
        <v>002</v>
      </c>
      <c r="D987">
        <v>2016</v>
      </c>
      <c r="E987">
        <v>4853200</v>
      </c>
      <c r="F987">
        <v>2460500</v>
      </c>
      <c r="G987" t="s">
        <v>11</v>
      </c>
      <c r="H987" t="s">
        <v>38</v>
      </c>
      <c r="I987" t="s">
        <v>13</v>
      </c>
      <c r="J987" t="s">
        <v>13</v>
      </c>
    </row>
    <row r="988" spans="1:11" x14ac:dyDescent="0.25">
      <c r="A988" t="s">
        <v>39</v>
      </c>
      <c r="B988" t="s">
        <v>13</v>
      </c>
      <c r="C988" t="s">
        <v>7</v>
      </c>
      <c r="D988" t="s">
        <v>8</v>
      </c>
      <c r="E988">
        <v>4853200</v>
      </c>
      <c r="F988">
        <v>2460500</v>
      </c>
      <c r="G988" t="s">
        <v>11</v>
      </c>
      <c r="H988">
        <v>70413000</v>
      </c>
      <c r="I988" t="s">
        <v>13</v>
      </c>
      <c r="J988" t="s">
        <v>13</v>
      </c>
      <c r="K988">
        <v>3.49</v>
      </c>
    </row>
    <row r="990" spans="1:11" x14ac:dyDescent="0.25">
      <c r="A990" t="s">
        <v>252</v>
      </c>
      <c r="B990" t="str">
        <f t="shared" ref="B990:B998" si="13">"36251"</f>
        <v>36251</v>
      </c>
      <c r="C990" t="str">
        <f>"009"</f>
        <v>009</v>
      </c>
      <c r="D990">
        <v>1995</v>
      </c>
      <c r="E990">
        <v>8275400</v>
      </c>
      <c r="F990">
        <v>6299600</v>
      </c>
      <c r="G990" t="s">
        <v>11</v>
      </c>
      <c r="H990" t="s">
        <v>38</v>
      </c>
      <c r="I990" t="s">
        <v>13</v>
      </c>
      <c r="J990" t="s">
        <v>13</v>
      </c>
    </row>
    <row r="991" spans="1:11" x14ac:dyDescent="0.25">
      <c r="A991" t="s">
        <v>5</v>
      </c>
      <c r="B991" t="str">
        <f t="shared" si="13"/>
        <v>36251</v>
      </c>
      <c r="C991" t="str">
        <f>"010"</f>
        <v>010</v>
      </c>
      <c r="D991">
        <v>1997</v>
      </c>
      <c r="E991">
        <v>8610600</v>
      </c>
      <c r="F991">
        <v>5916200</v>
      </c>
      <c r="G991" t="s">
        <v>11</v>
      </c>
      <c r="H991" t="s">
        <v>38</v>
      </c>
      <c r="I991" t="s">
        <v>13</v>
      </c>
      <c r="J991" t="s">
        <v>13</v>
      </c>
    </row>
    <row r="992" spans="1:11" x14ac:dyDescent="0.25">
      <c r="A992" t="s">
        <v>5</v>
      </c>
      <c r="B992" t="str">
        <f t="shared" si="13"/>
        <v>36251</v>
      </c>
      <c r="C992" t="str">
        <f>"012"</f>
        <v>012</v>
      </c>
      <c r="D992">
        <v>1999</v>
      </c>
      <c r="E992">
        <v>9437400</v>
      </c>
      <c r="F992">
        <v>9212000</v>
      </c>
      <c r="G992" t="s">
        <v>11</v>
      </c>
      <c r="H992" t="s">
        <v>38</v>
      </c>
      <c r="I992" t="s">
        <v>13</v>
      </c>
      <c r="J992" t="s">
        <v>13</v>
      </c>
    </row>
    <row r="993" spans="1:11" x14ac:dyDescent="0.25">
      <c r="A993" t="s">
        <v>5</v>
      </c>
      <c r="B993" t="str">
        <f t="shared" si="13"/>
        <v>36251</v>
      </c>
      <c r="C993" t="str">
        <f>"014"</f>
        <v>014</v>
      </c>
      <c r="D993">
        <v>2002</v>
      </c>
      <c r="E993">
        <v>6559000</v>
      </c>
      <c r="F993">
        <v>-908200</v>
      </c>
      <c r="G993" t="s">
        <v>43</v>
      </c>
      <c r="H993" t="s">
        <v>38</v>
      </c>
      <c r="I993" t="s">
        <v>13</v>
      </c>
      <c r="J993" t="s">
        <v>13</v>
      </c>
    </row>
    <row r="994" spans="1:11" x14ac:dyDescent="0.25">
      <c r="A994" t="s">
        <v>5</v>
      </c>
      <c r="B994" t="str">
        <f t="shared" si="13"/>
        <v>36251</v>
      </c>
      <c r="C994" t="str">
        <f>"015"</f>
        <v>015</v>
      </c>
      <c r="D994">
        <v>2002</v>
      </c>
      <c r="E994">
        <v>77526300</v>
      </c>
      <c r="F994">
        <v>58057500</v>
      </c>
      <c r="G994" t="s">
        <v>11</v>
      </c>
      <c r="H994" t="s">
        <v>38</v>
      </c>
      <c r="I994" t="s">
        <v>13</v>
      </c>
      <c r="J994" t="s">
        <v>13</v>
      </c>
    </row>
    <row r="995" spans="1:11" x14ac:dyDescent="0.25">
      <c r="A995" t="s">
        <v>5</v>
      </c>
      <c r="B995" t="str">
        <f t="shared" si="13"/>
        <v>36251</v>
      </c>
      <c r="C995" t="str">
        <f>"016"</f>
        <v>016</v>
      </c>
      <c r="D995">
        <v>2003</v>
      </c>
      <c r="E995">
        <v>37555900</v>
      </c>
      <c r="F995">
        <v>14025600</v>
      </c>
      <c r="G995" t="s">
        <v>11</v>
      </c>
      <c r="H995" t="s">
        <v>38</v>
      </c>
      <c r="I995" t="s">
        <v>13</v>
      </c>
      <c r="J995" t="s">
        <v>13</v>
      </c>
    </row>
    <row r="996" spans="1:11" x14ac:dyDescent="0.25">
      <c r="A996" t="s">
        <v>5</v>
      </c>
      <c r="B996" t="str">
        <f t="shared" si="13"/>
        <v>36251</v>
      </c>
      <c r="C996" t="str">
        <f>"017"</f>
        <v>017</v>
      </c>
      <c r="D996">
        <v>2007</v>
      </c>
      <c r="E996">
        <v>10028500</v>
      </c>
      <c r="F996">
        <v>9836300</v>
      </c>
      <c r="G996" t="s">
        <v>11</v>
      </c>
      <c r="H996" t="s">
        <v>38</v>
      </c>
      <c r="I996" t="s">
        <v>13</v>
      </c>
      <c r="J996" t="s">
        <v>13</v>
      </c>
    </row>
    <row r="997" spans="1:11" x14ac:dyDescent="0.25">
      <c r="A997" t="s">
        <v>5</v>
      </c>
      <c r="B997" t="str">
        <f t="shared" si="13"/>
        <v>36251</v>
      </c>
      <c r="C997" t="str">
        <f>"018"</f>
        <v>018</v>
      </c>
      <c r="D997">
        <v>2015</v>
      </c>
      <c r="E997">
        <v>11959000</v>
      </c>
      <c r="F997">
        <v>-1533300</v>
      </c>
      <c r="G997" t="s">
        <v>43</v>
      </c>
      <c r="H997" t="s">
        <v>38</v>
      </c>
      <c r="I997" t="s">
        <v>13</v>
      </c>
      <c r="J997" t="s">
        <v>13</v>
      </c>
    </row>
    <row r="998" spans="1:11" x14ac:dyDescent="0.25">
      <c r="A998" t="s">
        <v>5</v>
      </c>
      <c r="B998" t="str">
        <f t="shared" si="13"/>
        <v>36251</v>
      </c>
      <c r="C998" t="str">
        <f>"019"</f>
        <v>019</v>
      </c>
      <c r="D998">
        <v>2017</v>
      </c>
      <c r="E998">
        <v>52203300</v>
      </c>
      <c r="F998">
        <v>836500</v>
      </c>
      <c r="G998" t="s">
        <v>11</v>
      </c>
      <c r="H998" t="s">
        <v>38</v>
      </c>
      <c r="I998" t="s">
        <v>13</v>
      </c>
      <c r="J998" t="s">
        <v>13</v>
      </c>
    </row>
    <row r="999" spans="1:11" x14ac:dyDescent="0.25">
      <c r="A999" t="s">
        <v>39</v>
      </c>
      <c r="B999" t="s">
        <v>13</v>
      </c>
      <c r="C999" t="s">
        <v>7</v>
      </c>
      <c r="D999" t="s">
        <v>8</v>
      </c>
      <c r="E999">
        <v>222155400</v>
      </c>
      <c r="F999">
        <v>104183700</v>
      </c>
      <c r="G999" t="s">
        <v>11</v>
      </c>
      <c r="H999">
        <v>1951266200</v>
      </c>
      <c r="I999" t="s">
        <v>13</v>
      </c>
      <c r="J999" t="s">
        <v>13</v>
      </c>
      <c r="K999">
        <v>5.34</v>
      </c>
    </row>
    <row r="1001" spans="1:11" x14ac:dyDescent="0.25">
      <c r="A1001" t="s">
        <v>253</v>
      </c>
      <c r="B1001" t="str">
        <f>"13151"</f>
        <v>13151</v>
      </c>
      <c r="C1001" t="str">
        <f>"001"</f>
        <v>001</v>
      </c>
      <c r="D1001">
        <v>2014</v>
      </c>
      <c r="E1001">
        <v>7512100</v>
      </c>
      <c r="F1001">
        <v>1822700</v>
      </c>
      <c r="G1001" t="s">
        <v>11</v>
      </c>
      <c r="H1001" t="s">
        <v>38</v>
      </c>
      <c r="I1001" t="s">
        <v>13</v>
      </c>
      <c r="J1001" t="s">
        <v>13</v>
      </c>
    </row>
    <row r="1002" spans="1:11" x14ac:dyDescent="0.25">
      <c r="A1002" t="s">
        <v>39</v>
      </c>
      <c r="B1002" t="s">
        <v>13</v>
      </c>
      <c r="C1002" t="s">
        <v>7</v>
      </c>
      <c r="D1002" t="s">
        <v>8</v>
      </c>
      <c r="E1002">
        <v>7512100</v>
      </c>
      <c r="F1002">
        <v>1822700</v>
      </c>
      <c r="G1002" t="s">
        <v>11</v>
      </c>
      <c r="H1002">
        <v>424296400</v>
      </c>
      <c r="I1002" t="s">
        <v>13</v>
      </c>
      <c r="J1002" t="s">
        <v>13</v>
      </c>
      <c r="K1002">
        <v>0.43</v>
      </c>
    </row>
    <row r="1004" spans="1:11" x14ac:dyDescent="0.25">
      <c r="A1004" t="s">
        <v>254</v>
      </c>
      <c r="B1004" t="str">
        <f>"37151"</f>
        <v>37151</v>
      </c>
      <c r="C1004" t="str">
        <f>"001"</f>
        <v>001</v>
      </c>
      <c r="D1004">
        <v>2002</v>
      </c>
      <c r="E1004">
        <v>29781300</v>
      </c>
      <c r="F1004">
        <v>22419900</v>
      </c>
      <c r="G1004" t="s">
        <v>11</v>
      </c>
      <c r="H1004" t="s">
        <v>38</v>
      </c>
      <c r="I1004" t="s">
        <v>13</v>
      </c>
      <c r="J1004" t="s">
        <v>13</v>
      </c>
    </row>
    <row r="1005" spans="1:11" x14ac:dyDescent="0.25">
      <c r="A1005" t="s">
        <v>5</v>
      </c>
      <c r="B1005" t="str">
        <f>"37151"</f>
        <v>37151</v>
      </c>
      <c r="C1005" t="str">
        <f>"002"</f>
        <v>002</v>
      </c>
      <c r="D1005">
        <v>2016</v>
      </c>
      <c r="E1005">
        <v>8632100</v>
      </c>
      <c r="F1005">
        <v>7485300</v>
      </c>
      <c r="G1005" t="s">
        <v>11</v>
      </c>
      <c r="H1005" t="s">
        <v>38</v>
      </c>
      <c r="I1005" t="s">
        <v>13</v>
      </c>
      <c r="J1005" t="s">
        <v>13</v>
      </c>
    </row>
    <row r="1006" spans="1:11" x14ac:dyDescent="0.25">
      <c r="A1006" t="s">
        <v>39</v>
      </c>
      <c r="B1006" t="s">
        <v>13</v>
      </c>
      <c r="C1006" t="s">
        <v>7</v>
      </c>
      <c r="D1006" t="s">
        <v>8</v>
      </c>
      <c r="E1006">
        <v>38413400</v>
      </c>
      <c r="F1006">
        <v>29905200</v>
      </c>
      <c r="G1006" t="s">
        <v>11</v>
      </c>
      <c r="H1006">
        <v>150934200</v>
      </c>
      <c r="I1006" t="s">
        <v>13</v>
      </c>
      <c r="J1006" t="s">
        <v>13</v>
      </c>
      <c r="K1006">
        <v>19.809999999999999</v>
      </c>
    </row>
    <row r="1008" spans="1:11" x14ac:dyDescent="0.25">
      <c r="A1008" t="s">
        <v>255</v>
      </c>
      <c r="B1008" t="str">
        <f>"36147"</f>
        <v>36147</v>
      </c>
      <c r="C1008" t="str">
        <f>"001"</f>
        <v>001</v>
      </c>
      <c r="D1008">
        <v>2017</v>
      </c>
      <c r="E1008">
        <v>925200</v>
      </c>
      <c r="F1008">
        <v>-87600</v>
      </c>
      <c r="G1008" t="s">
        <v>43</v>
      </c>
      <c r="H1008" t="s">
        <v>38</v>
      </c>
      <c r="I1008" t="s">
        <v>13</v>
      </c>
      <c r="J1008" t="s">
        <v>13</v>
      </c>
    </row>
    <row r="1009" spans="1:11" x14ac:dyDescent="0.25">
      <c r="A1009" t="s">
        <v>39</v>
      </c>
      <c r="B1009" t="s">
        <v>13</v>
      </c>
      <c r="C1009" t="s">
        <v>7</v>
      </c>
      <c r="D1009" t="s">
        <v>8</v>
      </c>
      <c r="E1009">
        <v>925200</v>
      </c>
      <c r="F1009">
        <v>0</v>
      </c>
      <c r="G1009" t="s">
        <v>11</v>
      </c>
      <c r="H1009">
        <v>17101600</v>
      </c>
      <c r="I1009" t="s">
        <v>13</v>
      </c>
      <c r="J1009" t="s">
        <v>13</v>
      </c>
      <c r="K1009">
        <v>0</v>
      </c>
    </row>
    <row r="1011" spans="1:11" x14ac:dyDescent="0.25">
      <c r="A1011" t="s">
        <v>256</v>
      </c>
      <c r="B1011" t="str">
        <f t="shared" ref="B1011:B1019" si="14">"38251"</f>
        <v>38251</v>
      </c>
      <c r="C1011" t="str">
        <f>"003"</f>
        <v>003</v>
      </c>
      <c r="D1011">
        <v>1991</v>
      </c>
      <c r="E1011">
        <v>14820600</v>
      </c>
      <c r="F1011">
        <v>9932300</v>
      </c>
      <c r="G1011" t="s">
        <v>11</v>
      </c>
      <c r="H1011" t="s">
        <v>38</v>
      </c>
      <c r="I1011" t="s">
        <v>13</v>
      </c>
      <c r="J1011" t="s">
        <v>13</v>
      </c>
    </row>
    <row r="1012" spans="1:11" x14ac:dyDescent="0.25">
      <c r="A1012" t="s">
        <v>5</v>
      </c>
      <c r="B1012" t="str">
        <f t="shared" si="14"/>
        <v>38251</v>
      </c>
      <c r="C1012" t="str">
        <f>"006"</f>
        <v>006</v>
      </c>
      <c r="D1012">
        <v>2002</v>
      </c>
      <c r="E1012">
        <v>6669900</v>
      </c>
      <c r="F1012">
        <v>6346800</v>
      </c>
      <c r="G1012" t="s">
        <v>11</v>
      </c>
      <c r="H1012" t="s">
        <v>38</v>
      </c>
      <c r="I1012" t="s">
        <v>13</v>
      </c>
      <c r="J1012" t="s">
        <v>13</v>
      </c>
    </row>
    <row r="1013" spans="1:11" x14ac:dyDescent="0.25">
      <c r="A1013" t="s">
        <v>5</v>
      </c>
      <c r="B1013" t="str">
        <f t="shared" si="14"/>
        <v>38251</v>
      </c>
      <c r="C1013" t="str">
        <f>"007"</f>
        <v>007</v>
      </c>
      <c r="D1013">
        <v>2005</v>
      </c>
      <c r="E1013">
        <v>5377800</v>
      </c>
      <c r="F1013">
        <v>2484100</v>
      </c>
      <c r="G1013" t="s">
        <v>11</v>
      </c>
      <c r="H1013" t="s">
        <v>38</v>
      </c>
      <c r="I1013" t="s">
        <v>13</v>
      </c>
      <c r="J1013" t="s">
        <v>13</v>
      </c>
    </row>
    <row r="1014" spans="1:11" x14ac:dyDescent="0.25">
      <c r="A1014" t="s">
        <v>5</v>
      </c>
      <c r="B1014" t="str">
        <f t="shared" si="14"/>
        <v>38251</v>
      </c>
      <c r="C1014" t="str">
        <f>"008"</f>
        <v>008</v>
      </c>
      <c r="D1014">
        <v>2007</v>
      </c>
      <c r="E1014">
        <v>6265100</v>
      </c>
      <c r="F1014">
        <v>4830400</v>
      </c>
      <c r="G1014" t="s">
        <v>11</v>
      </c>
      <c r="H1014" t="s">
        <v>38</v>
      </c>
      <c r="I1014" t="s">
        <v>13</v>
      </c>
      <c r="J1014" t="s">
        <v>13</v>
      </c>
    </row>
    <row r="1015" spans="1:11" x14ac:dyDescent="0.25">
      <c r="A1015" t="s">
        <v>5</v>
      </c>
      <c r="B1015" t="str">
        <f t="shared" si="14"/>
        <v>38251</v>
      </c>
      <c r="C1015" t="str">
        <f>"009"</f>
        <v>009</v>
      </c>
      <c r="D1015">
        <v>2009</v>
      </c>
      <c r="E1015">
        <v>2306000</v>
      </c>
      <c r="F1015">
        <v>1993100</v>
      </c>
      <c r="G1015" t="s">
        <v>11</v>
      </c>
      <c r="H1015" t="s">
        <v>38</v>
      </c>
      <c r="I1015" t="s">
        <v>13</v>
      </c>
      <c r="J1015" t="s">
        <v>13</v>
      </c>
    </row>
    <row r="1016" spans="1:11" x14ac:dyDescent="0.25">
      <c r="A1016" t="s">
        <v>5</v>
      </c>
      <c r="B1016" t="str">
        <f t="shared" si="14"/>
        <v>38251</v>
      </c>
      <c r="C1016" t="str">
        <f>"010"</f>
        <v>010</v>
      </c>
      <c r="D1016">
        <v>2010</v>
      </c>
      <c r="E1016">
        <v>13362800</v>
      </c>
      <c r="F1016">
        <v>9862300</v>
      </c>
      <c r="G1016" t="s">
        <v>11</v>
      </c>
      <c r="H1016" t="s">
        <v>38</v>
      </c>
      <c r="I1016" t="s">
        <v>13</v>
      </c>
      <c r="J1016" t="s">
        <v>13</v>
      </c>
    </row>
    <row r="1017" spans="1:11" x14ac:dyDescent="0.25">
      <c r="A1017" t="s">
        <v>5</v>
      </c>
      <c r="B1017" t="str">
        <f t="shared" si="14"/>
        <v>38251</v>
      </c>
      <c r="C1017" t="str">
        <f>"011"</f>
        <v>011</v>
      </c>
      <c r="D1017">
        <v>2011</v>
      </c>
      <c r="E1017">
        <v>32723200</v>
      </c>
      <c r="F1017">
        <v>17344500</v>
      </c>
      <c r="G1017" t="s">
        <v>11</v>
      </c>
      <c r="H1017" t="s">
        <v>38</v>
      </c>
      <c r="I1017" t="s">
        <v>13</v>
      </c>
      <c r="J1017" t="s">
        <v>13</v>
      </c>
    </row>
    <row r="1018" spans="1:11" x14ac:dyDescent="0.25">
      <c r="A1018" t="s">
        <v>5</v>
      </c>
      <c r="B1018" t="str">
        <f t="shared" si="14"/>
        <v>38251</v>
      </c>
      <c r="C1018" t="str">
        <f>"012"</f>
        <v>012</v>
      </c>
      <c r="D1018">
        <v>2012</v>
      </c>
      <c r="E1018">
        <v>2738800</v>
      </c>
      <c r="F1018">
        <v>1104900</v>
      </c>
      <c r="G1018" t="s">
        <v>11</v>
      </c>
      <c r="H1018" t="s">
        <v>38</v>
      </c>
      <c r="I1018" t="s">
        <v>13</v>
      </c>
      <c r="J1018" t="s">
        <v>13</v>
      </c>
    </row>
    <row r="1019" spans="1:11" x14ac:dyDescent="0.25">
      <c r="A1019" t="s">
        <v>5</v>
      </c>
      <c r="B1019" t="str">
        <f t="shared" si="14"/>
        <v>38251</v>
      </c>
      <c r="C1019" t="str">
        <f>"013"</f>
        <v>013</v>
      </c>
      <c r="D1019">
        <v>2016</v>
      </c>
      <c r="E1019">
        <v>11634800</v>
      </c>
      <c r="F1019">
        <v>6984100</v>
      </c>
      <c r="G1019" t="s">
        <v>11</v>
      </c>
      <c r="H1019" t="s">
        <v>38</v>
      </c>
      <c r="I1019" t="s">
        <v>13</v>
      </c>
      <c r="J1019" t="s">
        <v>13</v>
      </c>
    </row>
    <row r="1020" spans="1:11" x14ac:dyDescent="0.25">
      <c r="A1020" t="s">
        <v>39</v>
      </c>
      <c r="B1020" t="s">
        <v>13</v>
      </c>
      <c r="C1020" t="s">
        <v>7</v>
      </c>
      <c r="D1020" t="s">
        <v>8</v>
      </c>
      <c r="E1020">
        <v>95899000</v>
      </c>
      <c r="F1020">
        <v>60882500</v>
      </c>
      <c r="G1020" t="s">
        <v>11</v>
      </c>
      <c r="H1020">
        <v>720162400</v>
      </c>
      <c r="I1020" t="s">
        <v>13</v>
      </c>
      <c r="J1020" t="s">
        <v>13</v>
      </c>
      <c r="K1020">
        <v>8.4499999999999993</v>
      </c>
    </row>
    <row r="1022" spans="1:11" x14ac:dyDescent="0.25">
      <c r="A1022" t="s">
        <v>257</v>
      </c>
      <c r="B1022" t="str">
        <f>"58252"</f>
        <v>58252</v>
      </c>
      <c r="C1022" t="str">
        <f>"002"</f>
        <v>002</v>
      </c>
      <c r="D1022">
        <v>1995</v>
      </c>
      <c r="E1022">
        <v>5586500</v>
      </c>
      <c r="F1022">
        <v>4877900</v>
      </c>
      <c r="G1022" t="s">
        <v>11</v>
      </c>
      <c r="H1022" t="s">
        <v>38</v>
      </c>
      <c r="I1022" t="s">
        <v>13</v>
      </c>
      <c r="J1022" t="s">
        <v>13</v>
      </c>
    </row>
    <row r="1023" spans="1:11" x14ac:dyDescent="0.25">
      <c r="A1023" t="s">
        <v>5</v>
      </c>
      <c r="B1023" t="str">
        <f>"68252"</f>
        <v>68252</v>
      </c>
      <c r="C1023" t="str">
        <f>"002"</f>
        <v>002</v>
      </c>
      <c r="D1023">
        <v>1995</v>
      </c>
      <c r="E1023">
        <v>3421200</v>
      </c>
      <c r="F1023">
        <v>2549900</v>
      </c>
      <c r="G1023" t="s">
        <v>11</v>
      </c>
      <c r="H1023" t="s">
        <v>38</v>
      </c>
      <c r="I1023" t="s">
        <v>13</v>
      </c>
      <c r="J1023" t="s">
        <v>13</v>
      </c>
    </row>
    <row r="1024" spans="1:11" x14ac:dyDescent="0.25">
      <c r="A1024" t="s">
        <v>39</v>
      </c>
      <c r="B1024" t="s">
        <v>13</v>
      </c>
      <c r="C1024" t="s">
        <v>7</v>
      </c>
      <c r="D1024" t="s">
        <v>8</v>
      </c>
      <c r="E1024">
        <v>9007700</v>
      </c>
      <c r="F1024">
        <v>7427800</v>
      </c>
      <c r="G1024" t="s">
        <v>11</v>
      </c>
      <c r="H1024">
        <v>63944700</v>
      </c>
      <c r="I1024" t="s">
        <v>13</v>
      </c>
      <c r="J1024" t="s">
        <v>13</v>
      </c>
      <c r="K1024">
        <v>11.62</v>
      </c>
    </row>
    <row r="1026" spans="1:11" x14ac:dyDescent="0.25">
      <c r="A1026" t="s">
        <v>258</v>
      </c>
      <c r="B1026" t="str">
        <f>"24251"</f>
        <v>24251</v>
      </c>
      <c r="C1026" t="str">
        <f>"001"</f>
        <v>001</v>
      </c>
      <c r="D1026">
        <v>1995</v>
      </c>
      <c r="E1026">
        <v>4912700</v>
      </c>
      <c r="F1026">
        <v>3586200</v>
      </c>
      <c r="G1026" t="s">
        <v>11</v>
      </c>
      <c r="H1026" t="s">
        <v>38</v>
      </c>
      <c r="I1026" t="s">
        <v>13</v>
      </c>
      <c r="J1026" t="s">
        <v>13</v>
      </c>
    </row>
    <row r="1027" spans="1:11" x14ac:dyDescent="0.25">
      <c r="A1027" t="s">
        <v>39</v>
      </c>
      <c r="B1027" t="s">
        <v>13</v>
      </c>
      <c r="C1027" t="s">
        <v>7</v>
      </c>
      <c r="D1027" t="s">
        <v>8</v>
      </c>
      <c r="E1027">
        <v>4912700</v>
      </c>
      <c r="F1027">
        <v>3586200</v>
      </c>
      <c r="G1027" t="s">
        <v>11</v>
      </c>
      <c r="H1027">
        <v>70521500</v>
      </c>
      <c r="I1027" t="s">
        <v>13</v>
      </c>
      <c r="J1027" t="s">
        <v>13</v>
      </c>
      <c r="K1027">
        <v>5.09</v>
      </c>
    </row>
    <row r="1029" spans="1:11" x14ac:dyDescent="0.25">
      <c r="A1029" t="s">
        <v>259</v>
      </c>
      <c r="B1029" t="str">
        <f t="shared" ref="B1029:B1035" si="15">"71251"</f>
        <v>71251</v>
      </c>
      <c r="C1029" t="str">
        <f>"002"</f>
        <v>002</v>
      </c>
      <c r="D1029">
        <v>1993</v>
      </c>
      <c r="E1029">
        <v>4642200</v>
      </c>
      <c r="F1029">
        <v>4642200</v>
      </c>
      <c r="G1029" t="s">
        <v>11</v>
      </c>
      <c r="H1029" t="s">
        <v>38</v>
      </c>
      <c r="I1029" t="s">
        <v>13</v>
      </c>
      <c r="J1029" t="s">
        <v>13</v>
      </c>
    </row>
    <row r="1030" spans="1:11" x14ac:dyDescent="0.25">
      <c r="A1030" t="s">
        <v>5</v>
      </c>
      <c r="B1030" t="str">
        <f t="shared" si="15"/>
        <v>71251</v>
      </c>
      <c r="C1030" t="str">
        <f>"004"</f>
        <v>004</v>
      </c>
      <c r="D1030">
        <v>1996</v>
      </c>
      <c r="E1030">
        <v>68298400</v>
      </c>
      <c r="F1030">
        <v>30540600</v>
      </c>
      <c r="G1030" t="s">
        <v>11</v>
      </c>
      <c r="H1030" t="s">
        <v>38</v>
      </c>
      <c r="I1030" t="s">
        <v>13</v>
      </c>
      <c r="J1030" t="s">
        <v>13</v>
      </c>
    </row>
    <row r="1031" spans="1:11" x14ac:dyDescent="0.25">
      <c r="A1031" t="s">
        <v>5</v>
      </c>
      <c r="B1031" t="str">
        <f t="shared" si="15"/>
        <v>71251</v>
      </c>
      <c r="C1031" t="str">
        <f>"005"</f>
        <v>005</v>
      </c>
      <c r="D1031">
        <v>1997</v>
      </c>
      <c r="E1031">
        <v>23244100</v>
      </c>
      <c r="F1031">
        <v>22944600</v>
      </c>
      <c r="G1031" t="s">
        <v>11</v>
      </c>
      <c r="H1031" t="s">
        <v>38</v>
      </c>
      <c r="I1031" t="s">
        <v>13</v>
      </c>
      <c r="J1031" t="s">
        <v>13</v>
      </c>
    </row>
    <row r="1032" spans="1:11" x14ac:dyDescent="0.25">
      <c r="A1032" t="s">
        <v>5</v>
      </c>
      <c r="B1032" t="str">
        <f t="shared" si="15"/>
        <v>71251</v>
      </c>
      <c r="C1032" t="str">
        <f>"007"</f>
        <v>007</v>
      </c>
      <c r="D1032">
        <v>2001</v>
      </c>
      <c r="E1032">
        <v>17756400</v>
      </c>
      <c r="F1032">
        <v>15345100</v>
      </c>
      <c r="G1032" t="s">
        <v>11</v>
      </c>
      <c r="H1032" t="s">
        <v>38</v>
      </c>
      <c r="I1032" t="s">
        <v>13</v>
      </c>
      <c r="J1032" t="s">
        <v>13</v>
      </c>
    </row>
    <row r="1033" spans="1:11" x14ac:dyDescent="0.25">
      <c r="A1033" t="s">
        <v>5</v>
      </c>
      <c r="B1033" t="str">
        <f t="shared" si="15"/>
        <v>71251</v>
      </c>
      <c r="C1033" t="str">
        <f>"009"</f>
        <v>009</v>
      </c>
      <c r="D1033">
        <v>2013</v>
      </c>
      <c r="E1033">
        <v>18935400</v>
      </c>
      <c r="F1033">
        <v>17450600</v>
      </c>
      <c r="G1033" t="s">
        <v>11</v>
      </c>
      <c r="H1033" t="s">
        <v>38</v>
      </c>
      <c r="I1033" t="s">
        <v>13</v>
      </c>
      <c r="J1033" t="s">
        <v>13</v>
      </c>
    </row>
    <row r="1034" spans="1:11" x14ac:dyDescent="0.25">
      <c r="A1034" t="s">
        <v>5</v>
      </c>
      <c r="B1034" t="str">
        <f t="shared" si="15"/>
        <v>71251</v>
      </c>
      <c r="C1034" t="str">
        <f>"010"</f>
        <v>010</v>
      </c>
      <c r="D1034">
        <v>2015</v>
      </c>
      <c r="E1034">
        <v>19724300</v>
      </c>
      <c r="F1034">
        <v>3189800</v>
      </c>
      <c r="G1034" t="s">
        <v>11</v>
      </c>
      <c r="H1034" t="s">
        <v>38</v>
      </c>
      <c r="I1034" t="s">
        <v>13</v>
      </c>
      <c r="J1034" t="s">
        <v>13</v>
      </c>
    </row>
    <row r="1035" spans="1:11" x14ac:dyDescent="0.25">
      <c r="A1035" t="s">
        <v>5</v>
      </c>
      <c r="B1035" t="str">
        <f t="shared" si="15"/>
        <v>71251</v>
      </c>
      <c r="C1035" t="str">
        <f>"011"</f>
        <v>011</v>
      </c>
      <c r="D1035">
        <v>2016</v>
      </c>
      <c r="E1035">
        <v>4060500</v>
      </c>
      <c r="F1035">
        <v>3517000</v>
      </c>
      <c r="G1035" t="s">
        <v>11</v>
      </c>
      <c r="H1035" t="s">
        <v>38</v>
      </c>
      <c r="I1035" t="s">
        <v>13</v>
      </c>
      <c r="J1035" t="s">
        <v>13</v>
      </c>
    </row>
    <row r="1036" spans="1:11" x14ac:dyDescent="0.25">
      <c r="A1036" t="s">
        <v>39</v>
      </c>
      <c r="B1036" t="s">
        <v>13</v>
      </c>
      <c r="C1036" t="s">
        <v>7</v>
      </c>
      <c r="D1036" t="s">
        <v>8</v>
      </c>
      <c r="E1036">
        <v>156661300</v>
      </c>
      <c r="F1036">
        <v>97629900</v>
      </c>
      <c r="G1036" t="s">
        <v>11</v>
      </c>
      <c r="H1036">
        <v>1577080500</v>
      </c>
      <c r="I1036" t="s">
        <v>13</v>
      </c>
      <c r="J1036" t="s">
        <v>13</v>
      </c>
      <c r="K1036">
        <v>6.19</v>
      </c>
    </row>
    <row r="1038" spans="1:11" x14ac:dyDescent="0.25">
      <c r="A1038" t="s">
        <v>260</v>
      </c>
      <c r="B1038" t="str">
        <f>"04151"</f>
        <v>04151</v>
      </c>
      <c r="C1038" t="str">
        <f>"001"</f>
        <v>001</v>
      </c>
      <c r="D1038">
        <v>1999</v>
      </c>
      <c r="E1038">
        <v>994800</v>
      </c>
      <c r="F1038">
        <v>835800</v>
      </c>
      <c r="G1038" t="s">
        <v>11</v>
      </c>
      <c r="H1038" t="s">
        <v>38</v>
      </c>
      <c r="I1038" t="s">
        <v>13</v>
      </c>
      <c r="J1038" t="s">
        <v>13</v>
      </c>
    </row>
    <row r="1039" spans="1:11" x14ac:dyDescent="0.25">
      <c r="A1039" t="s">
        <v>39</v>
      </c>
      <c r="B1039" t="s">
        <v>13</v>
      </c>
      <c r="C1039" t="s">
        <v>7</v>
      </c>
      <c r="D1039" t="s">
        <v>8</v>
      </c>
      <c r="E1039">
        <v>994800</v>
      </c>
      <c r="F1039">
        <v>835800</v>
      </c>
      <c r="G1039" t="s">
        <v>11</v>
      </c>
      <c r="H1039">
        <v>3462900</v>
      </c>
      <c r="I1039" t="s">
        <v>13</v>
      </c>
      <c r="J1039" t="s">
        <v>13</v>
      </c>
      <c r="K1039">
        <v>24.14</v>
      </c>
    </row>
    <row r="1041" spans="1:11" x14ac:dyDescent="0.25">
      <c r="A1041" t="s">
        <v>261</v>
      </c>
      <c r="B1041" t="str">
        <f>"29251"</f>
        <v>29251</v>
      </c>
      <c r="C1041" t="str">
        <f>"002"</f>
        <v>002</v>
      </c>
      <c r="D1041">
        <v>1995</v>
      </c>
      <c r="E1041">
        <v>18862000</v>
      </c>
      <c r="F1041">
        <v>16177100</v>
      </c>
      <c r="G1041" t="s">
        <v>11</v>
      </c>
      <c r="H1041" t="s">
        <v>38</v>
      </c>
      <c r="I1041" t="s">
        <v>13</v>
      </c>
      <c r="J1041" t="s">
        <v>13</v>
      </c>
    </row>
    <row r="1042" spans="1:11" x14ac:dyDescent="0.25">
      <c r="A1042" t="s">
        <v>5</v>
      </c>
      <c r="B1042" t="str">
        <f>"29251"</f>
        <v>29251</v>
      </c>
      <c r="C1042" t="str">
        <f>"003"</f>
        <v>003</v>
      </c>
      <c r="D1042">
        <v>1995</v>
      </c>
      <c r="E1042">
        <v>30789100</v>
      </c>
      <c r="F1042">
        <v>21604600</v>
      </c>
      <c r="G1042" t="s">
        <v>11</v>
      </c>
      <c r="H1042" t="s">
        <v>38</v>
      </c>
      <c r="I1042" t="s">
        <v>13</v>
      </c>
      <c r="J1042" t="s">
        <v>13</v>
      </c>
    </row>
    <row r="1043" spans="1:11" x14ac:dyDescent="0.25">
      <c r="A1043" t="s">
        <v>39</v>
      </c>
      <c r="B1043" t="s">
        <v>13</v>
      </c>
      <c r="C1043" t="s">
        <v>7</v>
      </c>
      <c r="D1043" t="s">
        <v>8</v>
      </c>
      <c r="E1043">
        <v>49651100</v>
      </c>
      <c r="F1043">
        <v>37781700</v>
      </c>
      <c r="G1043" t="s">
        <v>11</v>
      </c>
      <c r="H1043">
        <v>204482000</v>
      </c>
      <c r="I1043" t="s">
        <v>13</v>
      </c>
      <c r="J1043" t="s">
        <v>13</v>
      </c>
      <c r="K1043">
        <v>18.48</v>
      </c>
    </row>
    <row r="1045" spans="1:11" x14ac:dyDescent="0.25">
      <c r="A1045" t="s">
        <v>262</v>
      </c>
      <c r="B1045" t="str">
        <f>"14251"</f>
        <v>14251</v>
      </c>
      <c r="C1045" t="str">
        <f>"003"</f>
        <v>003</v>
      </c>
      <c r="D1045">
        <v>1997</v>
      </c>
      <c r="E1045">
        <v>42451600</v>
      </c>
      <c r="F1045">
        <v>30079100</v>
      </c>
      <c r="G1045" t="s">
        <v>11</v>
      </c>
      <c r="H1045" t="s">
        <v>38</v>
      </c>
      <c r="I1045" t="s">
        <v>13</v>
      </c>
      <c r="J1045" t="s">
        <v>13</v>
      </c>
    </row>
    <row r="1046" spans="1:11" x14ac:dyDescent="0.25">
      <c r="A1046" t="s">
        <v>5</v>
      </c>
      <c r="B1046" t="str">
        <f>"14251"</f>
        <v>14251</v>
      </c>
      <c r="C1046" t="str">
        <f>"004"</f>
        <v>004</v>
      </c>
      <c r="D1046">
        <v>2009</v>
      </c>
      <c r="E1046">
        <v>2196100</v>
      </c>
      <c r="F1046">
        <v>647500</v>
      </c>
      <c r="G1046" t="s">
        <v>11</v>
      </c>
      <c r="H1046" t="s">
        <v>38</v>
      </c>
      <c r="I1046" t="s">
        <v>13</v>
      </c>
      <c r="J1046" t="s">
        <v>13</v>
      </c>
    </row>
    <row r="1047" spans="1:11" x14ac:dyDescent="0.25">
      <c r="A1047" t="s">
        <v>5</v>
      </c>
      <c r="B1047" t="str">
        <f>"14251"</f>
        <v>14251</v>
      </c>
      <c r="C1047" t="str">
        <f>"005"</f>
        <v>005</v>
      </c>
      <c r="D1047">
        <v>2013</v>
      </c>
      <c r="E1047">
        <v>5742100</v>
      </c>
      <c r="F1047">
        <v>3408900</v>
      </c>
      <c r="G1047" t="s">
        <v>11</v>
      </c>
      <c r="H1047" t="s">
        <v>38</v>
      </c>
      <c r="I1047" t="s">
        <v>13</v>
      </c>
      <c r="J1047" t="s">
        <v>13</v>
      </c>
    </row>
    <row r="1048" spans="1:11" x14ac:dyDescent="0.25">
      <c r="A1048" t="s">
        <v>39</v>
      </c>
      <c r="B1048" t="s">
        <v>13</v>
      </c>
      <c r="C1048" t="s">
        <v>7</v>
      </c>
      <c r="D1048" t="s">
        <v>8</v>
      </c>
      <c r="E1048">
        <v>50389800</v>
      </c>
      <c r="F1048">
        <v>34135500</v>
      </c>
      <c r="G1048" t="s">
        <v>11</v>
      </c>
      <c r="H1048">
        <v>344682700</v>
      </c>
      <c r="I1048" t="s">
        <v>13</v>
      </c>
      <c r="J1048" t="s">
        <v>13</v>
      </c>
      <c r="K1048">
        <v>9.9</v>
      </c>
    </row>
    <row r="1050" spans="1:11" x14ac:dyDescent="0.25">
      <c r="A1050" t="s">
        <v>263</v>
      </c>
      <c r="B1050" t="str">
        <f>"13153"</f>
        <v>13153</v>
      </c>
      <c r="C1050" t="str">
        <f>"004"</f>
        <v>004</v>
      </c>
      <c r="D1050">
        <v>2005</v>
      </c>
      <c r="E1050">
        <v>17643100</v>
      </c>
      <c r="F1050">
        <v>12059600</v>
      </c>
      <c r="G1050" t="s">
        <v>11</v>
      </c>
      <c r="H1050" t="s">
        <v>38</v>
      </c>
      <c r="I1050" t="s">
        <v>13</v>
      </c>
      <c r="J1050" t="s">
        <v>13</v>
      </c>
    </row>
    <row r="1051" spans="1:11" x14ac:dyDescent="0.25">
      <c r="A1051" t="s">
        <v>5</v>
      </c>
      <c r="B1051" t="str">
        <f>"13153"</f>
        <v>13153</v>
      </c>
      <c r="C1051" t="str">
        <f>"005"</f>
        <v>005</v>
      </c>
      <c r="D1051">
        <v>2005</v>
      </c>
      <c r="E1051">
        <v>6236900</v>
      </c>
      <c r="F1051">
        <v>1642300</v>
      </c>
      <c r="G1051" t="s">
        <v>11</v>
      </c>
      <c r="H1051" t="s">
        <v>38</v>
      </c>
      <c r="I1051" t="s">
        <v>13</v>
      </c>
      <c r="J1051" t="s">
        <v>13</v>
      </c>
    </row>
    <row r="1052" spans="1:11" x14ac:dyDescent="0.25">
      <c r="A1052" t="s">
        <v>39</v>
      </c>
      <c r="B1052" t="s">
        <v>13</v>
      </c>
      <c r="C1052" t="s">
        <v>7</v>
      </c>
      <c r="D1052" t="s">
        <v>8</v>
      </c>
      <c r="E1052">
        <v>23880000</v>
      </c>
      <c r="F1052">
        <v>13701900</v>
      </c>
      <c r="G1052" t="s">
        <v>11</v>
      </c>
      <c r="H1052">
        <v>161092900</v>
      </c>
      <c r="I1052" t="s">
        <v>13</v>
      </c>
      <c r="J1052" t="s">
        <v>13</v>
      </c>
      <c r="K1052">
        <v>8.51</v>
      </c>
    </row>
    <row r="1054" spans="1:11" x14ac:dyDescent="0.25">
      <c r="A1054" t="s">
        <v>264</v>
      </c>
      <c r="B1054" t="str">
        <f>"13154"</f>
        <v>13154</v>
      </c>
      <c r="C1054" t="str">
        <f>"003"</f>
        <v>003</v>
      </c>
      <c r="D1054">
        <v>2004</v>
      </c>
      <c r="E1054">
        <v>65428600</v>
      </c>
      <c r="F1054">
        <v>38431200</v>
      </c>
      <c r="G1054" t="s">
        <v>11</v>
      </c>
      <c r="H1054" t="s">
        <v>38</v>
      </c>
      <c r="I1054" t="s">
        <v>13</v>
      </c>
      <c r="J1054" t="s">
        <v>13</v>
      </c>
    </row>
    <row r="1055" spans="1:11" x14ac:dyDescent="0.25">
      <c r="A1055" t="s">
        <v>5</v>
      </c>
      <c r="B1055" t="str">
        <f>"13154"</f>
        <v>13154</v>
      </c>
      <c r="C1055" t="str">
        <f>"004"</f>
        <v>004</v>
      </c>
      <c r="D1055">
        <v>2008</v>
      </c>
      <c r="E1055">
        <v>11690700</v>
      </c>
      <c r="F1055">
        <v>4107600</v>
      </c>
      <c r="G1055" t="s">
        <v>11</v>
      </c>
      <c r="H1055" t="s">
        <v>38</v>
      </c>
      <c r="I1055" t="s">
        <v>13</v>
      </c>
      <c r="J1055" t="s">
        <v>13</v>
      </c>
    </row>
    <row r="1056" spans="1:11" x14ac:dyDescent="0.25">
      <c r="A1056" t="s">
        <v>39</v>
      </c>
      <c r="B1056" t="s">
        <v>13</v>
      </c>
      <c r="C1056" t="s">
        <v>7</v>
      </c>
      <c r="D1056" t="s">
        <v>8</v>
      </c>
      <c r="E1056">
        <v>77119300</v>
      </c>
      <c r="F1056">
        <v>42538800</v>
      </c>
      <c r="G1056" t="s">
        <v>11</v>
      </c>
      <c r="H1056">
        <v>936011100</v>
      </c>
      <c r="I1056" t="s">
        <v>13</v>
      </c>
      <c r="J1056" t="s">
        <v>13</v>
      </c>
      <c r="K1056">
        <v>4.54</v>
      </c>
    </row>
    <row r="1058" spans="1:11" x14ac:dyDescent="0.25">
      <c r="A1058" t="s">
        <v>265</v>
      </c>
      <c r="B1058" t="str">
        <f t="shared" ref="B1058:B1065" si="16">"60251"</f>
        <v>60251</v>
      </c>
      <c r="C1058" t="str">
        <f>"005"</f>
        <v>005</v>
      </c>
      <c r="D1058">
        <v>1989</v>
      </c>
      <c r="E1058">
        <v>6870000</v>
      </c>
      <c r="F1058">
        <v>1682100</v>
      </c>
      <c r="G1058" t="s">
        <v>11</v>
      </c>
      <c r="H1058" t="s">
        <v>38</v>
      </c>
      <c r="I1058" t="s">
        <v>13</v>
      </c>
      <c r="J1058" t="s">
        <v>13</v>
      </c>
    </row>
    <row r="1059" spans="1:11" x14ac:dyDescent="0.25">
      <c r="A1059" t="s">
        <v>5</v>
      </c>
      <c r="B1059" t="str">
        <f t="shared" si="16"/>
        <v>60251</v>
      </c>
      <c r="C1059" t="str">
        <f>"006"</f>
        <v>006</v>
      </c>
      <c r="D1059">
        <v>1996</v>
      </c>
      <c r="E1059">
        <v>4006900</v>
      </c>
      <c r="F1059">
        <v>2589300</v>
      </c>
      <c r="G1059" t="s">
        <v>11</v>
      </c>
      <c r="H1059" t="s">
        <v>38</v>
      </c>
      <c r="I1059" t="s">
        <v>13</v>
      </c>
      <c r="J1059" t="s">
        <v>13</v>
      </c>
    </row>
    <row r="1060" spans="1:11" x14ac:dyDescent="0.25">
      <c r="A1060" t="s">
        <v>5</v>
      </c>
      <c r="B1060" t="str">
        <f t="shared" si="16"/>
        <v>60251</v>
      </c>
      <c r="C1060" t="str">
        <f>"007"</f>
        <v>007</v>
      </c>
      <c r="D1060">
        <v>1997</v>
      </c>
      <c r="E1060">
        <v>1959600</v>
      </c>
      <c r="F1060">
        <v>470700</v>
      </c>
      <c r="G1060" t="s">
        <v>11</v>
      </c>
      <c r="H1060" t="s">
        <v>38</v>
      </c>
      <c r="I1060" t="s">
        <v>13</v>
      </c>
      <c r="J1060" t="s">
        <v>13</v>
      </c>
    </row>
    <row r="1061" spans="1:11" x14ac:dyDescent="0.25">
      <c r="A1061" t="s">
        <v>5</v>
      </c>
      <c r="B1061" t="str">
        <f t="shared" si="16"/>
        <v>60251</v>
      </c>
      <c r="C1061" t="str">
        <f>"008"</f>
        <v>008</v>
      </c>
      <c r="D1061">
        <v>1997</v>
      </c>
      <c r="E1061">
        <v>1803800</v>
      </c>
      <c r="F1061">
        <v>1107900</v>
      </c>
      <c r="G1061" t="s">
        <v>11</v>
      </c>
      <c r="H1061" t="s">
        <v>38</v>
      </c>
      <c r="I1061" t="s">
        <v>13</v>
      </c>
      <c r="J1061" t="s">
        <v>13</v>
      </c>
    </row>
    <row r="1062" spans="1:11" x14ac:dyDescent="0.25">
      <c r="A1062" t="s">
        <v>5</v>
      </c>
      <c r="B1062" t="str">
        <f t="shared" si="16"/>
        <v>60251</v>
      </c>
      <c r="C1062" t="str">
        <f>"010"</f>
        <v>010</v>
      </c>
      <c r="D1062">
        <v>1999</v>
      </c>
      <c r="E1062">
        <v>2429100</v>
      </c>
      <c r="F1062">
        <v>2188900</v>
      </c>
      <c r="G1062" t="s">
        <v>11</v>
      </c>
      <c r="H1062" t="s">
        <v>38</v>
      </c>
      <c r="I1062" t="s">
        <v>13</v>
      </c>
      <c r="J1062" t="s">
        <v>13</v>
      </c>
    </row>
    <row r="1063" spans="1:11" x14ac:dyDescent="0.25">
      <c r="A1063" t="s">
        <v>5</v>
      </c>
      <c r="B1063" t="str">
        <f t="shared" si="16"/>
        <v>60251</v>
      </c>
      <c r="C1063" t="str">
        <f>"011"</f>
        <v>011</v>
      </c>
      <c r="D1063">
        <v>1999</v>
      </c>
      <c r="E1063">
        <v>4288000</v>
      </c>
      <c r="F1063">
        <v>3104000</v>
      </c>
      <c r="G1063" t="s">
        <v>11</v>
      </c>
      <c r="H1063" t="s">
        <v>38</v>
      </c>
      <c r="I1063" t="s">
        <v>13</v>
      </c>
      <c r="J1063" t="s">
        <v>13</v>
      </c>
    </row>
    <row r="1064" spans="1:11" x14ac:dyDescent="0.25">
      <c r="A1064" t="s">
        <v>5</v>
      </c>
      <c r="B1064" t="str">
        <f t="shared" si="16"/>
        <v>60251</v>
      </c>
      <c r="C1064" t="str">
        <f>"012"</f>
        <v>012</v>
      </c>
      <c r="D1064">
        <v>2000</v>
      </c>
      <c r="E1064">
        <v>33198300</v>
      </c>
      <c r="F1064">
        <v>30510600</v>
      </c>
      <c r="G1064" t="s">
        <v>11</v>
      </c>
      <c r="H1064" t="s">
        <v>38</v>
      </c>
      <c r="I1064" t="s">
        <v>13</v>
      </c>
      <c r="J1064" t="s">
        <v>13</v>
      </c>
    </row>
    <row r="1065" spans="1:11" x14ac:dyDescent="0.25">
      <c r="A1065" t="s">
        <v>5</v>
      </c>
      <c r="B1065" t="str">
        <f t="shared" si="16"/>
        <v>60251</v>
      </c>
      <c r="C1065" t="str">
        <f>"013"</f>
        <v>013</v>
      </c>
      <c r="D1065">
        <v>2005</v>
      </c>
      <c r="E1065">
        <v>16966900</v>
      </c>
      <c r="F1065">
        <v>13584900</v>
      </c>
      <c r="G1065" t="s">
        <v>11</v>
      </c>
      <c r="H1065" t="s">
        <v>38</v>
      </c>
      <c r="I1065" t="s">
        <v>13</v>
      </c>
      <c r="J1065" t="s">
        <v>13</v>
      </c>
    </row>
    <row r="1066" spans="1:11" x14ac:dyDescent="0.25">
      <c r="A1066" t="s">
        <v>39</v>
      </c>
      <c r="B1066" t="s">
        <v>13</v>
      </c>
      <c r="C1066" t="s">
        <v>7</v>
      </c>
      <c r="D1066" t="s">
        <v>8</v>
      </c>
      <c r="E1066">
        <v>71522600</v>
      </c>
      <c r="F1066">
        <v>55238400</v>
      </c>
      <c r="G1066" t="s">
        <v>11</v>
      </c>
      <c r="H1066">
        <v>300870800</v>
      </c>
      <c r="I1066" t="s">
        <v>13</v>
      </c>
      <c r="J1066" t="s">
        <v>13</v>
      </c>
      <c r="K1066">
        <v>18.36</v>
      </c>
    </row>
    <row r="1068" spans="1:11" x14ac:dyDescent="0.25">
      <c r="A1068" t="s">
        <v>266</v>
      </c>
      <c r="B1068" t="str">
        <f>"70251"</f>
        <v>70251</v>
      </c>
      <c r="C1068" t="str">
        <f>"004"</f>
        <v>004</v>
      </c>
      <c r="D1068">
        <v>1997</v>
      </c>
      <c r="E1068">
        <v>7051500</v>
      </c>
      <c r="F1068">
        <v>2855500</v>
      </c>
      <c r="G1068" t="s">
        <v>11</v>
      </c>
      <c r="H1068" t="s">
        <v>38</v>
      </c>
      <c r="I1068" t="s">
        <v>13</v>
      </c>
      <c r="J1068" t="s">
        <v>13</v>
      </c>
    </row>
    <row r="1069" spans="1:11" x14ac:dyDescent="0.25">
      <c r="A1069" t="s">
        <v>5</v>
      </c>
      <c r="B1069" t="str">
        <f>"70251"</f>
        <v>70251</v>
      </c>
      <c r="C1069" t="str">
        <f>"005"</f>
        <v>005</v>
      </c>
      <c r="D1069">
        <v>1998</v>
      </c>
      <c r="E1069">
        <v>14107400</v>
      </c>
      <c r="F1069">
        <v>10722500</v>
      </c>
      <c r="G1069" t="s">
        <v>11</v>
      </c>
      <c r="H1069" t="s">
        <v>38</v>
      </c>
      <c r="I1069" t="s">
        <v>13</v>
      </c>
      <c r="J1069" t="s">
        <v>13</v>
      </c>
    </row>
    <row r="1070" spans="1:11" x14ac:dyDescent="0.25">
      <c r="A1070" t="s">
        <v>5</v>
      </c>
      <c r="B1070" t="str">
        <f>"70251"</f>
        <v>70251</v>
      </c>
      <c r="C1070" t="str">
        <f>"006"</f>
        <v>006</v>
      </c>
      <c r="D1070">
        <v>1998</v>
      </c>
      <c r="E1070">
        <v>21533800</v>
      </c>
      <c r="F1070">
        <v>15965000</v>
      </c>
      <c r="G1070" t="s">
        <v>11</v>
      </c>
      <c r="H1070" t="s">
        <v>38</v>
      </c>
      <c r="I1070" t="s">
        <v>13</v>
      </c>
      <c r="J1070" t="s">
        <v>13</v>
      </c>
    </row>
    <row r="1071" spans="1:11" x14ac:dyDescent="0.25">
      <c r="A1071" t="s">
        <v>5</v>
      </c>
      <c r="B1071" t="str">
        <f>"70251"</f>
        <v>70251</v>
      </c>
      <c r="C1071" t="str">
        <f>"007"</f>
        <v>007</v>
      </c>
      <c r="D1071">
        <v>2003</v>
      </c>
      <c r="E1071">
        <v>4572400</v>
      </c>
      <c r="F1071">
        <v>3885100</v>
      </c>
      <c r="G1071" t="s">
        <v>11</v>
      </c>
      <c r="H1071" t="s">
        <v>38</v>
      </c>
      <c r="I1071" t="s">
        <v>13</v>
      </c>
      <c r="J1071" t="s">
        <v>13</v>
      </c>
    </row>
    <row r="1072" spans="1:11" x14ac:dyDescent="0.25">
      <c r="A1072" t="s">
        <v>5</v>
      </c>
      <c r="B1072" t="str">
        <f>"70251"</f>
        <v>70251</v>
      </c>
      <c r="C1072" t="str">
        <f>"008"</f>
        <v>008</v>
      </c>
      <c r="D1072">
        <v>2005</v>
      </c>
      <c r="E1072">
        <v>1925900</v>
      </c>
      <c r="F1072">
        <v>1441400</v>
      </c>
      <c r="G1072" t="s">
        <v>11</v>
      </c>
      <c r="H1072" t="s">
        <v>38</v>
      </c>
      <c r="I1072" t="s">
        <v>13</v>
      </c>
      <c r="J1072" t="s">
        <v>13</v>
      </c>
    </row>
    <row r="1073" spans="1:11" x14ac:dyDescent="0.25">
      <c r="A1073" t="s">
        <v>5</v>
      </c>
      <c r="B1073" t="str">
        <f>"08251"</f>
        <v>08251</v>
      </c>
      <c r="C1073" t="str">
        <f>"009"</f>
        <v>009</v>
      </c>
      <c r="D1073">
        <v>2005</v>
      </c>
      <c r="E1073">
        <v>41489200</v>
      </c>
      <c r="F1073">
        <v>38030800</v>
      </c>
      <c r="G1073" t="s">
        <v>11</v>
      </c>
      <c r="H1073" t="s">
        <v>38</v>
      </c>
      <c r="I1073" t="s">
        <v>13</v>
      </c>
      <c r="J1073" t="s">
        <v>13</v>
      </c>
    </row>
    <row r="1074" spans="1:11" x14ac:dyDescent="0.25">
      <c r="A1074" t="s">
        <v>5</v>
      </c>
      <c r="B1074" t="str">
        <f>"70251"</f>
        <v>70251</v>
      </c>
      <c r="C1074" t="str">
        <f>"010"</f>
        <v>010</v>
      </c>
      <c r="D1074">
        <v>2006</v>
      </c>
      <c r="E1074">
        <v>11548800</v>
      </c>
      <c r="F1074">
        <v>1846900</v>
      </c>
      <c r="G1074" t="s">
        <v>11</v>
      </c>
      <c r="H1074" t="s">
        <v>38</v>
      </c>
      <c r="I1074" t="s">
        <v>13</v>
      </c>
      <c r="J1074" t="s">
        <v>13</v>
      </c>
    </row>
    <row r="1075" spans="1:11" x14ac:dyDescent="0.25">
      <c r="A1075" t="s">
        <v>5</v>
      </c>
      <c r="B1075" t="str">
        <f>"70251"</f>
        <v>70251</v>
      </c>
      <c r="C1075" t="str">
        <f>"011"</f>
        <v>011</v>
      </c>
      <c r="D1075">
        <v>2007</v>
      </c>
      <c r="E1075">
        <v>3100200</v>
      </c>
      <c r="F1075">
        <v>2815300</v>
      </c>
      <c r="G1075" t="s">
        <v>11</v>
      </c>
      <c r="H1075" t="s">
        <v>38</v>
      </c>
      <c r="I1075" t="s">
        <v>13</v>
      </c>
      <c r="J1075" t="s">
        <v>13</v>
      </c>
    </row>
    <row r="1076" spans="1:11" x14ac:dyDescent="0.25">
      <c r="A1076" t="s">
        <v>5</v>
      </c>
      <c r="B1076" t="str">
        <f>"08251"</f>
        <v>08251</v>
      </c>
      <c r="C1076" t="str">
        <f>"012"</f>
        <v>012</v>
      </c>
      <c r="D1076">
        <v>2011</v>
      </c>
      <c r="E1076">
        <v>57053700</v>
      </c>
      <c r="F1076">
        <v>35338100</v>
      </c>
      <c r="G1076" t="s">
        <v>11</v>
      </c>
      <c r="H1076" t="s">
        <v>38</v>
      </c>
      <c r="I1076" t="s">
        <v>13</v>
      </c>
      <c r="J1076" t="s">
        <v>13</v>
      </c>
    </row>
    <row r="1077" spans="1:11" x14ac:dyDescent="0.25">
      <c r="A1077" t="s">
        <v>5</v>
      </c>
      <c r="B1077" t="str">
        <f>"70251"</f>
        <v>70251</v>
      </c>
      <c r="C1077" t="str">
        <f>"013"</f>
        <v>013</v>
      </c>
      <c r="D1077">
        <v>2015</v>
      </c>
      <c r="E1077">
        <v>16538300</v>
      </c>
      <c r="F1077">
        <v>16290100</v>
      </c>
      <c r="G1077" t="s">
        <v>11</v>
      </c>
      <c r="H1077" t="s">
        <v>38</v>
      </c>
      <c r="I1077" t="s">
        <v>13</v>
      </c>
      <c r="J1077" t="s">
        <v>13</v>
      </c>
    </row>
    <row r="1078" spans="1:11" x14ac:dyDescent="0.25">
      <c r="A1078" t="s">
        <v>39</v>
      </c>
      <c r="B1078" t="s">
        <v>13</v>
      </c>
      <c r="C1078" t="s">
        <v>7</v>
      </c>
      <c r="D1078" t="s">
        <v>8</v>
      </c>
      <c r="E1078">
        <v>178921200</v>
      </c>
      <c r="F1078">
        <v>129190700</v>
      </c>
      <c r="G1078" t="s">
        <v>11</v>
      </c>
      <c r="H1078">
        <v>1177560800</v>
      </c>
      <c r="I1078" t="s">
        <v>13</v>
      </c>
      <c r="J1078" t="s">
        <v>13</v>
      </c>
      <c r="K1078">
        <v>10.97</v>
      </c>
    </row>
    <row r="1080" spans="1:11" x14ac:dyDescent="0.25">
      <c r="A1080" t="s">
        <v>267</v>
      </c>
      <c r="B1080" t="str">
        <f t="shared" ref="B1080:B1088" si="17">"67151"</f>
        <v>67151</v>
      </c>
      <c r="C1080" t="str">
        <f>"004"</f>
        <v>004</v>
      </c>
      <c r="D1080">
        <v>1996</v>
      </c>
      <c r="E1080">
        <v>111258900</v>
      </c>
      <c r="F1080">
        <v>97354400</v>
      </c>
      <c r="G1080" t="s">
        <v>11</v>
      </c>
      <c r="H1080" t="s">
        <v>38</v>
      </c>
      <c r="I1080" t="s">
        <v>13</v>
      </c>
      <c r="J1080" t="s">
        <v>13</v>
      </c>
    </row>
    <row r="1081" spans="1:11" x14ac:dyDescent="0.25">
      <c r="A1081" t="s">
        <v>5</v>
      </c>
      <c r="B1081" t="str">
        <f t="shared" si="17"/>
        <v>67151</v>
      </c>
      <c r="C1081" t="str">
        <f>"005"</f>
        <v>005</v>
      </c>
      <c r="D1081">
        <v>1999</v>
      </c>
      <c r="E1081">
        <v>131403600</v>
      </c>
      <c r="F1081">
        <v>114376100</v>
      </c>
      <c r="G1081" t="s">
        <v>11</v>
      </c>
      <c r="H1081" t="s">
        <v>38</v>
      </c>
      <c r="I1081" t="s">
        <v>13</v>
      </c>
      <c r="J1081" t="s">
        <v>13</v>
      </c>
    </row>
    <row r="1082" spans="1:11" x14ac:dyDescent="0.25">
      <c r="A1082" t="s">
        <v>5</v>
      </c>
      <c r="B1082" t="str">
        <f t="shared" si="17"/>
        <v>67151</v>
      </c>
      <c r="C1082" t="str">
        <f>"006"</f>
        <v>006</v>
      </c>
      <c r="D1082">
        <v>2006</v>
      </c>
      <c r="E1082">
        <v>46671900</v>
      </c>
      <c r="F1082">
        <v>12844600</v>
      </c>
      <c r="G1082" t="s">
        <v>11</v>
      </c>
      <c r="H1082" t="s">
        <v>38</v>
      </c>
      <c r="I1082" t="s">
        <v>13</v>
      </c>
      <c r="J1082" t="s">
        <v>13</v>
      </c>
    </row>
    <row r="1083" spans="1:11" x14ac:dyDescent="0.25">
      <c r="A1083" t="s">
        <v>5</v>
      </c>
      <c r="B1083" t="str">
        <f t="shared" si="17"/>
        <v>67151</v>
      </c>
      <c r="C1083" t="str">
        <f>"007"</f>
        <v>007</v>
      </c>
      <c r="D1083">
        <v>2008</v>
      </c>
      <c r="E1083">
        <v>21864600</v>
      </c>
      <c r="F1083">
        <v>20836500</v>
      </c>
      <c r="G1083" t="s">
        <v>11</v>
      </c>
      <c r="H1083" t="s">
        <v>38</v>
      </c>
      <c r="I1083" t="s">
        <v>13</v>
      </c>
      <c r="J1083" t="s">
        <v>13</v>
      </c>
    </row>
    <row r="1084" spans="1:11" x14ac:dyDescent="0.25">
      <c r="A1084" t="s">
        <v>5</v>
      </c>
      <c r="B1084" t="str">
        <f t="shared" si="17"/>
        <v>67151</v>
      </c>
      <c r="C1084" t="str">
        <f>"008"</f>
        <v>008</v>
      </c>
      <c r="D1084">
        <v>2008</v>
      </c>
      <c r="E1084">
        <v>104763700</v>
      </c>
      <c r="F1084">
        <v>95746100</v>
      </c>
      <c r="G1084" t="s">
        <v>11</v>
      </c>
      <c r="H1084" t="s">
        <v>38</v>
      </c>
      <c r="I1084" t="s">
        <v>13</v>
      </c>
      <c r="J1084" t="s">
        <v>13</v>
      </c>
    </row>
    <row r="1085" spans="1:11" x14ac:dyDescent="0.25">
      <c r="A1085" t="s">
        <v>5</v>
      </c>
      <c r="B1085" t="str">
        <f t="shared" si="17"/>
        <v>67151</v>
      </c>
      <c r="C1085" t="str">
        <f>"009"</f>
        <v>009</v>
      </c>
      <c r="D1085">
        <v>2010</v>
      </c>
      <c r="E1085">
        <v>112253500</v>
      </c>
      <c r="F1085">
        <v>7548100</v>
      </c>
      <c r="G1085" t="s">
        <v>11</v>
      </c>
      <c r="H1085" t="s">
        <v>38</v>
      </c>
      <c r="I1085" t="s">
        <v>13</v>
      </c>
      <c r="J1085" t="s">
        <v>13</v>
      </c>
    </row>
    <row r="1086" spans="1:11" x14ac:dyDescent="0.25">
      <c r="A1086" t="s">
        <v>5</v>
      </c>
      <c r="B1086" t="str">
        <f t="shared" si="17"/>
        <v>67151</v>
      </c>
      <c r="C1086" t="str">
        <f>"010"</f>
        <v>010</v>
      </c>
      <c r="D1086">
        <v>2011</v>
      </c>
      <c r="E1086">
        <v>57173300</v>
      </c>
      <c r="F1086">
        <v>10977200</v>
      </c>
      <c r="G1086" t="s">
        <v>11</v>
      </c>
      <c r="H1086" t="s">
        <v>38</v>
      </c>
      <c r="I1086" t="s">
        <v>13</v>
      </c>
      <c r="J1086" t="s">
        <v>13</v>
      </c>
    </row>
    <row r="1087" spans="1:11" x14ac:dyDescent="0.25">
      <c r="A1087" t="s">
        <v>5</v>
      </c>
      <c r="B1087" t="str">
        <f t="shared" si="17"/>
        <v>67151</v>
      </c>
      <c r="C1087" t="str">
        <f>"011"</f>
        <v>011</v>
      </c>
      <c r="D1087">
        <v>2011</v>
      </c>
      <c r="E1087">
        <v>13974600</v>
      </c>
      <c r="F1087">
        <v>2021000</v>
      </c>
      <c r="G1087" t="s">
        <v>11</v>
      </c>
      <c r="H1087" t="s">
        <v>38</v>
      </c>
      <c r="I1087" t="s">
        <v>13</v>
      </c>
      <c r="J1087" t="s">
        <v>13</v>
      </c>
    </row>
    <row r="1088" spans="1:11" x14ac:dyDescent="0.25">
      <c r="A1088" t="s">
        <v>5</v>
      </c>
      <c r="B1088" t="str">
        <f t="shared" si="17"/>
        <v>67151</v>
      </c>
      <c r="C1088" t="str">
        <f>"012"</f>
        <v>012</v>
      </c>
      <c r="D1088">
        <v>2014</v>
      </c>
      <c r="E1088">
        <v>23115300</v>
      </c>
      <c r="F1088">
        <v>18031900</v>
      </c>
      <c r="G1088" t="s">
        <v>11</v>
      </c>
      <c r="H1088" t="s">
        <v>38</v>
      </c>
      <c r="I1088" t="s">
        <v>13</v>
      </c>
      <c r="J1088" t="s">
        <v>13</v>
      </c>
    </row>
    <row r="1089" spans="1:11" x14ac:dyDescent="0.25">
      <c r="A1089" t="s">
        <v>39</v>
      </c>
      <c r="B1089" t="s">
        <v>13</v>
      </c>
      <c r="C1089" t="s">
        <v>7</v>
      </c>
      <c r="D1089" t="s">
        <v>8</v>
      </c>
      <c r="E1089">
        <v>622479400</v>
      </c>
      <c r="F1089">
        <v>379735900</v>
      </c>
      <c r="G1089" t="s">
        <v>11</v>
      </c>
      <c r="H1089">
        <v>5097458000</v>
      </c>
      <c r="I1089" t="s">
        <v>13</v>
      </c>
      <c r="J1089" t="s">
        <v>13</v>
      </c>
      <c r="K1089">
        <v>7.45</v>
      </c>
    </row>
    <row r="1091" spans="1:11" x14ac:dyDescent="0.25">
      <c r="A1091" t="s">
        <v>268</v>
      </c>
      <c r="B1091" t="str">
        <f>"17251"</f>
        <v>17251</v>
      </c>
      <c r="C1091" t="str">
        <f>"011"</f>
        <v>011</v>
      </c>
      <c r="D1091">
        <v>2001</v>
      </c>
      <c r="E1091">
        <v>61235000</v>
      </c>
      <c r="F1091">
        <v>54236900</v>
      </c>
      <c r="G1091" t="s">
        <v>11</v>
      </c>
      <c r="H1091" t="s">
        <v>38</v>
      </c>
      <c r="I1091" t="s">
        <v>13</v>
      </c>
      <c r="J1091" t="s">
        <v>13</v>
      </c>
    </row>
    <row r="1092" spans="1:11" x14ac:dyDescent="0.25">
      <c r="A1092" t="s">
        <v>5</v>
      </c>
      <c r="B1092" t="str">
        <f>"17251"</f>
        <v>17251</v>
      </c>
      <c r="C1092" t="str">
        <f>"012"</f>
        <v>012</v>
      </c>
      <c r="D1092">
        <v>2003</v>
      </c>
      <c r="E1092">
        <v>21201600</v>
      </c>
      <c r="F1092">
        <v>19530400</v>
      </c>
      <c r="G1092" t="s">
        <v>11</v>
      </c>
      <c r="H1092" t="s">
        <v>38</v>
      </c>
      <c r="I1092" t="s">
        <v>13</v>
      </c>
      <c r="J1092" t="s">
        <v>13</v>
      </c>
    </row>
    <row r="1093" spans="1:11" x14ac:dyDescent="0.25">
      <c r="A1093" t="s">
        <v>5</v>
      </c>
      <c r="B1093" t="str">
        <f>"17251"</f>
        <v>17251</v>
      </c>
      <c r="C1093" t="str">
        <f>"013"</f>
        <v>013</v>
      </c>
      <c r="D1093">
        <v>2004</v>
      </c>
      <c r="E1093">
        <v>1504100</v>
      </c>
      <c r="F1093">
        <v>1342200</v>
      </c>
      <c r="G1093" t="s">
        <v>11</v>
      </c>
      <c r="H1093" t="s">
        <v>38</v>
      </c>
      <c r="I1093" t="s">
        <v>13</v>
      </c>
      <c r="J1093" t="s">
        <v>13</v>
      </c>
    </row>
    <row r="1094" spans="1:11" x14ac:dyDescent="0.25">
      <c r="A1094" t="s">
        <v>5</v>
      </c>
      <c r="B1094" t="str">
        <f>"17251"</f>
        <v>17251</v>
      </c>
      <c r="C1094" t="str">
        <f>"014"</f>
        <v>014</v>
      </c>
      <c r="D1094">
        <v>2004</v>
      </c>
      <c r="E1094">
        <v>10823100</v>
      </c>
      <c r="F1094">
        <v>2943500</v>
      </c>
      <c r="G1094" t="s">
        <v>11</v>
      </c>
      <c r="H1094" t="s">
        <v>38</v>
      </c>
      <c r="I1094" t="s">
        <v>13</v>
      </c>
      <c r="J1094" t="s">
        <v>13</v>
      </c>
    </row>
    <row r="1095" spans="1:11" x14ac:dyDescent="0.25">
      <c r="A1095" t="s">
        <v>5</v>
      </c>
      <c r="B1095" t="str">
        <f>"17251"</f>
        <v>17251</v>
      </c>
      <c r="C1095" t="str">
        <f>"015"</f>
        <v>015</v>
      </c>
      <c r="D1095">
        <v>2005</v>
      </c>
      <c r="E1095">
        <v>37209600</v>
      </c>
      <c r="F1095">
        <v>14963500</v>
      </c>
      <c r="G1095" t="s">
        <v>11</v>
      </c>
      <c r="H1095" t="s">
        <v>38</v>
      </c>
      <c r="I1095" t="s">
        <v>13</v>
      </c>
      <c r="J1095" t="s">
        <v>13</v>
      </c>
    </row>
    <row r="1096" spans="1:11" x14ac:dyDescent="0.25">
      <c r="A1096" t="s">
        <v>39</v>
      </c>
      <c r="B1096" t="s">
        <v>13</v>
      </c>
      <c r="C1096" t="s">
        <v>7</v>
      </c>
      <c r="D1096" t="s">
        <v>8</v>
      </c>
      <c r="E1096">
        <v>131973400</v>
      </c>
      <c r="F1096">
        <v>93016500</v>
      </c>
      <c r="G1096" t="s">
        <v>11</v>
      </c>
      <c r="H1096">
        <v>1091541000</v>
      </c>
      <c r="I1096" t="s">
        <v>13</v>
      </c>
      <c r="J1096" t="s">
        <v>13</v>
      </c>
      <c r="K1096">
        <v>8.52</v>
      </c>
    </row>
    <row r="1098" spans="1:11" x14ac:dyDescent="0.25">
      <c r="A1098" t="s">
        <v>269</v>
      </c>
      <c r="B1098" t="str">
        <f>"45255"</f>
        <v>45255</v>
      </c>
      <c r="C1098" t="str">
        <f>"002"</f>
        <v>002</v>
      </c>
      <c r="D1098">
        <v>2002</v>
      </c>
      <c r="E1098">
        <v>20832000</v>
      </c>
      <c r="F1098">
        <v>14920400</v>
      </c>
      <c r="G1098" t="s">
        <v>11</v>
      </c>
      <c r="H1098" t="s">
        <v>38</v>
      </c>
      <c r="I1098" t="s">
        <v>13</v>
      </c>
      <c r="J1098" t="s">
        <v>13</v>
      </c>
    </row>
    <row r="1099" spans="1:11" x14ac:dyDescent="0.25">
      <c r="A1099" t="s">
        <v>5</v>
      </c>
      <c r="B1099" t="str">
        <f>"45255"</f>
        <v>45255</v>
      </c>
      <c r="C1099" t="str">
        <f>"003"</f>
        <v>003</v>
      </c>
      <c r="D1099">
        <v>2008</v>
      </c>
      <c r="E1099">
        <v>92772800</v>
      </c>
      <c r="F1099">
        <v>51442500</v>
      </c>
      <c r="G1099" t="s">
        <v>11</v>
      </c>
      <c r="H1099" t="s">
        <v>38</v>
      </c>
      <c r="I1099" t="s">
        <v>13</v>
      </c>
      <c r="J1099" t="s">
        <v>13</v>
      </c>
    </row>
    <row r="1100" spans="1:11" x14ac:dyDescent="0.25">
      <c r="A1100" t="s">
        <v>5</v>
      </c>
      <c r="B1100" t="str">
        <f>"45255"</f>
        <v>45255</v>
      </c>
      <c r="C1100" t="str">
        <f>"004"</f>
        <v>004</v>
      </c>
      <c r="D1100">
        <v>2012</v>
      </c>
      <c r="E1100">
        <v>48354300</v>
      </c>
      <c r="F1100">
        <v>6482100</v>
      </c>
      <c r="G1100" t="s">
        <v>11</v>
      </c>
      <c r="H1100" t="s">
        <v>38</v>
      </c>
      <c r="I1100" t="s">
        <v>13</v>
      </c>
      <c r="J1100" t="s">
        <v>13</v>
      </c>
    </row>
    <row r="1101" spans="1:11" x14ac:dyDescent="0.25">
      <c r="A1101" t="s">
        <v>5</v>
      </c>
      <c r="B1101" t="str">
        <f>"45255"</f>
        <v>45255</v>
      </c>
      <c r="C1101" t="str">
        <f>"005"</f>
        <v>005</v>
      </c>
      <c r="D1101">
        <v>2012</v>
      </c>
      <c r="E1101">
        <v>59256100</v>
      </c>
      <c r="F1101">
        <v>8069200</v>
      </c>
      <c r="G1101" t="s">
        <v>11</v>
      </c>
      <c r="H1101" t="s">
        <v>38</v>
      </c>
      <c r="I1101" t="s">
        <v>13</v>
      </c>
      <c r="J1101" t="s">
        <v>13</v>
      </c>
    </row>
    <row r="1102" spans="1:11" x14ac:dyDescent="0.25">
      <c r="A1102" t="s">
        <v>39</v>
      </c>
      <c r="B1102" t="s">
        <v>13</v>
      </c>
      <c r="C1102" t="s">
        <v>7</v>
      </c>
      <c r="D1102" t="s">
        <v>8</v>
      </c>
      <c r="E1102">
        <v>221215200</v>
      </c>
      <c r="F1102">
        <v>80914200</v>
      </c>
      <c r="G1102" t="s">
        <v>11</v>
      </c>
      <c r="H1102">
        <v>4797857000</v>
      </c>
      <c r="I1102" t="s">
        <v>13</v>
      </c>
      <c r="J1102" t="s">
        <v>13</v>
      </c>
      <c r="K1102">
        <v>1.69</v>
      </c>
    </row>
    <row r="1104" spans="1:11" x14ac:dyDescent="0.25">
      <c r="A1104" t="s">
        <v>270</v>
      </c>
      <c r="B1104" t="str">
        <f t="shared" ref="B1104:B1113" si="18">"35251"</f>
        <v>35251</v>
      </c>
      <c r="C1104" t="str">
        <f>"003"</f>
        <v>003</v>
      </c>
      <c r="D1104">
        <v>2005</v>
      </c>
      <c r="E1104">
        <v>37287800</v>
      </c>
      <c r="F1104">
        <v>21919900</v>
      </c>
      <c r="G1104" t="s">
        <v>11</v>
      </c>
      <c r="H1104" t="s">
        <v>38</v>
      </c>
      <c r="I1104" t="s">
        <v>13</v>
      </c>
      <c r="J1104" t="s">
        <v>13</v>
      </c>
    </row>
    <row r="1105" spans="1:11" x14ac:dyDescent="0.25">
      <c r="A1105" t="s">
        <v>5</v>
      </c>
      <c r="B1105" t="str">
        <f t="shared" si="18"/>
        <v>35251</v>
      </c>
      <c r="C1105" t="str">
        <f>"004"</f>
        <v>004</v>
      </c>
      <c r="D1105">
        <v>2007</v>
      </c>
      <c r="E1105">
        <v>16023600</v>
      </c>
      <c r="F1105">
        <v>7139100</v>
      </c>
      <c r="G1105" t="s">
        <v>11</v>
      </c>
      <c r="H1105" t="s">
        <v>38</v>
      </c>
      <c r="I1105" t="s">
        <v>13</v>
      </c>
      <c r="J1105" t="s">
        <v>13</v>
      </c>
    </row>
    <row r="1106" spans="1:11" x14ac:dyDescent="0.25">
      <c r="A1106" t="s">
        <v>5</v>
      </c>
      <c r="B1106" t="str">
        <f t="shared" si="18"/>
        <v>35251</v>
      </c>
      <c r="C1106" t="str">
        <f>"005"</f>
        <v>005</v>
      </c>
      <c r="D1106">
        <v>2007</v>
      </c>
      <c r="E1106">
        <v>641800</v>
      </c>
      <c r="F1106">
        <v>567800</v>
      </c>
      <c r="G1106" t="s">
        <v>11</v>
      </c>
      <c r="H1106" t="s">
        <v>38</v>
      </c>
      <c r="I1106" t="s">
        <v>13</v>
      </c>
      <c r="J1106" t="s">
        <v>13</v>
      </c>
    </row>
    <row r="1107" spans="1:11" x14ac:dyDescent="0.25">
      <c r="A1107" t="s">
        <v>5</v>
      </c>
      <c r="B1107" t="str">
        <f t="shared" si="18"/>
        <v>35251</v>
      </c>
      <c r="C1107" t="str">
        <f>"006"</f>
        <v>006</v>
      </c>
      <c r="D1107">
        <v>2009</v>
      </c>
      <c r="E1107">
        <v>13039900</v>
      </c>
      <c r="F1107">
        <v>1057500</v>
      </c>
      <c r="G1107" t="s">
        <v>11</v>
      </c>
      <c r="H1107" t="s">
        <v>38</v>
      </c>
      <c r="I1107" t="s">
        <v>13</v>
      </c>
      <c r="J1107" t="s">
        <v>13</v>
      </c>
    </row>
    <row r="1108" spans="1:11" x14ac:dyDescent="0.25">
      <c r="A1108" t="s">
        <v>5</v>
      </c>
      <c r="B1108" t="str">
        <f t="shared" si="18"/>
        <v>35251</v>
      </c>
      <c r="C1108" t="str">
        <f>"007"</f>
        <v>007</v>
      </c>
      <c r="D1108">
        <v>2009</v>
      </c>
      <c r="E1108">
        <v>7739400</v>
      </c>
      <c r="F1108">
        <v>-47600</v>
      </c>
      <c r="G1108" t="s">
        <v>43</v>
      </c>
      <c r="H1108" t="s">
        <v>38</v>
      </c>
      <c r="I1108" t="s">
        <v>13</v>
      </c>
      <c r="J1108" t="s">
        <v>13</v>
      </c>
    </row>
    <row r="1109" spans="1:11" x14ac:dyDescent="0.25">
      <c r="A1109" t="s">
        <v>5</v>
      </c>
      <c r="B1109" t="str">
        <f t="shared" si="18"/>
        <v>35251</v>
      </c>
      <c r="C1109" t="str">
        <f>"008"</f>
        <v>008</v>
      </c>
      <c r="D1109">
        <v>2011</v>
      </c>
      <c r="E1109">
        <v>17967400</v>
      </c>
      <c r="F1109">
        <v>650700</v>
      </c>
      <c r="G1109" t="s">
        <v>11</v>
      </c>
      <c r="H1109" t="s">
        <v>38</v>
      </c>
      <c r="I1109" t="s">
        <v>13</v>
      </c>
      <c r="J1109" t="s">
        <v>13</v>
      </c>
    </row>
    <row r="1110" spans="1:11" x14ac:dyDescent="0.25">
      <c r="A1110" t="s">
        <v>5</v>
      </c>
      <c r="B1110" t="str">
        <f t="shared" si="18"/>
        <v>35251</v>
      </c>
      <c r="C1110" t="str">
        <f>"009"</f>
        <v>009</v>
      </c>
      <c r="D1110">
        <v>2013</v>
      </c>
      <c r="E1110">
        <v>5209200</v>
      </c>
      <c r="F1110">
        <v>-726800</v>
      </c>
      <c r="G1110" t="s">
        <v>43</v>
      </c>
      <c r="H1110" t="s">
        <v>38</v>
      </c>
      <c r="I1110" t="s">
        <v>13</v>
      </c>
      <c r="J1110" t="s">
        <v>13</v>
      </c>
    </row>
    <row r="1111" spans="1:11" x14ac:dyDescent="0.25">
      <c r="A1111" t="s">
        <v>5</v>
      </c>
      <c r="B1111" t="str">
        <f t="shared" si="18"/>
        <v>35251</v>
      </c>
      <c r="C1111" t="str">
        <f>"010"</f>
        <v>010</v>
      </c>
      <c r="D1111">
        <v>2015</v>
      </c>
      <c r="E1111">
        <v>0</v>
      </c>
      <c r="F1111">
        <v>-296800</v>
      </c>
      <c r="G1111" t="s">
        <v>43</v>
      </c>
      <c r="H1111" t="s">
        <v>38</v>
      </c>
      <c r="I1111" t="s">
        <v>13</v>
      </c>
      <c r="J1111" t="s">
        <v>13</v>
      </c>
    </row>
    <row r="1112" spans="1:11" x14ac:dyDescent="0.25">
      <c r="A1112" t="s">
        <v>5</v>
      </c>
      <c r="B1112" t="str">
        <f t="shared" si="18"/>
        <v>35251</v>
      </c>
      <c r="C1112" t="str">
        <f>"011"</f>
        <v>011</v>
      </c>
      <c r="D1112">
        <v>2016</v>
      </c>
      <c r="E1112">
        <v>17231900</v>
      </c>
      <c r="F1112">
        <v>2251300</v>
      </c>
      <c r="G1112" t="s">
        <v>11</v>
      </c>
      <c r="H1112" t="s">
        <v>38</v>
      </c>
      <c r="I1112" t="s">
        <v>13</v>
      </c>
      <c r="J1112" t="s">
        <v>13</v>
      </c>
    </row>
    <row r="1113" spans="1:11" x14ac:dyDescent="0.25">
      <c r="A1113" t="s">
        <v>5</v>
      </c>
      <c r="B1113" t="str">
        <f t="shared" si="18"/>
        <v>35251</v>
      </c>
      <c r="C1113" t="str">
        <f>"012"</f>
        <v>012</v>
      </c>
      <c r="D1113">
        <v>2017</v>
      </c>
      <c r="E1113">
        <v>2302800</v>
      </c>
      <c r="F1113">
        <v>708100</v>
      </c>
      <c r="G1113" t="s">
        <v>11</v>
      </c>
      <c r="H1113" t="s">
        <v>38</v>
      </c>
      <c r="I1113" t="s">
        <v>13</v>
      </c>
      <c r="J1113" t="s">
        <v>13</v>
      </c>
    </row>
    <row r="1114" spans="1:11" x14ac:dyDescent="0.25">
      <c r="A1114" t="s">
        <v>39</v>
      </c>
      <c r="B1114" t="s">
        <v>13</v>
      </c>
      <c r="C1114" t="s">
        <v>7</v>
      </c>
      <c r="D1114" t="s">
        <v>8</v>
      </c>
      <c r="E1114">
        <v>117443800</v>
      </c>
      <c r="F1114">
        <v>34294400</v>
      </c>
      <c r="G1114" t="s">
        <v>11</v>
      </c>
      <c r="H1114">
        <v>420695800</v>
      </c>
      <c r="I1114" t="s">
        <v>13</v>
      </c>
      <c r="J1114" t="s">
        <v>13</v>
      </c>
      <c r="K1114">
        <v>8.15</v>
      </c>
    </row>
    <row r="1116" spans="1:11" x14ac:dyDescent="0.25">
      <c r="A1116" t="s">
        <v>271</v>
      </c>
      <c r="B1116" t="str">
        <f>"13255"</f>
        <v>13255</v>
      </c>
      <c r="C1116" t="str">
        <f>"003"</f>
        <v>003</v>
      </c>
      <c r="D1116">
        <v>1993</v>
      </c>
      <c r="E1116">
        <v>522718100</v>
      </c>
      <c r="F1116">
        <v>463048900</v>
      </c>
      <c r="G1116" t="s">
        <v>11</v>
      </c>
      <c r="H1116" t="s">
        <v>38</v>
      </c>
      <c r="I1116" t="s">
        <v>13</v>
      </c>
      <c r="J1116" t="s">
        <v>13</v>
      </c>
    </row>
    <row r="1117" spans="1:11" x14ac:dyDescent="0.25">
      <c r="A1117" t="s">
        <v>5</v>
      </c>
      <c r="B1117" t="str">
        <f>"13255"</f>
        <v>13255</v>
      </c>
      <c r="C1117" t="str">
        <f>"005"</f>
        <v>005</v>
      </c>
      <c r="D1117">
        <v>2009</v>
      </c>
      <c r="E1117">
        <v>132950800</v>
      </c>
      <c r="F1117">
        <v>43285300</v>
      </c>
      <c r="G1117" t="s">
        <v>11</v>
      </c>
      <c r="H1117" t="s">
        <v>38</v>
      </c>
      <c r="I1117" t="s">
        <v>13</v>
      </c>
      <c r="J1117" t="s">
        <v>13</v>
      </c>
    </row>
    <row r="1118" spans="1:11" x14ac:dyDescent="0.25">
      <c r="A1118" t="s">
        <v>39</v>
      </c>
      <c r="B1118" t="s">
        <v>13</v>
      </c>
      <c r="C1118" t="s">
        <v>7</v>
      </c>
      <c r="D1118" t="s">
        <v>8</v>
      </c>
      <c r="E1118">
        <v>655668900</v>
      </c>
      <c r="F1118">
        <v>506334200</v>
      </c>
      <c r="G1118" t="s">
        <v>11</v>
      </c>
      <c r="H1118">
        <v>3545571200</v>
      </c>
      <c r="I1118" t="s">
        <v>13</v>
      </c>
      <c r="J1118" t="s">
        <v>13</v>
      </c>
      <c r="K1118">
        <v>14.28</v>
      </c>
    </row>
    <row r="1120" spans="1:11" x14ac:dyDescent="0.25">
      <c r="A1120" t="s">
        <v>272</v>
      </c>
      <c r="B1120" t="str">
        <f>"48151"</f>
        <v>48151</v>
      </c>
      <c r="C1120" t="str">
        <f>"002"</f>
        <v>002</v>
      </c>
      <c r="D1120">
        <v>1994</v>
      </c>
      <c r="E1120">
        <v>5147800</v>
      </c>
      <c r="F1120">
        <v>5125100</v>
      </c>
      <c r="G1120" t="s">
        <v>11</v>
      </c>
      <c r="H1120" t="s">
        <v>38</v>
      </c>
      <c r="I1120" t="s">
        <v>13</v>
      </c>
      <c r="J1120" t="s">
        <v>13</v>
      </c>
    </row>
    <row r="1121" spans="1:11" x14ac:dyDescent="0.25">
      <c r="A1121" t="s">
        <v>5</v>
      </c>
      <c r="B1121" t="str">
        <f>"48151"</f>
        <v>48151</v>
      </c>
      <c r="C1121" t="str">
        <f>"003"</f>
        <v>003</v>
      </c>
      <c r="D1121">
        <v>2004</v>
      </c>
      <c r="E1121">
        <v>807600</v>
      </c>
      <c r="F1121">
        <v>224400</v>
      </c>
      <c r="G1121" t="s">
        <v>11</v>
      </c>
      <c r="H1121" t="s">
        <v>38</v>
      </c>
      <c r="I1121" t="s">
        <v>13</v>
      </c>
      <c r="J1121" t="s">
        <v>13</v>
      </c>
    </row>
    <row r="1122" spans="1:11" x14ac:dyDescent="0.25">
      <c r="A1122" t="s">
        <v>5</v>
      </c>
      <c r="B1122" t="str">
        <f>"48151"</f>
        <v>48151</v>
      </c>
      <c r="C1122" t="str">
        <f>"004"</f>
        <v>004</v>
      </c>
      <c r="D1122">
        <v>2012</v>
      </c>
      <c r="E1122">
        <v>1555600</v>
      </c>
      <c r="F1122">
        <v>527900</v>
      </c>
      <c r="G1122" t="s">
        <v>11</v>
      </c>
      <c r="H1122" t="s">
        <v>38</v>
      </c>
      <c r="I1122" t="s">
        <v>13</v>
      </c>
      <c r="J1122" t="s">
        <v>13</v>
      </c>
    </row>
    <row r="1123" spans="1:11" x14ac:dyDescent="0.25">
      <c r="A1123" t="s">
        <v>39</v>
      </c>
      <c r="B1123" t="s">
        <v>13</v>
      </c>
      <c r="C1123" t="s">
        <v>7</v>
      </c>
      <c r="D1123" t="s">
        <v>8</v>
      </c>
      <c r="E1123">
        <v>7511000</v>
      </c>
      <c r="F1123">
        <v>5877400</v>
      </c>
      <c r="G1123" t="s">
        <v>11</v>
      </c>
      <c r="H1123">
        <v>41775400</v>
      </c>
      <c r="I1123" t="s">
        <v>13</v>
      </c>
      <c r="J1123" t="s">
        <v>13</v>
      </c>
      <c r="K1123">
        <v>14.07</v>
      </c>
    </row>
    <row r="1125" spans="1:11" x14ac:dyDescent="0.25">
      <c r="A1125" t="s">
        <v>273</v>
      </c>
      <c r="B1125" t="str">
        <f>"53257"</f>
        <v>53257</v>
      </c>
      <c r="C1125" t="str">
        <f>"006"</f>
        <v>006</v>
      </c>
      <c r="D1125">
        <v>2003</v>
      </c>
      <c r="E1125">
        <v>41001800</v>
      </c>
      <c r="F1125">
        <v>37671500</v>
      </c>
      <c r="G1125" t="s">
        <v>11</v>
      </c>
      <c r="H1125" t="s">
        <v>38</v>
      </c>
      <c r="I1125" t="s">
        <v>13</v>
      </c>
      <c r="J1125" t="s">
        <v>13</v>
      </c>
    </row>
    <row r="1126" spans="1:11" x14ac:dyDescent="0.25">
      <c r="A1126" t="s">
        <v>5</v>
      </c>
      <c r="B1126" t="str">
        <f>"53257"</f>
        <v>53257</v>
      </c>
      <c r="C1126" t="str">
        <f>"007"</f>
        <v>007</v>
      </c>
      <c r="D1126">
        <v>2004</v>
      </c>
      <c r="E1126">
        <v>13415900</v>
      </c>
      <c r="F1126">
        <v>4848400</v>
      </c>
      <c r="G1126" t="s">
        <v>11</v>
      </c>
      <c r="H1126" t="s">
        <v>38</v>
      </c>
      <c r="I1126" t="s">
        <v>13</v>
      </c>
      <c r="J1126" t="s">
        <v>13</v>
      </c>
    </row>
    <row r="1127" spans="1:11" x14ac:dyDescent="0.25">
      <c r="A1127" t="s">
        <v>5</v>
      </c>
      <c r="B1127" t="str">
        <f>"53257"</f>
        <v>53257</v>
      </c>
      <c r="C1127" t="str">
        <f>"008"</f>
        <v>008</v>
      </c>
      <c r="D1127">
        <v>2007</v>
      </c>
      <c r="E1127">
        <v>21298300</v>
      </c>
      <c r="F1127">
        <v>-1841700</v>
      </c>
      <c r="G1127" t="s">
        <v>43</v>
      </c>
      <c r="H1127" t="s">
        <v>38</v>
      </c>
      <c r="I1127" t="s">
        <v>13</v>
      </c>
      <c r="J1127" t="s">
        <v>13</v>
      </c>
    </row>
    <row r="1128" spans="1:11" x14ac:dyDescent="0.25">
      <c r="A1128" t="s">
        <v>5</v>
      </c>
      <c r="B1128" t="str">
        <f>"53257"</f>
        <v>53257</v>
      </c>
      <c r="C1128" t="str">
        <f>"009"</f>
        <v>009</v>
      </c>
      <c r="D1128">
        <v>2016</v>
      </c>
      <c r="E1128">
        <v>1318100</v>
      </c>
      <c r="F1128">
        <v>1143400</v>
      </c>
      <c r="G1128" t="s">
        <v>11</v>
      </c>
      <c r="H1128" t="s">
        <v>38</v>
      </c>
      <c r="I1128" t="s">
        <v>13</v>
      </c>
      <c r="J1128" t="s">
        <v>13</v>
      </c>
    </row>
    <row r="1129" spans="1:11" x14ac:dyDescent="0.25">
      <c r="A1129" t="s">
        <v>39</v>
      </c>
      <c r="B1129" t="s">
        <v>13</v>
      </c>
      <c r="C1129" t="s">
        <v>7</v>
      </c>
      <c r="D1129" t="s">
        <v>8</v>
      </c>
      <c r="E1129">
        <v>77034100</v>
      </c>
      <c r="F1129">
        <v>43663300</v>
      </c>
      <c r="G1129" t="s">
        <v>11</v>
      </c>
      <c r="H1129">
        <v>396181000</v>
      </c>
      <c r="I1129" t="s">
        <v>13</v>
      </c>
      <c r="J1129" t="s">
        <v>13</v>
      </c>
      <c r="K1129">
        <v>11.02</v>
      </c>
    </row>
    <row r="1131" spans="1:11" x14ac:dyDescent="0.25">
      <c r="A1131" t="s">
        <v>274</v>
      </c>
      <c r="B1131" t="str">
        <f t="shared" ref="B1131:B1178" si="19">"40251"</f>
        <v>40251</v>
      </c>
      <c r="C1131" t="str">
        <f>"022"</f>
        <v>022</v>
      </c>
      <c r="D1131">
        <v>1994</v>
      </c>
      <c r="E1131">
        <v>260913000</v>
      </c>
      <c r="F1131">
        <v>219702700</v>
      </c>
      <c r="G1131" t="s">
        <v>11</v>
      </c>
      <c r="H1131" t="s">
        <v>38</v>
      </c>
      <c r="I1131" t="s">
        <v>13</v>
      </c>
      <c r="J1131" t="s">
        <v>13</v>
      </c>
    </row>
    <row r="1132" spans="1:11" x14ac:dyDescent="0.25">
      <c r="A1132" t="s">
        <v>5</v>
      </c>
      <c r="B1132" t="str">
        <f t="shared" si="19"/>
        <v>40251</v>
      </c>
      <c r="C1132" t="str">
        <f>"037"</f>
        <v>037</v>
      </c>
      <c r="D1132">
        <v>1998</v>
      </c>
      <c r="E1132">
        <v>129624700</v>
      </c>
      <c r="F1132">
        <v>69307300</v>
      </c>
      <c r="G1132" t="s">
        <v>11</v>
      </c>
      <c r="H1132" t="s">
        <v>38</v>
      </c>
      <c r="I1132" t="s">
        <v>13</v>
      </c>
      <c r="J1132" t="s">
        <v>13</v>
      </c>
    </row>
    <row r="1133" spans="1:11" x14ac:dyDescent="0.25">
      <c r="A1133" t="s">
        <v>5</v>
      </c>
      <c r="B1133" t="str">
        <f t="shared" si="19"/>
        <v>40251</v>
      </c>
      <c r="C1133" t="str">
        <f>"039"</f>
        <v>039</v>
      </c>
      <c r="D1133">
        <v>2000</v>
      </c>
      <c r="E1133">
        <v>45725400</v>
      </c>
      <c r="F1133">
        <v>21862000</v>
      </c>
      <c r="G1133" t="s">
        <v>11</v>
      </c>
      <c r="H1133" t="s">
        <v>38</v>
      </c>
      <c r="I1133" t="s">
        <v>13</v>
      </c>
      <c r="J1133" t="s">
        <v>13</v>
      </c>
    </row>
    <row r="1134" spans="1:11" x14ac:dyDescent="0.25">
      <c r="A1134" t="s">
        <v>5</v>
      </c>
      <c r="B1134" t="str">
        <f t="shared" si="19"/>
        <v>40251</v>
      </c>
      <c r="C1134" t="str">
        <f>"041"</f>
        <v>041</v>
      </c>
      <c r="D1134">
        <v>2000</v>
      </c>
      <c r="E1134">
        <v>118571600</v>
      </c>
      <c r="F1134">
        <v>108550200</v>
      </c>
      <c r="G1134" t="s">
        <v>11</v>
      </c>
      <c r="H1134" t="s">
        <v>38</v>
      </c>
      <c r="I1134" t="s">
        <v>13</v>
      </c>
      <c r="J1134" t="s">
        <v>13</v>
      </c>
    </row>
    <row r="1135" spans="1:11" x14ac:dyDescent="0.25">
      <c r="A1135" t="s">
        <v>5</v>
      </c>
      <c r="B1135" t="str">
        <f t="shared" si="19"/>
        <v>40251</v>
      </c>
      <c r="C1135" t="str">
        <f>"042"</f>
        <v>042</v>
      </c>
      <c r="D1135">
        <v>2001</v>
      </c>
      <c r="E1135">
        <v>39088700</v>
      </c>
      <c r="F1135">
        <v>31970400</v>
      </c>
      <c r="G1135" t="s">
        <v>11</v>
      </c>
      <c r="H1135" t="s">
        <v>38</v>
      </c>
      <c r="I1135" t="s">
        <v>13</v>
      </c>
      <c r="J1135" t="s">
        <v>13</v>
      </c>
    </row>
    <row r="1136" spans="1:11" x14ac:dyDescent="0.25">
      <c r="A1136" t="s">
        <v>5</v>
      </c>
      <c r="B1136" t="str">
        <f t="shared" si="19"/>
        <v>40251</v>
      </c>
      <c r="C1136" t="str">
        <f>"046"</f>
        <v>046</v>
      </c>
      <c r="D1136">
        <v>2001</v>
      </c>
      <c r="E1136">
        <v>37525500</v>
      </c>
      <c r="F1136">
        <v>22766000</v>
      </c>
      <c r="G1136" t="s">
        <v>11</v>
      </c>
      <c r="H1136" t="s">
        <v>38</v>
      </c>
      <c r="I1136" t="s">
        <v>13</v>
      </c>
      <c r="J1136" t="s">
        <v>13</v>
      </c>
    </row>
    <row r="1137" spans="1:10" x14ac:dyDescent="0.25">
      <c r="A1137" t="s">
        <v>5</v>
      </c>
      <c r="B1137" t="str">
        <f t="shared" si="19"/>
        <v>40251</v>
      </c>
      <c r="C1137" t="str">
        <f>"048"</f>
        <v>048</v>
      </c>
      <c r="D1137">
        <v>2002</v>
      </c>
      <c r="E1137">
        <v>305195700</v>
      </c>
      <c r="F1137">
        <v>259870100</v>
      </c>
      <c r="G1137" t="s">
        <v>11</v>
      </c>
      <c r="H1137" t="s">
        <v>38</v>
      </c>
      <c r="I1137" t="s">
        <v>13</v>
      </c>
      <c r="J1137" t="s">
        <v>13</v>
      </c>
    </row>
    <row r="1138" spans="1:10" x14ac:dyDescent="0.25">
      <c r="A1138" t="s">
        <v>5</v>
      </c>
      <c r="B1138" t="str">
        <f t="shared" si="19"/>
        <v>40251</v>
      </c>
      <c r="C1138" t="str">
        <f>"049"</f>
        <v>049</v>
      </c>
      <c r="D1138">
        <v>2002</v>
      </c>
      <c r="E1138">
        <v>56235500</v>
      </c>
      <c r="F1138">
        <v>54182800</v>
      </c>
      <c r="G1138" t="s">
        <v>11</v>
      </c>
      <c r="H1138" t="s">
        <v>38</v>
      </c>
      <c r="I1138" t="s">
        <v>13</v>
      </c>
      <c r="J1138" t="s">
        <v>13</v>
      </c>
    </row>
    <row r="1139" spans="1:10" x14ac:dyDescent="0.25">
      <c r="A1139" t="s">
        <v>5</v>
      </c>
      <c r="B1139" t="str">
        <f t="shared" si="19"/>
        <v>40251</v>
      </c>
      <c r="C1139" t="str">
        <f>"050"</f>
        <v>050</v>
      </c>
      <c r="D1139">
        <v>2002</v>
      </c>
      <c r="E1139">
        <v>1898200</v>
      </c>
      <c r="F1139">
        <v>1897900</v>
      </c>
      <c r="G1139" t="s">
        <v>11</v>
      </c>
      <c r="H1139" t="s">
        <v>38</v>
      </c>
      <c r="I1139" t="s">
        <v>13</v>
      </c>
      <c r="J1139" t="s">
        <v>13</v>
      </c>
    </row>
    <row r="1140" spans="1:10" x14ac:dyDescent="0.25">
      <c r="A1140" t="s">
        <v>5</v>
      </c>
      <c r="B1140" t="str">
        <f t="shared" si="19"/>
        <v>40251</v>
      </c>
      <c r="C1140" t="str">
        <f>"051"</f>
        <v>051</v>
      </c>
      <c r="D1140">
        <v>2003</v>
      </c>
      <c r="E1140">
        <v>13686700</v>
      </c>
      <c r="F1140">
        <v>3638000</v>
      </c>
      <c r="G1140" t="s">
        <v>11</v>
      </c>
      <c r="H1140" t="s">
        <v>38</v>
      </c>
      <c r="I1140" t="s">
        <v>13</v>
      </c>
      <c r="J1140" t="s">
        <v>13</v>
      </c>
    </row>
    <row r="1141" spans="1:10" x14ac:dyDescent="0.25">
      <c r="A1141" t="s">
        <v>5</v>
      </c>
      <c r="B1141" t="str">
        <f t="shared" si="19"/>
        <v>40251</v>
      </c>
      <c r="C1141" t="str">
        <f>"052"</f>
        <v>052</v>
      </c>
      <c r="D1141">
        <v>2003</v>
      </c>
      <c r="E1141">
        <v>26793600</v>
      </c>
      <c r="F1141">
        <v>16567700</v>
      </c>
      <c r="G1141" t="s">
        <v>11</v>
      </c>
      <c r="H1141" t="s">
        <v>38</v>
      </c>
      <c r="I1141" t="s">
        <v>13</v>
      </c>
      <c r="J1141" t="s">
        <v>13</v>
      </c>
    </row>
    <row r="1142" spans="1:10" x14ac:dyDescent="0.25">
      <c r="A1142" t="s">
        <v>5</v>
      </c>
      <c r="B1142" t="str">
        <f t="shared" si="19"/>
        <v>40251</v>
      </c>
      <c r="C1142" t="str">
        <f>"053"</f>
        <v>053</v>
      </c>
      <c r="D1142">
        <v>2004</v>
      </c>
      <c r="E1142">
        <v>70786300</v>
      </c>
      <c r="F1142">
        <v>66034000</v>
      </c>
      <c r="G1142" t="s">
        <v>11</v>
      </c>
      <c r="H1142" t="s">
        <v>38</v>
      </c>
      <c r="I1142" t="s">
        <v>13</v>
      </c>
      <c r="J1142" t="s">
        <v>13</v>
      </c>
    </row>
    <row r="1143" spans="1:10" x14ac:dyDescent="0.25">
      <c r="A1143" t="s">
        <v>5</v>
      </c>
      <c r="B1143" t="str">
        <f t="shared" si="19"/>
        <v>40251</v>
      </c>
      <c r="C1143" t="str">
        <f>"054"</f>
        <v>054</v>
      </c>
      <c r="D1143">
        <v>2004</v>
      </c>
      <c r="E1143">
        <v>18658300</v>
      </c>
      <c r="F1143">
        <v>17510300</v>
      </c>
      <c r="G1143" t="s">
        <v>11</v>
      </c>
      <c r="H1143" t="s">
        <v>38</v>
      </c>
      <c r="I1143" t="s">
        <v>13</v>
      </c>
      <c r="J1143" t="s">
        <v>13</v>
      </c>
    </row>
    <row r="1144" spans="1:10" x14ac:dyDescent="0.25">
      <c r="A1144" t="s">
        <v>5</v>
      </c>
      <c r="B1144" t="str">
        <f t="shared" si="19"/>
        <v>40251</v>
      </c>
      <c r="C1144" t="str">
        <f>"056"</f>
        <v>056</v>
      </c>
      <c r="D1144">
        <v>2004</v>
      </c>
      <c r="E1144">
        <v>160372200</v>
      </c>
      <c r="F1144">
        <v>151413600</v>
      </c>
      <c r="G1144" t="s">
        <v>11</v>
      </c>
      <c r="H1144" t="s">
        <v>38</v>
      </c>
      <c r="I1144" t="s">
        <v>13</v>
      </c>
      <c r="J1144" t="s">
        <v>13</v>
      </c>
    </row>
    <row r="1145" spans="1:10" x14ac:dyDescent="0.25">
      <c r="A1145" t="s">
        <v>5</v>
      </c>
      <c r="B1145" t="str">
        <f t="shared" si="19"/>
        <v>40251</v>
      </c>
      <c r="C1145" t="str">
        <f>"057"</f>
        <v>057</v>
      </c>
      <c r="D1145">
        <v>2005</v>
      </c>
      <c r="E1145">
        <v>16511800</v>
      </c>
      <c r="F1145">
        <v>16511800</v>
      </c>
      <c r="G1145" t="s">
        <v>11</v>
      </c>
      <c r="H1145" t="s">
        <v>38</v>
      </c>
      <c r="I1145" t="s">
        <v>13</v>
      </c>
      <c r="J1145" t="s">
        <v>13</v>
      </c>
    </row>
    <row r="1146" spans="1:10" x14ac:dyDescent="0.25">
      <c r="A1146" t="s">
        <v>5</v>
      </c>
      <c r="B1146" t="str">
        <f t="shared" si="19"/>
        <v>40251</v>
      </c>
      <c r="C1146" t="str">
        <f>"058"</f>
        <v>058</v>
      </c>
      <c r="D1146">
        <v>2005</v>
      </c>
      <c r="E1146">
        <v>4636400</v>
      </c>
      <c r="F1146">
        <v>-116800</v>
      </c>
      <c r="G1146" t="s">
        <v>43</v>
      </c>
      <c r="H1146" t="s">
        <v>38</v>
      </c>
      <c r="I1146" t="s">
        <v>13</v>
      </c>
      <c r="J1146" t="s">
        <v>13</v>
      </c>
    </row>
    <row r="1147" spans="1:10" x14ac:dyDescent="0.25">
      <c r="A1147" t="s">
        <v>5</v>
      </c>
      <c r="B1147" t="str">
        <f t="shared" si="19"/>
        <v>40251</v>
      </c>
      <c r="C1147" t="str">
        <f>"059"</f>
        <v>059</v>
      </c>
      <c r="D1147">
        <v>2005</v>
      </c>
      <c r="E1147">
        <v>44670600</v>
      </c>
      <c r="F1147">
        <v>-1350900</v>
      </c>
      <c r="G1147" t="s">
        <v>43</v>
      </c>
      <c r="H1147" t="s">
        <v>38</v>
      </c>
      <c r="I1147" t="s">
        <v>13</v>
      </c>
      <c r="J1147" t="s">
        <v>13</v>
      </c>
    </row>
    <row r="1148" spans="1:10" x14ac:dyDescent="0.25">
      <c r="A1148" t="s">
        <v>5</v>
      </c>
      <c r="B1148" t="str">
        <f t="shared" si="19"/>
        <v>40251</v>
      </c>
      <c r="C1148" t="str">
        <f>"060"</f>
        <v>060</v>
      </c>
      <c r="D1148">
        <v>2005</v>
      </c>
      <c r="E1148">
        <v>10952400</v>
      </c>
      <c r="F1148">
        <v>8739500</v>
      </c>
      <c r="G1148" t="s">
        <v>11</v>
      </c>
      <c r="H1148" t="s">
        <v>38</v>
      </c>
      <c r="I1148" t="s">
        <v>13</v>
      </c>
      <c r="J1148" t="s">
        <v>13</v>
      </c>
    </row>
    <row r="1149" spans="1:10" x14ac:dyDescent="0.25">
      <c r="A1149" t="s">
        <v>5</v>
      </c>
      <c r="B1149" t="str">
        <f t="shared" si="19"/>
        <v>40251</v>
      </c>
      <c r="C1149" t="str">
        <f>"062"</f>
        <v>062</v>
      </c>
      <c r="D1149">
        <v>2006</v>
      </c>
      <c r="E1149">
        <v>7166100</v>
      </c>
      <c r="F1149">
        <v>1836300</v>
      </c>
      <c r="G1149" t="s">
        <v>11</v>
      </c>
      <c r="H1149" t="s">
        <v>38</v>
      </c>
      <c r="I1149" t="s">
        <v>13</v>
      </c>
      <c r="J1149" t="s">
        <v>13</v>
      </c>
    </row>
    <row r="1150" spans="1:10" x14ac:dyDescent="0.25">
      <c r="A1150" t="s">
        <v>5</v>
      </c>
      <c r="B1150" t="str">
        <f t="shared" si="19"/>
        <v>40251</v>
      </c>
      <c r="C1150" t="str">
        <f>"063"</f>
        <v>063</v>
      </c>
      <c r="D1150">
        <v>2006</v>
      </c>
      <c r="E1150">
        <v>11816000</v>
      </c>
      <c r="F1150">
        <v>2944900</v>
      </c>
      <c r="G1150" t="s">
        <v>11</v>
      </c>
      <c r="H1150" t="s">
        <v>38</v>
      </c>
      <c r="I1150" t="s">
        <v>13</v>
      </c>
      <c r="J1150" t="s">
        <v>13</v>
      </c>
    </row>
    <row r="1151" spans="1:10" x14ac:dyDescent="0.25">
      <c r="A1151" t="s">
        <v>5</v>
      </c>
      <c r="B1151" t="str">
        <f t="shared" si="19"/>
        <v>40251</v>
      </c>
      <c r="C1151" t="str">
        <f>"064"</f>
        <v>064</v>
      </c>
      <c r="D1151">
        <v>2006</v>
      </c>
      <c r="E1151">
        <v>24459600</v>
      </c>
      <c r="F1151">
        <v>10101600</v>
      </c>
      <c r="G1151" t="s">
        <v>11</v>
      </c>
      <c r="H1151" t="s">
        <v>38</v>
      </c>
      <c r="I1151" t="s">
        <v>13</v>
      </c>
      <c r="J1151" t="s">
        <v>13</v>
      </c>
    </row>
    <row r="1152" spans="1:10" x14ac:dyDescent="0.25">
      <c r="A1152" t="s">
        <v>5</v>
      </c>
      <c r="B1152" t="str">
        <f t="shared" si="19"/>
        <v>40251</v>
      </c>
      <c r="C1152" t="str">
        <f>"065"</f>
        <v>065</v>
      </c>
      <c r="D1152">
        <v>2006</v>
      </c>
      <c r="E1152">
        <v>2642000</v>
      </c>
      <c r="F1152">
        <v>-578700</v>
      </c>
      <c r="G1152" t="s">
        <v>43</v>
      </c>
      <c r="H1152" t="s">
        <v>38</v>
      </c>
      <c r="I1152" t="s">
        <v>13</v>
      </c>
      <c r="J1152" t="s">
        <v>13</v>
      </c>
    </row>
    <row r="1153" spans="1:10" x14ac:dyDescent="0.25">
      <c r="A1153" t="s">
        <v>5</v>
      </c>
      <c r="B1153" t="str">
        <f t="shared" si="19"/>
        <v>40251</v>
      </c>
      <c r="C1153" t="str">
        <f>"066"</f>
        <v>066</v>
      </c>
      <c r="D1153">
        <v>2007</v>
      </c>
      <c r="E1153">
        <v>26800000</v>
      </c>
      <c r="F1153">
        <v>-23643300</v>
      </c>
      <c r="G1153" t="s">
        <v>43</v>
      </c>
      <c r="H1153" t="s">
        <v>38</v>
      </c>
      <c r="I1153" t="s">
        <v>13</v>
      </c>
      <c r="J1153" t="s">
        <v>13</v>
      </c>
    </row>
    <row r="1154" spans="1:10" x14ac:dyDescent="0.25">
      <c r="A1154" t="s">
        <v>5</v>
      </c>
      <c r="B1154" t="str">
        <f t="shared" si="19"/>
        <v>40251</v>
      </c>
      <c r="C1154" t="str">
        <f>"067"</f>
        <v>067</v>
      </c>
      <c r="D1154">
        <v>2007</v>
      </c>
      <c r="E1154">
        <v>104634900</v>
      </c>
      <c r="F1154">
        <v>95368000</v>
      </c>
      <c r="G1154" t="s">
        <v>11</v>
      </c>
      <c r="H1154" t="s">
        <v>38</v>
      </c>
      <c r="I1154" t="s">
        <v>13</v>
      </c>
      <c r="J1154" t="s">
        <v>13</v>
      </c>
    </row>
    <row r="1155" spans="1:10" x14ac:dyDescent="0.25">
      <c r="A1155" t="s">
        <v>5</v>
      </c>
      <c r="B1155" t="str">
        <f t="shared" si="19"/>
        <v>40251</v>
      </c>
      <c r="C1155" t="str">
        <f>"068"</f>
        <v>068</v>
      </c>
      <c r="D1155">
        <v>2007</v>
      </c>
      <c r="E1155">
        <v>71175000</v>
      </c>
      <c r="F1155">
        <v>38368200</v>
      </c>
      <c r="G1155" t="s">
        <v>11</v>
      </c>
      <c r="H1155" t="s">
        <v>38</v>
      </c>
      <c r="I1155" t="s">
        <v>13</v>
      </c>
      <c r="J1155" t="s">
        <v>13</v>
      </c>
    </row>
    <row r="1156" spans="1:10" x14ac:dyDescent="0.25">
      <c r="A1156" t="s">
        <v>5</v>
      </c>
      <c r="B1156" t="str">
        <f t="shared" si="19"/>
        <v>40251</v>
      </c>
      <c r="C1156" t="str">
        <f>"070"</f>
        <v>070</v>
      </c>
      <c r="D1156">
        <v>2007</v>
      </c>
      <c r="E1156">
        <v>29585800</v>
      </c>
      <c r="F1156">
        <v>14681100</v>
      </c>
      <c r="G1156" t="s">
        <v>11</v>
      </c>
      <c r="H1156" t="s">
        <v>38</v>
      </c>
      <c r="I1156" t="s">
        <v>13</v>
      </c>
      <c r="J1156" t="s">
        <v>13</v>
      </c>
    </row>
    <row r="1157" spans="1:10" x14ac:dyDescent="0.25">
      <c r="A1157" t="s">
        <v>5</v>
      </c>
      <c r="B1157" t="str">
        <f t="shared" si="19"/>
        <v>40251</v>
      </c>
      <c r="C1157" t="str">
        <f>"071"</f>
        <v>071</v>
      </c>
      <c r="D1157">
        <v>2008</v>
      </c>
      <c r="E1157">
        <v>67088000</v>
      </c>
      <c r="F1157">
        <v>336700</v>
      </c>
      <c r="G1157" t="s">
        <v>11</v>
      </c>
      <c r="H1157" t="s">
        <v>38</v>
      </c>
      <c r="I1157" t="s">
        <v>13</v>
      </c>
      <c r="J1157" t="s">
        <v>13</v>
      </c>
    </row>
    <row r="1158" spans="1:10" x14ac:dyDescent="0.25">
      <c r="A1158" t="s">
        <v>5</v>
      </c>
      <c r="B1158" t="str">
        <f t="shared" si="19"/>
        <v>40251</v>
      </c>
      <c r="C1158" t="str">
        <f>"072"</f>
        <v>072</v>
      </c>
      <c r="D1158">
        <v>2009</v>
      </c>
      <c r="E1158">
        <v>21918100</v>
      </c>
      <c r="F1158">
        <v>-2556600</v>
      </c>
      <c r="G1158" t="s">
        <v>43</v>
      </c>
      <c r="H1158" t="s">
        <v>38</v>
      </c>
      <c r="I1158" t="s">
        <v>13</v>
      </c>
      <c r="J1158" t="s">
        <v>13</v>
      </c>
    </row>
    <row r="1159" spans="1:10" x14ac:dyDescent="0.25">
      <c r="A1159" t="s">
        <v>5</v>
      </c>
      <c r="B1159" t="str">
        <f t="shared" si="19"/>
        <v>40251</v>
      </c>
      <c r="C1159" t="str">
        <f>"073"</f>
        <v>073</v>
      </c>
      <c r="D1159">
        <v>2009</v>
      </c>
      <c r="E1159">
        <v>8848700</v>
      </c>
      <c r="F1159">
        <v>4245900</v>
      </c>
      <c r="G1159" t="s">
        <v>11</v>
      </c>
      <c r="H1159" t="s">
        <v>38</v>
      </c>
      <c r="I1159" t="s">
        <v>13</v>
      </c>
      <c r="J1159" t="s">
        <v>13</v>
      </c>
    </row>
    <row r="1160" spans="1:10" x14ac:dyDescent="0.25">
      <c r="A1160" t="s">
        <v>5</v>
      </c>
      <c r="B1160" t="str">
        <f t="shared" si="19"/>
        <v>40251</v>
      </c>
      <c r="C1160" t="str">
        <f>"074"</f>
        <v>074</v>
      </c>
      <c r="D1160">
        <v>2009</v>
      </c>
      <c r="E1160">
        <v>57000400</v>
      </c>
      <c r="F1160">
        <v>-6334300</v>
      </c>
      <c r="G1160" t="s">
        <v>43</v>
      </c>
      <c r="H1160" t="s">
        <v>38</v>
      </c>
      <c r="I1160" t="s">
        <v>13</v>
      </c>
      <c r="J1160" t="s">
        <v>13</v>
      </c>
    </row>
    <row r="1161" spans="1:10" x14ac:dyDescent="0.25">
      <c r="A1161" t="s">
        <v>5</v>
      </c>
      <c r="B1161" t="str">
        <f t="shared" si="19"/>
        <v>40251</v>
      </c>
      <c r="C1161" t="str">
        <f>"075"</f>
        <v>075</v>
      </c>
      <c r="D1161">
        <v>2009</v>
      </c>
      <c r="E1161">
        <v>103561100</v>
      </c>
      <c r="F1161">
        <v>77090600</v>
      </c>
      <c r="G1161" t="s">
        <v>11</v>
      </c>
      <c r="H1161" t="s">
        <v>38</v>
      </c>
      <c r="I1161" t="s">
        <v>13</v>
      </c>
      <c r="J1161" t="s">
        <v>13</v>
      </c>
    </row>
    <row r="1162" spans="1:10" x14ac:dyDescent="0.25">
      <c r="A1162" t="s">
        <v>5</v>
      </c>
      <c r="B1162" t="str">
        <f t="shared" si="19"/>
        <v>40251</v>
      </c>
      <c r="C1162" t="str">
        <f>"076"</f>
        <v>076</v>
      </c>
      <c r="D1162">
        <v>2010</v>
      </c>
      <c r="E1162">
        <v>21915100</v>
      </c>
      <c r="F1162">
        <v>5802100</v>
      </c>
      <c r="G1162" t="s">
        <v>11</v>
      </c>
      <c r="H1162" t="s">
        <v>38</v>
      </c>
      <c r="I1162" t="s">
        <v>13</v>
      </c>
      <c r="J1162" t="s">
        <v>13</v>
      </c>
    </row>
    <row r="1163" spans="1:10" x14ac:dyDescent="0.25">
      <c r="A1163" t="s">
        <v>5</v>
      </c>
      <c r="B1163" t="str">
        <f t="shared" si="19"/>
        <v>40251</v>
      </c>
      <c r="C1163" t="str">
        <f>"077"</f>
        <v>077</v>
      </c>
      <c r="D1163">
        <v>2012</v>
      </c>
      <c r="E1163">
        <v>9295600</v>
      </c>
      <c r="F1163">
        <v>5927500</v>
      </c>
      <c r="G1163" t="s">
        <v>11</v>
      </c>
      <c r="H1163" t="s">
        <v>38</v>
      </c>
      <c r="I1163" t="s">
        <v>13</v>
      </c>
      <c r="J1163" t="s">
        <v>13</v>
      </c>
    </row>
    <row r="1164" spans="1:10" x14ac:dyDescent="0.25">
      <c r="A1164" t="s">
        <v>5</v>
      </c>
      <c r="B1164" t="str">
        <f t="shared" si="19"/>
        <v>40251</v>
      </c>
      <c r="C1164" t="str">
        <f>"078"</f>
        <v>078</v>
      </c>
      <c r="D1164">
        <v>2013</v>
      </c>
      <c r="E1164">
        <v>303509800</v>
      </c>
      <c r="F1164">
        <v>253921300</v>
      </c>
      <c r="G1164" t="s">
        <v>11</v>
      </c>
      <c r="H1164" t="s">
        <v>38</v>
      </c>
      <c r="I1164" t="s">
        <v>13</v>
      </c>
      <c r="J1164" t="s">
        <v>13</v>
      </c>
    </row>
    <row r="1165" spans="1:10" x14ac:dyDescent="0.25">
      <c r="A1165" t="s">
        <v>5</v>
      </c>
      <c r="B1165" t="str">
        <f t="shared" si="19"/>
        <v>40251</v>
      </c>
      <c r="C1165" t="str">
        <f>"079"</f>
        <v>079</v>
      </c>
      <c r="D1165">
        <v>2013</v>
      </c>
      <c r="E1165">
        <v>46396900</v>
      </c>
      <c r="F1165">
        <v>40372000</v>
      </c>
      <c r="G1165" t="s">
        <v>11</v>
      </c>
      <c r="H1165" t="s">
        <v>38</v>
      </c>
      <c r="I1165" t="s">
        <v>13</v>
      </c>
      <c r="J1165" t="s">
        <v>13</v>
      </c>
    </row>
    <row r="1166" spans="1:10" x14ac:dyDescent="0.25">
      <c r="A1166" t="s">
        <v>5</v>
      </c>
      <c r="B1166" t="str">
        <f t="shared" si="19"/>
        <v>40251</v>
      </c>
      <c r="C1166" t="str">
        <f>"080"</f>
        <v>080</v>
      </c>
      <c r="D1166">
        <v>2014</v>
      </c>
      <c r="E1166">
        <v>12945700</v>
      </c>
      <c r="F1166">
        <v>9445400</v>
      </c>
      <c r="G1166" t="s">
        <v>11</v>
      </c>
      <c r="H1166" t="s">
        <v>38</v>
      </c>
      <c r="I1166" t="s">
        <v>13</v>
      </c>
      <c r="J1166" t="s">
        <v>13</v>
      </c>
    </row>
    <row r="1167" spans="1:10" x14ac:dyDescent="0.25">
      <c r="A1167" t="s">
        <v>5</v>
      </c>
      <c r="B1167" t="str">
        <f t="shared" si="19"/>
        <v>40251</v>
      </c>
      <c r="C1167" t="str">
        <f>"081"</f>
        <v>081</v>
      </c>
      <c r="D1167">
        <v>2015</v>
      </c>
      <c r="E1167">
        <v>19288600</v>
      </c>
      <c r="F1167">
        <v>16599400</v>
      </c>
      <c r="G1167" t="s">
        <v>11</v>
      </c>
      <c r="H1167" t="s">
        <v>38</v>
      </c>
      <c r="I1167" t="s">
        <v>13</v>
      </c>
      <c r="J1167" t="s">
        <v>13</v>
      </c>
    </row>
    <row r="1168" spans="1:10" x14ac:dyDescent="0.25">
      <c r="A1168" t="s">
        <v>5</v>
      </c>
      <c r="B1168" t="str">
        <f t="shared" si="19"/>
        <v>40251</v>
      </c>
      <c r="C1168" t="str">
        <f>"082"</f>
        <v>082</v>
      </c>
      <c r="D1168">
        <v>2015</v>
      </c>
      <c r="E1168">
        <v>101717400</v>
      </c>
      <c r="F1168">
        <v>96243300</v>
      </c>
      <c r="G1168" t="s">
        <v>11</v>
      </c>
      <c r="H1168" t="s">
        <v>38</v>
      </c>
      <c r="I1168" t="s">
        <v>13</v>
      </c>
      <c r="J1168" t="s">
        <v>13</v>
      </c>
    </row>
    <row r="1169" spans="1:11" x14ac:dyDescent="0.25">
      <c r="A1169" t="s">
        <v>5</v>
      </c>
      <c r="B1169" t="str">
        <f t="shared" si="19"/>
        <v>40251</v>
      </c>
      <c r="C1169" t="str">
        <f>"083"</f>
        <v>083</v>
      </c>
      <c r="D1169">
        <v>2015</v>
      </c>
      <c r="E1169">
        <v>20304200</v>
      </c>
      <c r="F1169">
        <v>14530000</v>
      </c>
      <c r="G1169" t="s">
        <v>11</v>
      </c>
      <c r="H1169" t="s">
        <v>38</v>
      </c>
      <c r="I1169" t="s">
        <v>13</v>
      </c>
      <c r="J1169" t="s">
        <v>13</v>
      </c>
    </row>
    <row r="1170" spans="1:11" x14ac:dyDescent="0.25">
      <c r="A1170" t="s">
        <v>5</v>
      </c>
      <c r="B1170" t="str">
        <f t="shared" si="19"/>
        <v>40251</v>
      </c>
      <c r="C1170" t="str">
        <f>"084"</f>
        <v>084</v>
      </c>
      <c r="D1170">
        <v>2015</v>
      </c>
      <c r="E1170">
        <v>97905300</v>
      </c>
      <c r="F1170">
        <v>37794200</v>
      </c>
      <c r="G1170" t="s">
        <v>11</v>
      </c>
      <c r="H1170" t="s">
        <v>38</v>
      </c>
      <c r="I1170" t="s">
        <v>13</v>
      </c>
      <c r="J1170" t="s">
        <v>13</v>
      </c>
    </row>
    <row r="1171" spans="1:11" x14ac:dyDescent="0.25">
      <c r="A1171" t="s">
        <v>5</v>
      </c>
      <c r="B1171" t="str">
        <f t="shared" si="19"/>
        <v>40251</v>
      </c>
      <c r="C1171" t="str">
        <f>"085"</f>
        <v>085</v>
      </c>
      <c r="D1171">
        <v>2015</v>
      </c>
      <c r="E1171">
        <v>37549300</v>
      </c>
      <c r="F1171">
        <v>5452700</v>
      </c>
      <c r="G1171" t="s">
        <v>11</v>
      </c>
      <c r="H1171" t="s">
        <v>38</v>
      </c>
      <c r="I1171" t="s">
        <v>13</v>
      </c>
      <c r="J1171" t="s">
        <v>13</v>
      </c>
    </row>
    <row r="1172" spans="1:11" x14ac:dyDescent="0.25">
      <c r="A1172" t="s">
        <v>5</v>
      </c>
      <c r="B1172" t="str">
        <f t="shared" si="19"/>
        <v>40251</v>
      </c>
      <c r="C1172" t="str">
        <f>"086"</f>
        <v>086</v>
      </c>
      <c r="D1172">
        <v>2016</v>
      </c>
      <c r="E1172">
        <v>4577500</v>
      </c>
      <c r="F1172">
        <v>1266200</v>
      </c>
      <c r="G1172" t="s">
        <v>11</v>
      </c>
      <c r="H1172" t="s">
        <v>38</v>
      </c>
      <c r="I1172" t="s">
        <v>13</v>
      </c>
      <c r="J1172" t="s">
        <v>13</v>
      </c>
    </row>
    <row r="1173" spans="1:11" x14ac:dyDescent="0.25">
      <c r="A1173" t="s">
        <v>5</v>
      </c>
      <c r="B1173" t="str">
        <f t="shared" si="19"/>
        <v>40251</v>
      </c>
      <c r="C1173" t="str">
        <f>"087"</f>
        <v>087</v>
      </c>
      <c r="D1173">
        <v>2016</v>
      </c>
      <c r="E1173">
        <v>2257400</v>
      </c>
      <c r="F1173">
        <v>1876800</v>
      </c>
      <c r="G1173" t="s">
        <v>11</v>
      </c>
      <c r="H1173" t="s">
        <v>38</v>
      </c>
      <c r="I1173" t="s">
        <v>13</v>
      </c>
      <c r="J1173" t="s">
        <v>13</v>
      </c>
    </row>
    <row r="1174" spans="1:11" x14ac:dyDescent="0.25">
      <c r="A1174" t="s">
        <v>5</v>
      </c>
      <c r="B1174" t="str">
        <f t="shared" si="19"/>
        <v>40251</v>
      </c>
      <c r="C1174" t="str">
        <f>"088"</f>
        <v>088</v>
      </c>
      <c r="D1174">
        <v>2016</v>
      </c>
      <c r="E1174">
        <v>4228700</v>
      </c>
      <c r="F1174">
        <v>21200</v>
      </c>
      <c r="G1174" t="s">
        <v>11</v>
      </c>
      <c r="H1174" t="s">
        <v>38</v>
      </c>
      <c r="I1174" t="s">
        <v>13</v>
      </c>
      <c r="J1174" t="s">
        <v>13</v>
      </c>
    </row>
    <row r="1175" spans="1:11" x14ac:dyDescent="0.25">
      <c r="A1175" t="s">
        <v>5</v>
      </c>
      <c r="B1175" t="str">
        <f t="shared" si="19"/>
        <v>40251</v>
      </c>
      <c r="C1175" t="str">
        <f>"089"</f>
        <v>089</v>
      </c>
      <c r="D1175">
        <v>2017</v>
      </c>
      <c r="E1175">
        <v>2157500</v>
      </c>
      <c r="F1175">
        <v>2157500</v>
      </c>
      <c r="G1175" t="s">
        <v>11</v>
      </c>
      <c r="H1175" t="s">
        <v>38</v>
      </c>
      <c r="I1175" t="s">
        <v>13</v>
      </c>
      <c r="J1175" t="s">
        <v>13</v>
      </c>
    </row>
    <row r="1176" spans="1:11" x14ac:dyDescent="0.25">
      <c r="A1176" t="s">
        <v>5</v>
      </c>
      <c r="B1176" t="str">
        <f t="shared" si="19"/>
        <v>40251</v>
      </c>
      <c r="C1176" t="str">
        <f>"090"</f>
        <v>090</v>
      </c>
      <c r="D1176">
        <v>2017</v>
      </c>
      <c r="E1176">
        <v>222900</v>
      </c>
      <c r="F1176">
        <v>-53700</v>
      </c>
      <c r="G1176" t="s">
        <v>43</v>
      </c>
      <c r="H1176" t="s">
        <v>38</v>
      </c>
      <c r="I1176" t="s">
        <v>13</v>
      </c>
      <c r="J1176" t="s">
        <v>13</v>
      </c>
    </row>
    <row r="1177" spans="1:11" x14ac:dyDescent="0.25">
      <c r="A1177" t="s">
        <v>5</v>
      </c>
      <c r="B1177" t="str">
        <f t="shared" si="19"/>
        <v>40251</v>
      </c>
      <c r="C1177" t="str">
        <f>"091"</f>
        <v>091</v>
      </c>
      <c r="D1177">
        <v>2017</v>
      </c>
      <c r="E1177">
        <v>51180500</v>
      </c>
      <c r="F1177">
        <v>-11489900</v>
      </c>
      <c r="G1177" t="s">
        <v>43</v>
      </c>
      <c r="H1177" t="s">
        <v>38</v>
      </c>
      <c r="I1177" t="s">
        <v>13</v>
      </c>
      <c r="J1177" t="s">
        <v>13</v>
      </c>
    </row>
    <row r="1178" spans="1:11" x14ac:dyDescent="0.25">
      <c r="A1178" t="s">
        <v>5</v>
      </c>
      <c r="B1178" t="str">
        <f t="shared" si="19"/>
        <v>40251</v>
      </c>
      <c r="C1178" t="str">
        <f>"092"</f>
        <v>092</v>
      </c>
      <c r="D1178">
        <v>2017</v>
      </c>
      <c r="E1178">
        <v>1279400</v>
      </c>
      <c r="F1178">
        <v>157400</v>
      </c>
      <c r="G1178" t="s">
        <v>11</v>
      </c>
      <c r="H1178" t="s">
        <v>38</v>
      </c>
      <c r="I1178" t="s">
        <v>13</v>
      </c>
      <c r="J1178" t="s">
        <v>13</v>
      </c>
    </row>
    <row r="1179" spans="1:11" x14ac:dyDescent="0.25">
      <c r="A1179" t="s">
        <v>39</v>
      </c>
      <c r="B1179" t="s">
        <v>13</v>
      </c>
      <c r="C1179" t="s">
        <v>7</v>
      </c>
      <c r="D1179" t="s">
        <v>8</v>
      </c>
      <c r="E1179">
        <v>2635274100</v>
      </c>
      <c r="F1179">
        <v>1807064600</v>
      </c>
      <c r="G1179" t="s">
        <v>11</v>
      </c>
      <c r="H1179">
        <v>28340400600</v>
      </c>
      <c r="I1179" t="s">
        <v>13</v>
      </c>
      <c r="J1179" t="s">
        <v>13</v>
      </c>
      <c r="K1179">
        <v>6.38</v>
      </c>
    </row>
    <row r="1181" spans="1:11" x14ac:dyDescent="0.25">
      <c r="A1181" t="s">
        <v>275</v>
      </c>
      <c r="B1181" t="str">
        <f>"65151"</f>
        <v>65151</v>
      </c>
      <c r="C1181" t="str">
        <f>"001"</f>
        <v>001</v>
      </c>
      <c r="D1181">
        <v>1988</v>
      </c>
      <c r="E1181">
        <v>711100</v>
      </c>
      <c r="F1181">
        <v>405100</v>
      </c>
      <c r="G1181" t="s">
        <v>11</v>
      </c>
      <c r="H1181" t="s">
        <v>38</v>
      </c>
      <c r="I1181" t="s">
        <v>13</v>
      </c>
      <c r="J1181" t="s">
        <v>13</v>
      </c>
    </row>
    <row r="1182" spans="1:11" x14ac:dyDescent="0.25">
      <c r="A1182" t="s">
        <v>5</v>
      </c>
      <c r="B1182" t="str">
        <f>"65151"</f>
        <v>65151</v>
      </c>
      <c r="C1182" t="str">
        <f>"002"</f>
        <v>002</v>
      </c>
      <c r="D1182">
        <v>1997</v>
      </c>
      <c r="E1182">
        <v>6847100</v>
      </c>
      <c r="F1182">
        <v>5456900</v>
      </c>
      <c r="G1182" t="s">
        <v>11</v>
      </c>
      <c r="H1182" t="s">
        <v>38</v>
      </c>
      <c r="I1182" t="s">
        <v>13</v>
      </c>
      <c r="J1182" t="s">
        <v>13</v>
      </c>
    </row>
    <row r="1183" spans="1:11" x14ac:dyDescent="0.25">
      <c r="A1183" t="s">
        <v>5</v>
      </c>
      <c r="B1183" t="str">
        <f>"65151"</f>
        <v>65151</v>
      </c>
      <c r="C1183" t="str">
        <f>"003"</f>
        <v>003</v>
      </c>
      <c r="D1183">
        <v>2010</v>
      </c>
      <c r="E1183">
        <v>910000</v>
      </c>
      <c r="F1183">
        <v>825100</v>
      </c>
      <c r="G1183" t="s">
        <v>11</v>
      </c>
      <c r="H1183" t="s">
        <v>38</v>
      </c>
      <c r="I1183" t="s">
        <v>13</v>
      </c>
      <c r="J1183" t="s">
        <v>13</v>
      </c>
    </row>
    <row r="1184" spans="1:11" x14ac:dyDescent="0.25">
      <c r="A1184" t="s">
        <v>39</v>
      </c>
      <c r="B1184" t="s">
        <v>13</v>
      </c>
      <c r="C1184" t="s">
        <v>7</v>
      </c>
      <c r="D1184" t="s">
        <v>8</v>
      </c>
      <c r="E1184">
        <v>8468200</v>
      </c>
      <c r="F1184">
        <v>6687100</v>
      </c>
      <c r="G1184" t="s">
        <v>11</v>
      </c>
      <c r="H1184">
        <v>39899700</v>
      </c>
      <c r="I1184" t="s">
        <v>13</v>
      </c>
      <c r="J1184" t="s">
        <v>13</v>
      </c>
      <c r="K1184">
        <v>16.760000000000002</v>
      </c>
    </row>
    <row r="1186" spans="1:11" x14ac:dyDescent="0.25">
      <c r="A1186" t="s">
        <v>276</v>
      </c>
      <c r="B1186" t="str">
        <f>"06251"</f>
        <v>06251</v>
      </c>
      <c r="C1186" t="str">
        <f>"001"</f>
        <v>001</v>
      </c>
      <c r="D1186">
        <v>1989</v>
      </c>
      <c r="E1186">
        <v>12800500</v>
      </c>
      <c r="F1186">
        <v>12684200</v>
      </c>
      <c r="G1186" t="s">
        <v>11</v>
      </c>
      <c r="H1186" t="s">
        <v>38</v>
      </c>
      <c r="I1186" t="s">
        <v>13</v>
      </c>
      <c r="J1186" t="s">
        <v>13</v>
      </c>
    </row>
    <row r="1187" spans="1:11" x14ac:dyDescent="0.25">
      <c r="A1187" t="s">
        <v>5</v>
      </c>
      <c r="B1187" t="str">
        <f>"06251"</f>
        <v>06251</v>
      </c>
      <c r="C1187" t="str">
        <f>"002"</f>
        <v>002</v>
      </c>
      <c r="D1187">
        <v>2005</v>
      </c>
      <c r="E1187">
        <v>10000600</v>
      </c>
      <c r="F1187">
        <v>9980700</v>
      </c>
      <c r="G1187" t="s">
        <v>11</v>
      </c>
      <c r="H1187" t="s">
        <v>38</v>
      </c>
      <c r="I1187" t="s">
        <v>13</v>
      </c>
      <c r="J1187" t="s">
        <v>13</v>
      </c>
    </row>
    <row r="1188" spans="1:11" x14ac:dyDescent="0.25">
      <c r="A1188" t="s">
        <v>39</v>
      </c>
      <c r="B1188" t="s">
        <v>13</v>
      </c>
      <c r="C1188" t="s">
        <v>7</v>
      </c>
      <c r="D1188" t="s">
        <v>8</v>
      </c>
      <c r="E1188">
        <v>22801100</v>
      </c>
      <c r="F1188">
        <v>22664900</v>
      </c>
      <c r="G1188" t="s">
        <v>11</v>
      </c>
      <c r="H1188">
        <v>165278300</v>
      </c>
      <c r="I1188" t="s">
        <v>13</v>
      </c>
      <c r="J1188" t="s">
        <v>13</v>
      </c>
      <c r="K1188">
        <v>13.71</v>
      </c>
    </row>
    <row r="1190" spans="1:11" x14ac:dyDescent="0.25">
      <c r="A1190" t="s">
        <v>277</v>
      </c>
      <c r="B1190" t="str">
        <f t="shared" ref="B1190:B1196" si="20">"13258"</f>
        <v>13258</v>
      </c>
      <c r="C1190" t="str">
        <f>"002"</f>
        <v>002</v>
      </c>
      <c r="D1190">
        <v>1991</v>
      </c>
      <c r="E1190">
        <v>80462000</v>
      </c>
      <c r="F1190">
        <v>62525300</v>
      </c>
      <c r="G1190" t="s">
        <v>11</v>
      </c>
      <c r="H1190" t="s">
        <v>38</v>
      </c>
      <c r="I1190" t="s">
        <v>13</v>
      </c>
      <c r="J1190" t="s">
        <v>13</v>
      </c>
    </row>
    <row r="1191" spans="1:11" x14ac:dyDescent="0.25">
      <c r="A1191" t="s">
        <v>5</v>
      </c>
      <c r="B1191" t="str">
        <f t="shared" si="20"/>
        <v>13258</v>
      </c>
      <c r="C1191" t="str">
        <f>"004"</f>
        <v>004</v>
      </c>
      <c r="D1191">
        <v>2000</v>
      </c>
      <c r="E1191">
        <v>45727200</v>
      </c>
      <c r="F1191">
        <v>15784700</v>
      </c>
      <c r="G1191" t="s">
        <v>11</v>
      </c>
      <c r="H1191" t="s">
        <v>38</v>
      </c>
      <c r="I1191" t="s">
        <v>13</v>
      </c>
      <c r="J1191" t="s">
        <v>13</v>
      </c>
    </row>
    <row r="1192" spans="1:11" x14ac:dyDescent="0.25">
      <c r="A1192" t="s">
        <v>5</v>
      </c>
      <c r="B1192" t="str">
        <f t="shared" si="20"/>
        <v>13258</v>
      </c>
      <c r="C1192" t="str">
        <f>"005"</f>
        <v>005</v>
      </c>
      <c r="D1192">
        <v>2008</v>
      </c>
      <c r="E1192">
        <v>24032700</v>
      </c>
      <c r="F1192">
        <v>15053000</v>
      </c>
      <c r="G1192" t="s">
        <v>11</v>
      </c>
      <c r="H1192" t="s">
        <v>38</v>
      </c>
      <c r="I1192" t="s">
        <v>13</v>
      </c>
      <c r="J1192" t="s">
        <v>13</v>
      </c>
    </row>
    <row r="1193" spans="1:11" x14ac:dyDescent="0.25">
      <c r="A1193" t="s">
        <v>5</v>
      </c>
      <c r="B1193" t="str">
        <f t="shared" si="20"/>
        <v>13258</v>
      </c>
      <c r="C1193" t="str">
        <f>"006"</f>
        <v>006</v>
      </c>
      <c r="D1193">
        <v>2010</v>
      </c>
      <c r="E1193">
        <v>42065800</v>
      </c>
      <c r="F1193">
        <v>24372800</v>
      </c>
      <c r="G1193" t="s">
        <v>11</v>
      </c>
      <c r="H1193" t="s">
        <v>38</v>
      </c>
      <c r="I1193" t="s">
        <v>13</v>
      </c>
      <c r="J1193" t="s">
        <v>13</v>
      </c>
    </row>
    <row r="1194" spans="1:11" x14ac:dyDescent="0.25">
      <c r="A1194" t="s">
        <v>5</v>
      </c>
      <c r="B1194" t="str">
        <f t="shared" si="20"/>
        <v>13258</v>
      </c>
      <c r="C1194" t="str">
        <f>"007"</f>
        <v>007</v>
      </c>
      <c r="D1194">
        <v>2012</v>
      </c>
      <c r="E1194">
        <v>14509000</v>
      </c>
      <c r="F1194">
        <v>6261500</v>
      </c>
      <c r="G1194" t="s">
        <v>11</v>
      </c>
      <c r="H1194" t="s">
        <v>38</v>
      </c>
      <c r="I1194" t="s">
        <v>13</v>
      </c>
      <c r="J1194" t="s">
        <v>13</v>
      </c>
    </row>
    <row r="1195" spans="1:11" x14ac:dyDescent="0.25">
      <c r="A1195" t="s">
        <v>5</v>
      </c>
      <c r="B1195" t="str">
        <f t="shared" si="20"/>
        <v>13258</v>
      </c>
      <c r="C1195" t="str">
        <f>"008"</f>
        <v>008</v>
      </c>
      <c r="D1195">
        <v>2012</v>
      </c>
      <c r="E1195">
        <v>21249100</v>
      </c>
      <c r="F1195">
        <v>20833100</v>
      </c>
      <c r="G1195" t="s">
        <v>11</v>
      </c>
      <c r="H1195" t="s">
        <v>38</v>
      </c>
      <c r="I1195" t="s">
        <v>13</v>
      </c>
      <c r="J1195" t="s">
        <v>13</v>
      </c>
    </row>
    <row r="1196" spans="1:11" x14ac:dyDescent="0.25">
      <c r="A1196" t="s">
        <v>5</v>
      </c>
      <c r="B1196" t="str">
        <f t="shared" si="20"/>
        <v>13258</v>
      </c>
      <c r="C1196" t="str">
        <f>"009"</f>
        <v>009</v>
      </c>
      <c r="D1196">
        <v>2015</v>
      </c>
      <c r="E1196">
        <v>7458400</v>
      </c>
      <c r="F1196">
        <v>212300</v>
      </c>
      <c r="G1196" t="s">
        <v>11</v>
      </c>
      <c r="H1196" t="s">
        <v>38</v>
      </c>
      <c r="I1196" t="s">
        <v>13</v>
      </c>
      <c r="J1196" t="s">
        <v>13</v>
      </c>
    </row>
    <row r="1197" spans="1:11" x14ac:dyDescent="0.25">
      <c r="A1197" t="s">
        <v>39</v>
      </c>
      <c r="B1197" t="s">
        <v>13</v>
      </c>
      <c r="C1197" t="s">
        <v>7</v>
      </c>
      <c r="D1197" t="s">
        <v>8</v>
      </c>
      <c r="E1197">
        <v>235504200</v>
      </c>
      <c r="F1197">
        <v>145042700</v>
      </c>
      <c r="G1197" t="s">
        <v>11</v>
      </c>
      <c r="H1197">
        <v>1326599300</v>
      </c>
      <c r="I1197" t="s">
        <v>13</v>
      </c>
      <c r="J1197" t="s">
        <v>13</v>
      </c>
      <c r="K1197">
        <v>10.93</v>
      </c>
    </row>
    <row r="1199" spans="1:11" x14ac:dyDescent="0.25">
      <c r="A1199" t="s">
        <v>278</v>
      </c>
      <c r="B1199" t="str">
        <f t="shared" ref="B1199:B1204" si="21">"23251"</f>
        <v>23251</v>
      </c>
      <c r="C1199" t="str">
        <f>"004"</f>
        <v>004</v>
      </c>
      <c r="D1199">
        <v>1996</v>
      </c>
      <c r="E1199">
        <v>12277900</v>
      </c>
      <c r="F1199">
        <v>11854300</v>
      </c>
      <c r="G1199" t="s">
        <v>11</v>
      </c>
      <c r="H1199" t="s">
        <v>38</v>
      </c>
      <c r="I1199" t="s">
        <v>13</v>
      </c>
      <c r="J1199" t="s">
        <v>13</v>
      </c>
    </row>
    <row r="1200" spans="1:11" x14ac:dyDescent="0.25">
      <c r="A1200" t="s">
        <v>5</v>
      </c>
      <c r="B1200" t="str">
        <f t="shared" si="21"/>
        <v>23251</v>
      </c>
      <c r="C1200" t="str">
        <f>"005"</f>
        <v>005</v>
      </c>
      <c r="D1200">
        <v>1996</v>
      </c>
      <c r="E1200">
        <v>20315800</v>
      </c>
      <c r="F1200">
        <v>13911600</v>
      </c>
      <c r="G1200" t="s">
        <v>11</v>
      </c>
      <c r="H1200" t="s">
        <v>38</v>
      </c>
      <c r="I1200" t="s">
        <v>13</v>
      </c>
      <c r="J1200" t="s">
        <v>13</v>
      </c>
    </row>
    <row r="1201" spans="1:11" x14ac:dyDescent="0.25">
      <c r="A1201" t="s">
        <v>5</v>
      </c>
      <c r="B1201" t="str">
        <f t="shared" si="21"/>
        <v>23251</v>
      </c>
      <c r="C1201" t="str">
        <f>"006"</f>
        <v>006</v>
      </c>
      <c r="D1201">
        <v>2003</v>
      </c>
      <c r="E1201">
        <v>19568700</v>
      </c>
      <c r="F1201">
        <v>9425500</v>
      </c>
      <c r="G1201" t="s">
        <v>11</v>
      </c>
      <c r="H1201" t="s">
        <v>38</v>
      </c>
      <c r="I1201" t="s">
        <v>13</v>
      </c>
      <c r="J1201" t="s">
        <v>13</v>
      </c>
    </row>
    <row r="1202" spans="1:11" x14ac:dyDescent="0.25">
      <c r="A1202" t="s">
        <v>5</v>
      </c>
      <c r="B1202" t="str">
        <f t="shared" si="21"/>
        <v>23251</v>
      </c>
      <c r="C1202" t="str">
        <f>"007"</f>
        <v>007</v>
      </c>
      <c r="D1202">
        <v>2005</v>
      </c>
      <c r="E1202">
        <v>40662700</v>
      </c>
      <c r="F1202">
        <v>8312900</v>
      </c>
      <c r="G1202" t="s">
        <v>11</v>
      </c>
      <c r="H1202" t="s">
        <v>38</v>
      </c>
      <c r="I1202" t="s">
        <v>13</v>
      </c>
      <c r="J1202" t="s">
        <v>13</v>
      </c>
    </row>
    <row r="1203" spans="1:11" x14ac:dyDescent="0.25">
      <c r="A1203" t="s">
        <v>5</v>
      </c>
      <c r="B1203" t="str">
        <f t="shared" si="21"/>
        <v>23251</v>
      </c>
      <c r="C1203" t="str">
        <f>"008"</f>
        <v>008</v>
      </c>
      <c r="D1203">
        <v>2007</v>
      </c>
      <c r="E1203">
        <v>4213200</v>
      </c>
      <c r="F1203">
        <v>1880500</v>
      </c>
      <c r="G1203" t="s">
        <v>11</v>
      </c>
      <c r="H1203" t="s">
        <v>38</v>
      </c>
      <c r="I1203" t="s">
        <v>13</v>
      </c>
      <c r="J1203" t="s">
        <v>13</v>
      </c>
    </row>
    <row r="1204" spans="1:11" x14ac:dyDescent="0.25">
      <c r="A1204" t="s">
        <v>5</v>
      </c>
      <c r="B1204" t="str">
        <f t="shared" si="21"/>
        <v>23251</v>
      </c>
      <c r="C1204" t="str">
        <f>"010"</f>
        <v>010</v>
      </c>
      <c r="D1204">
        <v>2017</v>
      </c>
      <c r="E1204">
        <v>17399500</v>
      </c>
      <c r="F1204">
        <v>-49700</v>
      </c>
      <c r="G1204" t="s">
        <v>43</v>
      </c>
      <c r="H1204" t="s">
        <v>38</v>
      </c>
      <c r="I1204" t="s">
        <v>13</v>
      </c>
      <c r="J1204" t="s">
        <v>13</v>
      </c>
    </row>
    <row r="1205" spans="1:11" x14ac:dyDescent="0.25">
      <c r="A1205" t="s">
        <v>39</v>
      </c>
      <c r="B1205" t="s">
        <v>13</v>
      </c>
      <c r="C1205" t="s">
        <v>7</v>
      </c>
      <c r="D1205" t="s">
        <v>8</v>
      </c>
      <c r="E1205">
        <v>114437800</v>
      </c>
      <c r="F1205">
        <v>45384800</v>
      </c>
      <c r="G1205" t="s">
        <v>11</v>
      </c>
      <c r="H1205">
        <v>739875800</v>
      </c>
      <c r="I1205" t="s">
        <v>13</v>
      </c>
      <c r="J1205" t="s">
        <v>13</v>
      </c>
      <c r="K1205">
        <v>6.13</v>
      </c>
    </row>
    <row r="1207" spans="1:11" x14ac:dyDescent="0.25">
      <c r="A1207" t="s">
        <v>279</v>
      </c>
      <c r="B1207" t="str">
        <f>"22151"</f>
        <v>22151</v>
      </c>
      <c r="C1207" t="str">
        <f>"001"</f>
        <v>001</v>
      </c>
      <c r="D1207">
        <v>2014</v>
      </c>
      <c r="E1207">
        <v>2305500</v>
      </c>
      <c r="F1207">
        <v>336800</v>
      </c>
      <c r="G1207" t="s">
        <v>11</v>
      </c>
      <c r="H1207" t="s">
        <v>38</v>
      </c>
      <c r="I1207" t="s">
        <v>13</v>
      </c>
      <c r="J1207" t="s">
        <v>13</v>
      </c>
    </row>
    <row r="1208" spans="1:11" x14ac:dyDescent="0.25">
      <c r="A1208" t="s">
        <v>39</v>
      </c>
      <c r="B1208" t="s">
        <v>13</v>
      </c>
      <c r="C1208" t="s">
        <v>7</v>
      </c>
      <c r="D1208" t="s">
        <v>8</v>
      </c>
      <c r="E1208">
        <v>2305500</v>
      </c>
      <c r="F1208">
        <v>336800</v>
      </c>
      <c r="G1208" t="s">
        <v>11</v>
      </c>
      <c r="H1208">
        <v>35715900</v>
      </c>
      <c r="I1208" t="s">
        <v>13</v>
      </c>
      <c r="J1208" t="s">
        <v>13</v>
      </c>
      <c r="K1208">
        <v>0.94</v>
      </c>
    </row>
    <row r="1210" spans="1:11" x14ac:dyDescent="0.25">
      <c r="A1210" t="s">
        <v>280</v>
      </c>
      <c r="B1210" t="str">
        <f>"37251"</f>
        <v>37251</v>
      </c>
      <c r="C1210" t="str">
        <f>"002"</f>
        <v>002</v>
      </c>
      <c r="D1210">
        <v>2006</v>
      </c>
      <c r="E1210">
        <v>23688600</v>
      </c>
      <c r="F1210">
        <v>11166700</v>
      </c>
      <c r="G1210" t="s">
        <v>11</v>
      </c>
      <c r="H1210" t="s">
        <v>38</v>
      </c>
      <c r="I1210" t="s">
        <v>13</v>
      </c>
      <c r="J1210" t="s">
        <v>13</v>
      </c>
    </row>
    <row r="1211" spans="1:11" x14ac:dyDescent="0.25">
      <c r="A1211" t="s">
        <v>5</v>
      </c>
      <c r="B1211" t="str">
        <f>"37251"</f>
        <v>37251</v>
      </c>
      <c r="C1211" t="str">
        <f>"003"</f>
        <v>003</v>
      </c>
      <c r="D1211">
        <v>2013</v>
      </c>
      <c r="E1211">
        <v>9905600</v>
      </c>
      <c r="F1211">
        <v>2374500</v>
      </c>
      <c r="G1211" t="s">
        <v>11</v>
      </c>
      <c r="H1211" t="s">
        <v>38</v>
      </c>
      <c r="I1211" t="s">
        <v>13</v>
      </c>
      <c r="J1211" t="s">
        <v>13</v>
      </c>
    </row>
    <row r="1212" spans="1:11" x14ac:dyDescent="0.25">
      <c r="A1212" t="s">
        <v>39</v>
      </c>
      <c r="B1212" t="s">
        <v>13</v>
      </c>
      <c r="C1212" t="s">
        <v>7</v>
      </c>
      <c r="D1212" t="s">
        <v>8</v>
      </c>
      <c r="E1212">
        <v>33594200</v>
      </c>
      <c r="F1212">
        <v>13541200</v>
      </c>
      <c r="G1212" t="s">
        <v>11</v>
      </c>
      <c r="H1212">
        <v>298133700</v>
      </c>
      <c r="I1212" t="s">
        <v>13</v>
      </c>
      <c r="J1212" t="s">
        <v>13</v>
      </c>
      <c r="K1212">
        <v>4.54</v>
      </c>
    </row>
    <row r="1214" spans="1:11" x14ac:dyDescent="0.25">
      <c r="A1214" t="s">
        <v>281</v>
      </c>
      <c r="B1214" t="str">
        <f>"13157"</f>
        <v>13157</v>
      </c>
      <c r="C1214" t="str">
        <f>"003"</f>
        <v>003</v>
      </c>
      <c r="D1214">
        <v>2004</v>
      </c>
      <c r="E1214">
        <v>32877200</v>
      </c>
      <c r="F1214">
        <v>30288900</v>
      </c>
      <c r="G1214" t="s">
        <v>11</v>
      </c>
      <c r="H1214" t="s">
        <v>38</v>
      </c>
      <c r="I1214" t="s">
        <v>13</v>
      </c>
      <c r="J1214" t="s">
        <v>13</v>
      </c>
    </row>
    <row r="1215" spans="1:11" x14ac:dyDescent="0.25">
      <c r="A1215" t="s">
        <v>5</v>
      </c>
      <c r="B1215" t="str">
        <f>"13157"</f>
        <v>13157</v>
      </c>
      <c r="C1215" t="str">
        <f>"004"</f>
        <v>004</v>
      </c>
      <c r="D1215">
        <v>2007</v>
      </c>
      <c r="E1215">
        <v>7983500</v>
      </c>
      <c r="F1215">
        <v>4035400</v>
      </c>
      <c r="G1215" t="s">
        <v>11</v>
      </c>
      <c r="H1215" t="s">
        <v>38</v>
      </c>
      <c r="I1215" t="s">
        <v>13</v>
      </c>
      <c r="J1215" t="s">
        <v>13</v>
      </c>
    </row>
    <row r="1216" spans="1:11" x14ac:dyDescent="0.25">
      <c r="A1216" t="s">
        <v>5</v>
      </c>
      <c r="B1216" t="str">
        <f>"13157"</f>
        <v>13157</v>
      </c>
      <c r="C1216" t="str">
        <f>"005"</f>
        <v>005</v>
      </c>
      <c r="D1216">
        <v>2016</v>
      </c>
      <c r="E1216">
        <v>36453400</v>
      </c>
      <c r="F1216">
        <v>11103400</v>
      </c>
      <c r="G1216" t="s">
        <v>11</v>
      </c>
      <c r="H1216" t="s">
        <v>38</v>
      </c>
      <c r="I1216" t="s">
        <v>13</v>
      </c>
      <c r="J1216" t="s">
        <v>13</v>
      </c>
    </row>
    <row r="1217" spans="1:11" x14ac:dyDescent="0.25">
      <c r="A1217" t="s">
        <v>39</v>
      </c>
      <c r="B1217" t="s">
        <v>13</v>
      </c>
      <c r="C1217" t="s">
        <v>7</v>
      </c>
      <c r="D1217" t="s">
        <v>8</v>
      </c>
      <c r="E1217">
        <v>77314100</v>
      </c>
      <c r="F1217">
        <v>45427700</v>
      </c>
      <c r="G1217" t="s">
        <v>11</v>
      </c>
      <c r="H1217">
        <v>734901000</v>
      </c>
      <c r="I1217" t="s">
        <v>13</v>
      </c>
      <c r="J1217" t="s">
        <v>13</v>
      </c>
      <c r="K1217">
        <v>6.18</v>
      </c>
    </row>
    <row r="1219" spans="1:11" x14ac:dyDescent="0.25">
      <c r="A1219" t="s">
        <v>282</v>
      </c>
      <c r="B1219" t="str">
        <f>"51151"</f>
        <v>51151</v>
      </c>
      <c r="C1219" t="str">
        <f>"001"</f>
        <v>001</v>
      </c>
      <c r="D1219">
        <v>2006</v>
      </c>
      <c r="E1219">
        <v>62778200</v>
      </c>
      <c r="F1219">
        <v>58485500</v>
      </c>
      <c r="G1219" t="s">
        <v>11</v>
      </c>
      <c r="H1219" t="s">
        <v>38</v>
      </c>
      <c r="I1219" t="s">
        <v>13</v>
      </c>
      <c r="J1219" t="s">
        <v>13</v>
      </c>
    </row>
    <row r="1220" spans="1:11" x14ac:dyDescent="0.25">
      <c r="A1220" t="s">
        <v>5</v>
      </c>
      <c r="B1220" t="str">
        <f>"51151"</f>
        <v>51151</v>
      </c>
      <c r="C1220" t="str">
        <f>"002"</f>
        <v>002</v>
      </c>
      <c r="D1220">
        <v>2007</v>
      </c>
      <c r="E1220">
        <v>136086300</v>
      </c>
      <c r="F1220">
        <v>32502100</v>
      </c>
      <c r="G1220" t="s">
        <v>11</v>
      </c>
      <c r="H1220" t="s">
        <v>38</v>
      </c>
      <c r="I1220" t="s">
        <v>13</v>
      </c>
      <c r="J1220" t="s">
        <v>13</v>
      </c>
    </row>
    <row r="1221" spans="1:11" x14ac:dyDescent="0.25">
      <c r="A1221" t="s">
        <v>5</v>
      </c>
      <c r="B1221" t="str">
        <f>"51151"</f>
        <v>51151</v>
      </c>
      <c r="C1221" t="str">
        <f>"003"</f>
        <v>003</v>
      </c>
      <c r="D1221">
        <v>2014</v>
      </c>
      <c r="E1221">
        <v>25064000</v>
      </c>
      <c r="F1221">
        <v>20927800</v>
      </c>
      <c r="G1221" t="s">
        <v>11</v>
      </c>
      <c r="H1221" t="s">
        <v>38</v>
      </c>
      <c r="I1221" t="s">
        <v>13</v>
      </c>
      <c r="J1221" t="s">
        <v>13</v>
      </c>
    </row>
    <row r="1222" spans="1:11" x14ac:dyDescent="0.25">
      <c r="A1222" t="s">
        <v>5</v>
      </c>
      <c r="B1222" t="str">
        <f>"51151"</f>
        <v>51151</v>
      </c>
      <c r="C1222" t="str">
        <f>"004"</f>
        <v>004</v>
      </c>
      <c r="D1222">
        <v>2015</v>
      </c>
      <c r="E1222">
        <v>27278000</v>
      </c>
      <c r="F1222">
        <v>23690300</v>
      </c>
      <c r="G1222" t="s">
        <v>11</v>
      </c>
      <c r="H1222" t="s">
        <v>38</v>
      </c>
      <c r="I1222" t="s">
        <v>13</v>
      </c>
      <c r="J1222" t="s">
        <v>13</v>
      </c>
    </row>
    <row r="1223" spans="1:11" x14ac:dyDescent="0.25">
      <c r="A1223" t="s">
        <v>39</v>
      </c>
      <c r="B1223" t="s">
        <v>13</v>
      </c>
      <c r="C1223" t="s">
        <v>7</v>
      </c>
      <c r="D1223" t="s">
        <v>8</v>
      </c>
      <c r="E1223">
        <v>251206500</v>
      </c>
      <c r="F1223">
        <v>135605700</v>
      </c>
      <c r="G1223" t="s">
        <v>11</v>
      </c>
      <c r="H1223">
        <v>2915059700</v>
      </c>
      <c r="I1223" t="s">
        <v>13</v>
      </c>
      <c r="J1223" t="s">
        <v>13</v>
      </c>
      <c r="K1223">
        <v>4.6500000000000004</v>
      </c>
    </row>
    <row r="1225" spans="1:11" x14ac:dyDescent="0.25">
      <c r="A1225" t="s">
        <v>283</v>
      </c>
      <c r="B1225" t="str">
        <f>"67153"</f>
        <v>67153</v>
      </c>
      <c r="C1225" t="str">
        <f>"003"</f>
        <v>003</v>
      </c>
      <c r="D1225">
        <v>2003</v>
      </c>
      <c r="E1225">
        <v>48159300</v>
      </c>
      <c r="F1225">
        <v>45769800</v>
      </c>
      <c r="G1225" t="s">
        <v>11</v>
      </c>
      <c r="H1225" t="s">
        <v>38</v>
      </c>
      <c r="I1225" t="s">
        <v>13</v>
      </c>
      <c r="J1225" t="s">
        <v>13</v>
      </c>
    </row>
    <row r="1226" spans="1:11" x14ac:dyDescent="0.25">
      <c r="A1226" t="s">
        <v>5</v>
      </c>
      <c r="B1226" t="str">
        <f>"67153"</f>
        <v>67153</v>
      </c>
      <c r="C1226" t="str">
        <f>"004"</f>
        <v>004</v>
      </c>
      <c r="D1226">
        <v>2017</v>
      </c>
      <c r="E1226">
        <v>8521600</v>
      </c>
      <c r="F1226">
        <v>2153600</v>
      </c>
      <c r="G1226" t="s">
        <v>11</v>
      </c>
      <c r="H1226" t="s">
        <v>38</v>
      </c>
      <c r="I1226" t="s">
        <v>13</v>
      </c>
      <c r="J1226" t="s">
        <v>13</v>
      </c>
    </row>
    <row r="1227" spans="1:11" x14ac:dyDescent="0.25">
      <c r="A1227" t="s">
        <v>39</v>
      </c>
      <c r="B1227" t="s">
        <v>13</v>
      </c>
      <c r="C1227" t="s">
        <v>7</v>
      </c>
      <c r="D1227" t="s">
        <v>8</v>
      </c>
      <c r="E1227">
        <v>56680900</v>
      </c>
      <c r="F1227">
        <v>47923400</v>
      </c>
      <c r="G1227" t="s">
        <v>11</v>
      </c>
      <c r="H1227">
        <v>877402300</v>
      </c>
      <c r="I1227" t="s">
        <v>13</v>
      </c>
      <c r="J1227" t="s">
        <v>13</v>
      </c>
      <c r="K1227">
        <v>5.46</v>
      </c>
    </row>
    <row r="1229" spans="1:11" x14ac:dyDescent="0.25">
      <c r="A1229" t="s">
        <v>284</v>
      </c>
      <c r="B1229" t="str">
        <f>"25153"</f>
        <v>25153</v>
      </c>
      <c r="C1229" t="str">
        <f>"002"</f>
        <v>002</v>
      </c>
      <c r="D1229">
        <v>1997</v>
      </c>
      <c r="E1229">
        <v>4976800</v>
      </c>
      <c r="F1229">
        <v>4307000</v>
      </c>
      <c r="G1229" t="s">
        <v>11</v>
      </c>
      <c r="H1229" t="s">
        <v>38</v>
      </c>
      <c r="I1229" t="s">
        <v>13</v>
      </c>
      <c r="J1229" t="s">
        <v>13</v>
      </c>
    </row>
    <row r="1230" spans="1:11" x14ac:dyDescent="0.25">
      <c r="A1230" t="s">
        <v>5</v>
      </c>
      <c r="B1230" t="str">
        <f>"22153"</f>
        <v>22153</v>
      </c>
      <c r="C1230" t="str">
        <f>"002"</f>
        <v>002</v>
      </c>
      <c r="D1230">
        <v>1997</v>
      </c>
      <c r="E1230">
        <v>4356100</v>
      </c>
      <c r="F1230">
        <v>3218200</v>
      </c>
      <c r="G1230" t="s">
        <v>11</v>
      </c>
      <c r="H1230" t="s">
        <v>38</v>
      </c>
      <c r="I1230" t="s">
        <v>13</v>
      </c>
      <c r="J1230" t="s">
        <v>13</v>
      </c>
    </row>
    <row r="1231" spans="1:11" x14ac:dyDescent="0.25">
      <c r="A1231" t="s">
        <v>5</v>
      </c>
      <c r="B1231" t="str">
        <f>"22153"</f>
        <v>22153</v>
      </c>
      <c r="C1231" t="str">
        <f>"003"</f>
        <v>003</v>
      </c>
      <c r="D1231">
        <v>1997</v>
      </c>
      <c r="E1231">
        <v>3613400</v>
      </c>
      <c r="F1231">
        <v>1574000</v>
      </c>
      <c r="G1231" t="s">
        <v>11</v>
      </c>
      <c r="H1231" t="s">
        <v>38</v>
      </c>
      <c r="I1231" t="s">
        <v>13</v>
      </c>
      <c r="J1231" t="s">
        <v>13</v>
      </c>
    </row>
    <row r="1232" spans="1:11" x14ac:dyDescent="0.25">
      <c r="A1232" t="s">
        <v>39</v>
      </c>
      <c r="B1232" t="s">
        <v>13</v>
      </c>
      <c r="C1232" t="s">
        <v>7</v>
      </c>
      <c r="D1232" t="s">
        <v>8</v>
      </c>
      <c r="E1232">
        <v>12946300</v>
      </c>
      <c r="F1232">
        <v>9099200</v>
      </c>
      <c r="G1232" t="s">
        <v>11</v>
      </c>
      <c r="H1232">
        <v>77614300</v>
      </c>
      <c r="I1232" t="s">
        <v>13</v>
      </c>
      <c r="J1232" t="s">
        <v>13</v>
      </c>
      <c r="K1232">
        <v>11.72</v>
      </c>
    </row>
    <row r="1234" spans="1:11" x14ac:dyDescent="0.25">
      <c r="A1234" t="s">
        <v>285</v>
      </c>
      <c r="B1234" t="str">
        <f>"67251"</f>
        <v>67251</v>
      </c>
      <c r="C1234" t="str">
        <f>"008"</f>
        <v>008</v>
      </c>
      <c r="D1234">
        <v>2000</v>
      </c>
      <c r="E1234">
        <v>28290000</v>
      </c>
      <c r="F1234">
        <v>9877200</v>
      </c>
      <c r="G1234" t="s">
        <v>11</v>
      </c>
      <c r="H1234" t="s">
        <v>38</v>
      </c>
      <c r="I1234" t="s">
        <v>13</v>
      </c>
      <c r="J1234" t="s">
        <v>13</v>
      </c>
    </row>
    <row r="1235" spans="1:11" x14ac:dyDescent="0.25">
      <c r="A1235" t="s">
        <v>5</v>
      </c>
      <c r="B1235" t="str">
        <f>"67251"</f>
        <v>67251</v>
      </c>
      <c r="C1235" t="str">
        <f>"009"</f>
        <v>009</v>
      </c>
      <c r="D1235">
        <v>2003</v>
      </c>
      <c r="E1235">
        <v>49848400</v>
      </c>
      <c r="F1235">
        <v>26127500</v>
      </c>
      <c r="G1235" t="s">
        <v>11</v>
      </c>
      <c r="H1235" t="s">
        <v>38</v>
      </c>
      <c r="I1235" t="s">
        <v>13</v>
      </c>
      <c r="J1235" t="s">
        <v>13</v>
      </c>
    </row>
    <row r="1236" spans="1:11" x14ac:dyDescent="0.25">
      <c r="A1236" t="s">
        <v>5</v>
      </c>
      <c r="B1236" t="str">
        <f>"67251"</f>
        <v>67251</v>
      </c>
      <c r="C1236" t="str">
        <f>"010"</f>
        <v>010</v>
      </c>
      <c r="D1236">
        <v>2008</v>
      </c>
      <c r="E1236">
        <v>72800800</v>
      </c>
      <c r="F1236">
        <v>71650200</v>
      </c>
      <c r="G1236" t="s">
        <v>11</v>
      </c>
      <c r="H1236" t="s">
        <v>38</v>
      </c>
      <c r="I1236" t="s">
        <v>13</v>
      </c>
      <c r="J1236" t="s">
        <v>13</v>
      </c>
    </row>
    <row r="1237" spans="1:11" x14ac:dyDescent="0.25">
      <c r="A1237" t="s">
        <v>5</v>
      </c>
      <c r="B1237" t="str">
        <f>"67251"</f>
        <v>67251</v>
      </c>
      <c r="C1237" t="str">
        <f>"011"</f>
        <v>011</v>
      </c>
      <c r="D1237">
        <v>2016</v>
      </c>
      <c r="E1237">
        <v>20377300</v>
      </c>
      <c r="F1237">
        <v>20374900</v>
      </c>
      <c r="G1237" t="s">
        <v>11</v>
      </c>
      <c r="H1237" t="s">
        <v>38</v>
      </c>
      <c r="I1237" t="s">
        <v>13</v>
      </c>
      <c r="J1237" t="s">
        <v>13</v>
      </c>
    </row>
    <row r="1238" spans="1:11" x14ac:dyDescent="0.25">
      <c r="A1238" t="s">
        <v>39</v>
      </c>
      <c r="B1238" t="s">
        <v>13</v>
      </c>
      <c r="C1238" t="s">
        <v>7</v>
      </c>
      <c r="D1238" t="s">
        <v>8</v>
      </c>
      <c r="E1238">
        <v>171316500</v>
      </c>
      <c r="F1238">
        <v>128029800</v>
      </c>
      <c r="G1238" t="s">
        <v>11</v>
      </c>
      <c r="H1238">
        <v>3121187200</v>
      </c>
      <c r="I1238" t="s">
        <v>13</v>
      </c>
      <c r="J1238" t="s">
        <v>13</v>
      </c>
      <c r="K1238">
        <v>4.0999999999999996</v>
      </c>
    </row>
    <row r="1240" spans="1:11" x14ac:dyDescent="0.25">
      <c r="A1240" t="s">
        <v>286</v>
      </c>
      <c r="B1240" t="str">
        <f>"29161"</f>
        <v>29161</v>
      </c>
      <c r="C1240" t="str">
        <f>"002"</f>
        <v>002</v>
      </c>
      <c r="D1240">
        <v>1995</v>
      </c>
      <c r="E1240">
        <v>5788500</v>
      </c>
      <c r="F1240">
        <v>4555000</v>
      </c>
      <c r="G1240" t="s">
        <v>11</v>
      </c>
      <c r="H1240" t="s">
        <v>38</v>
      </c>
      <c r="I1240" t="s">
        <v>13</v>
      </c>
      <c r="J1240" t="s">
        <v>13</v>
      </c>
    </row>
    <row r="1241" spans="1:11" x14ac:dyDescent="0.25">
      <c r="A1241" t="s">
        <v>5</v>
      </c>
      <c r="B1241" t="str">
        <f>"29161"</f>
        <v>29161</v>
      </c>
      <c r="C1241" t="str">
        <f>"003"</f>
        <v>003</v>
      </c>
      <c r="D1241">
        <v>1995</v>
      </c>
      <c r="E1241">
        <v>12493200</v>
      </c>
      <c r="F1241">
        <v>5196900</v>
      </c>
      <c r="G1241" t="s">
        <v>11</v>
      </c>
      <c r="H1241" t="s">
        <v>38</v>
      </c>
      <c r="I1241" t="s">
        <v>13</v>
      </c>
      <c r="J1241" t="s">
        <v>13</v>
      </c>
    </row>
    <row r="1242" spans="1:11" x14ac:dyDescent="0.25">
      <c r="A1242" t="s">
        <v>39</v>
      </c>
      <c r="B1242" t="s">
        <v>13</v>
      </c>
      <c r="C1242" t="s">
        <v>7</v>
      </c>
      <c r="D1242" t="s">
        <v>8</v>
      </c>
      <c r="E1242">
        <v>18281700</v>
      </c>
      <c r="F1242">
        <v>9751900</v>
      </c>
      <c r="G1242" t="s">
        <v>11</v>
      </c>
      <c r="H1242">
        <v>42685200</v>
      </c>
      <c r="I1242" t="s">
        <v>13</v>
      </c>
      <c r="J1242" t="s">
        <v>13</v>
      </c>
      <c r="K1242">
        <v>22.85</v>
      </c>
    </row>
    <row r="1244" spans="1:11" x14ac:dyDescent="0.25">
      <c r="A1244" t="s">
        <v>287</v>
      </c>
      <c r="B1244" t="str">
        <f t="shared" ref="B1244:B1250" si="22">"70261"</f>
        <v>70261</v>
      </c>
      <c r="C1244" t="str">
        <f>"005"</f>
        <v>005</v>
      </c>
      <c r="D1244">
        <v>1993</v>
      </c>
      <c r="E1244">
        <v>30306300</v>
      </c>
      <c r="F1244">
        <v>16848100</v>
      </c>
      <c r="G1244" t="s">
        <v>11</v>
      </c>
      <c r="H1244" t="s">
        <v>38</v>
      </c>
      <c r="I1244" t="s">
        <v>13</v>
      </c>
      <c r="J1244" t="s">
        <v>13</v>
      </c>
    </row>
    <row r="1245" spans="1:11" x14ac:dyDescent="0.25">
      <c r="A1245" t="s">
        <v>5</v>
      </c>
      <c r="B1245" t="str">
        <f t="shared" si="22"/>
        <v>70261</v>
      </c>
      <c r="C1245" t="str">
        <f>"006"</f>
        <v>006</v>
      </c>
      <c r="D1245">
        <v>1997</v>
      </c>
      <c r="E1245">
        <v>31146500</v>
      </c>
      <c r="F1245">
        <v>28276900</v>
      </c>
      <c r="G1245" t="s">
        <v>11</v>
      </c>
      <c r="H1245" t="s">
        <v>38</v>
      </c>
      <c r="I1245" t="s">
        <v>13</v>
      </c>
      <c r="J1245" t="s">
        <v>13</v>
      </c>
    </row>
    <row r="1246" spans="1:11" x14ac:dyDescent="0.25">
      <c r="A1246" t="s">
        <v>5</v>
      </c>
      <c r="B1246" t="str">
        <f t="shared" si="22"/>
        <v>70261</v>
      </c>
      <c r="C1246" t="str">
        <f>"007"</f>
        <v>007</v>
      </c>
      <c r="D1246">
        <v>2000</v>
      </c>
      <c r="E1246">
        <v>134802100</v>
      </c>
      <c r="F1246">
        <v>95575100</v>
      </c>
      <c r="G1246" t="s">
        <v>11</v>
      </c>
      <c r="H1246" t="s">
        <v>38</v>
      </c>
      <c r="I1246" t="s">
        <v>13</v>
      </c>
      <c r="J1246" t="s">
        <v>13</v>
      </c>
    </row>
    <row r="1247" spans="1:11" x14ac:dyDescent="0.25">
      <c r="A1247" t="s">
        <v>5</v>
      </c>
      <c r="B1247" t="str">
        <f t="shared" si="22"/>
        <v>70261</v>
      </c>
      <c r="C1247" t="str">
        <f>"008"</f>
        <v>008</v>
      </c>
      <c r="D1247">
        <v>2001</v>
      </c>
      <c r="E1247">
        <v>74174100</v>
      </c>
      <c r="F1247">
        <v>59430500</v>
      </c>
      <c r="G1247" t="s">
        <v>11</v>
      </c>
      <c r="H1247" t="s">
        <v>38</v>
      </c>
      <c r="I1247" t="s">
        <v>13</v>
      </c>
      <c r="J1247" t="s">
        <v>13</v>
      </c>
    </row>
    <row r="1248" spans="1:11" x14ac:dyDescent="0.25">
      <c r="A1248" t="s">
        <v>5</v>
      </c>
      <c r="B1248" t="str">
        <f t="shared" si="22"/>
        <v>70261</v>
      </c>
      <c r="C1248" t="str">
        <f>"009"</f>
        <v>009</v>
      </c>
      <c r="D1248">
        <v>2015</v>
      </c>
      <c r="E1248">
        <v>20431800</v>
      </c>
      <c r="F1248">
        <v>10104400</v>
      </c>
      <c r="G1248" t="s">
        <v>11</v>
      </c>
      <c r="H1248" t="s">
        <v>38</v>
      </c>
      <c r="I1248" t="s">
        <v>13</v>
      </c>
      <c r="J1248" t="s">
        <v>13</v>
      </c>
    </row>
    <row r="1249" spans="1:11" x14ac:dyDescent="0.25">
      <c r="A1249" t="s">
        <v>5</v>
      </c>
      <c r="B1249" t="str">
        <f t="shared" si="22"/>
        <v>70261</v>
      </c>
      <c r="C1249" t="str">
        <f>"010"</f>
        <v>010</v>
      </c>
      <c r="D1249">
        <v>2015</v>
      </c>
      <c r="E1249">
        <v>17936300</v>
      </c>
      <c r="F1249">
        <v>14254700</v>
      </c>
      <c r="G1249" t="s">
        <v>11</v>
      </c>
      <c r="H1249" t="s">
        <v>38</v>
      </c>
      <c r="I1249" t="s">
        <v>13</v>
      </c>
      <c r="J1249" t="s">
        <v>13</v>
      </c>
    </row>
    <row r="1250" spans="1:11" x14ac:dyDescent="0.25">
      <c r="A1250" t="s">
        <v>5</v>
      </c>
      <c r="B1250" t="str">
        <f t="shared" si="22"/>
        <v>70261</v>
      </c>
      <c r="C1250" t="str">
        <f>"011"</f>
        <v>011</v>
      </c>
      <c r="D1250">
        <v>2017</v>
      </c>
      <c r="E1250">
        <v>2705600</v>
      </c>
      <c r="F1250">
        <v>2587900</v>
      </c>
      <c r="G1250" t="s">
        <v>11</v>
      </c>
      <c r="H1250" t="s">
        <v>38</v>
      </c>
      <c r="I1250" t="s">
        <v>13</v>
      </c>
      <c r="J1250" t="s">
        <v>13</v>
      </c>
    </row>
    <row r="1251" spans="1:11" x14ac:dyDescent="0.25">
      <c r="A1251" t="s">
        <v>39</v>
      </c>
      <c r="B1251" t="s">
        <v>13</v>
      </c>
      <c r="C1251" t="s">
        <v>7</v>
      </c>
      <c r="D1251" t="s">
        <v>8</v>
      </c>
      <c r="E1251">
        <v>311502700</v>
      </c>
      <c r="F1251">
        <v>227077600</v>
      </c>
      <c r="G1251" t="s">
        <v>11</v>
      </c>
      <c r="H1251">
        <v>2209662100</v>
      </c>
      <c r="I1251" t="s">
        <v>13</v>
      </c>
      <c r="J1251" t="s">
        <v>13</v>
      </c>
      <c r="K1251">
        <v>10.28</v>
      </c>
    </row>
    <row r="1253" spans="1:11" x14ac:dyDescent="0.25">
      <c r="A1253" t="s">
        <v>288</v>
      </c>
      <c r="B1253" t="str">
        <f>"10261"</f>
        <v>10261</v>
      </c>
      <c r="C1253" t="str">
        <f>"002"</f>
        <v>002</v>
      </c>
      <c r="D1253">
        <v>1999</v>
      </c>
      <c r="E1253">
        <v>3348200</v>
      </c>
      <c r="F1253">
        <v>3241000</v>
      </c>
      <c r="G1253" t="s">
        <v>11</v>
      </c>
      <c r="H1253" t="s">
        <v>38</v>
      </c>
      <c r="I1253" t="s">
        <v>13</v>
      </c>
      <c r="J1253" t="s">
        <v>13</v>
      </c>
    </row>
    <row r="1254" spans="1:11" x14ac:dyDescent="0.25">
      <c r="A1254" t="s">
        <v>5</v>
      </c>
      <c r="B1254" t="str">
        <f>"10261"</f>
        <v>10261</v>
      </c>
      <c r="C1254" t="str">
        <f>"003"</f>
        <v>003</v>
      </c>
      <c r="D1254">
        <v>2006</v>
      </c>
      <c r="E1254">
        <v>3193000</v>
      </c>
      <c r="F1254">
        <v>2888200</v>
      </c>
      <c r="G1254" t="s">
        <v>11</v>
      </c>
      <c r="H1254" t="s">
        <v>38</v>
      </c>
      <c r="I1254" t="s">
        <v>13</v>
      </c>
      <c r="J1254" t="s">
        <v>13</v>
      </c>
    </row>
    <row r="1255" spans="1:11" x14ac:dyDescent="0.25">
      <c r="A1255" t="s">
        <v>39</v>
      </c>
      <c r="B1255" t="s">
        <v>13</v>
      </c>
      <c r="C1255" t="s">
        <v>7</v>
      </c>
      <c r="D1255" t="s">
        <v>8</v>
      </c>
      <c r="E1255">
        <v>6541200</v>
      </c>
      <c r="F1255">
        <v>6129200</v>
      </c>
      <c r="G1255" t="s">
        <v>11</v>
      </c>
      <c r="H1255">
        <v>129073100</v>
      </c>
      <c r="I1255" t="s">
        <v>13</v>
      </c>
      <c r="J1255" t="s">
        <v>13</v>
      </c>
      <c r="K1255">
        <v>4.75</v>
      </c>
    </row>
    <row r="1257" spans="1:11" x14ac:dyDescent="0.25">
      <c r="A1257" t="s">
        <v>289</v>
      </c>
      <c r="B1257" t="str">
        <f>"71261"</f>
        <v>71261</v>
      </c>
      <c r="C1257" t="str">
        <f>"001"</f>
        <v>001</v>
      </c>
      <c r="D1257">
        <v>1997</v>
      </c>
      <c r="E1257">
        <v>17373500</v>
      </c>
      <c r="F1257">
        <v>6849900</v>
      </c>
      <c r="G1257" t="s">
        <v>11</v>
      </c>
      <c r="H1257" t="s">
        <v>38</v>
      </c>
      <c r="I1257" t="s">
        <v>13</v>
      </c>
      <c r="J1257" t="s">
        <v>13</v>
      </c>
    </row>
    <row r="1258" spans="1:11" x14ac:dyDescent="0.25">
      <c r="A1258" t="s">
        <v>5</v>
      </c>
      <c r="B1258" t="str">
        <f>"71261"</f>
        <v>71261</v>
      </c>
      <c r="C1258" t="str">
        <f>"002"</f>
        <v>002</v>
      </c>
      <c r="D1258">
        <v>2002</v>
      </c>
      <c r="E1258">
        <v>5003800</v>
      </c>
      <c r="F1258">
        <v>4394500</v>
      </c>
      <c r="G1258" t="s">
        <v>11</v>
      </c>
      <c r="H1258" t="s">
        <v>38</v>
      </c>
      <c r="I1258" t="s">
        <v>13</v>
      </c>
      <c r="J1258" t="s">
        <v>13</v>
      </c>
    </row>
    <row r="1259" spans="1:11" x14ac:dyDescent="0.25">
      <c r="A1259" t="s">
        <v>5</v>
      </c>
      <c r="B1259" t="str">
        <f>"71261"</f>
        <v>71261</v>
      </c>
      <c r="C1259" t="str">
        <f>"003"</f>
        <v>003</v>
      </c>
      <c r="D1259">
        <v>2012</v>
      </c>
      <c r="E1259">
        <v>21374200</v>
      </c>
      <c r="F1259">
        <v>3557900</v>
      </c>
      <c r="G1259" t="s">
        <v>11</v>
      </c>
      <c r="H1259" t="s">
        <v>38</v>
      </c>
      <c r="I1259" t="s">
        <v>13</v>
      </c>
      <c r="J1259" t="s">
        <v>13</v>
      </c>
    </row>
    <row r="1260" spans="1:11" x14ac:dyDescent="0.25">
      <c r="A1260" t="s">
        <v>39</v>
      </c>
      <c r="B1260" t="s">
        <v>13</v>
      </c>
      <c r="C1260" t="s">
        <v>7</v>
      </c>
      <c r="D1260" t="s">
        <v>8</v>
      </c>
      <c r="E1260">
        <v>43751500</v>
      </c>
      <c r="F1260">
        <v>14802300</v>
      </c>
      <c r="G1260" t="s">
        <v>11</v>
      </c>
      <c r="H1260">
        <v>110758300</v>
      </c>
      <c r="I1260" t="s">
        <v>13</v>
      </c>
      <c r="J1260" t="s">
        <v>13</v>
      </c>
      <c r="K1260">
        <v>13.36</v>
      </c>
    </row>
    <row r="1262" spans="1:11" x14ac:dyDescent="0.25">
      <c r="A1262" t="s">
        <v>290</v>
      </c>
      <c r="B1262" t="str">
        <f>"09161"</f>
        <v>09161</v>
      </c>
      <c r="C1262" t="str">
        <f>"001"</f>
        <v>001</v>
      </c>
      <c r="D1262">
        <v>2008</v>
      </c>
      <c r="E1262">
        <v>10777600</v>
      </c>
      <c r="F1262">
        <v>10493900</v>
      </c>
      <c r="G1262" t="s">
        <v>11</v>
      </c>
      <c r="H1262" t="s">
        <v>38</v>
      </c>
      <c r="I1262" t="s">
        <v>13</v>
      </c>
      <c r="J1262" t="s">
        <v>13</v>
      </c>
    </row>
    <row r="1263" spans="1:11" x14ac:dyDescent="0.25">
      <c r="A1263" t="s">
        <v>39</v>
      </c>
      <c r="B1263" t="s">
        <v>13</v>
      </c>
      <c r="C1263" t="s">
        <v>7</v>
      </c>
      <c r="D1263" t="s">
        <v>8</v>
      </c>
      <c r="E1263">
        <v>10777600</v>
      </c>
      <c r="F1263">
        <v>10493900</v>
      </c>
      <c r="G1263" t="s">
        <v>11</v>
      </c>
      <c r="H1263">
        <v>47403800</v>
      </c>
      <c r="I1263" t="s">
        <v>13</v>
      </c>
      <c r="J1263" t="s">
        <v>13</v>
      </c>
      <c r="K1263">
        <v>22.14</v>
      </c>
    </row>
    <row r="1265" spans="1:11" x14ac:dyDescent="0.25">
      <c r="A1265" t="s">
        <v>291</v>
      </c>
      <c r="B1265" t="str">
        <f>"01020"</f>
        <v>01020</v>
      </c>
      <c r="C1265" t="str">
        <f>"001T"</f>
        <v>001T</v>
      </c>
      <c r="D1265">
        <v>2012</v>
      </c>
      <c r="E1265">
        <v>13341600</v>
      </c>
      <c r="F1265">
        <v>8370000</v>
      </c>
      <c r="G1265" t="s">
        <v>11</v>
      </c>
      <c r="H1265" t="s">
        <v>38</v>
      </c>
      <c r="I1265" t="s">
        <v>13</v>
      </c>
      <c r="J1265" t="s">
        <v>13</v>
      </c>
    </row>
    <row r="1266" spans="1:11" x14ac:dyDescent="0.25">
      <c r="A1266" t="s">
        <v>39</v>
      </c>
      <c r="B1266" t="s">
        <v>13</v>
      </c>
      <c r="C1266" t="s">
        <v>7</v>
      </c>
      <c r="D1266" t="s">
        <v>8</v>
      </c>
      <c r="E1266">
        <v>13341600</v>
      </c>
      <c r="F1266">
        <v>8370000</v>
      </c>
      <c r="G1266" t="s">
        <v>11</v>
      </c>
      <c r="H1266">
        <v>93223500</v>
      </c>
      <c r="I1266">
        <v>8.98</v>
      </c>
      <c r="J1266">
        <v>14.31</v>
      </c>
    </row>
    <row r="1268" spans="1:11" x14ac:dyDescent="0.25">
      <c r="A1268" t="s">
        <v>292</v>
      </c>
      <c r="B1268" t="str">
        <f>"23161"</f>
        <v>23161</v>
      </c>
      <c r="C1268" t="str">
        <f>"003"</f>
        <v>003</v>
      </c>
      <c r="D1268">
        <v>2006</v>
      </c>
      <c r="E1268">
        <v>13268700</v>
      </c>
      <c r="F1268">
        <v>13249400</v>
      </c>
      <c r="G1268" t="s">
        <v>11</v>
      </c>
      <c r="H1268" t="s">
        <v>38</v>
      </c>
      <c r="I1268" t="s">
        <v>13</v>
      </c>
      <c r="J1268" t="s">
        <v>13</v>
      </c>
    </row>
    <row r="1269" spans="1:11" x14ac:dyDescent="0.25">
      <c r="A1269" t="s">
        <v>5</v>
      </c>
      <c r="B1269" t="str">
        <f>"23161"</f>
        <v>23161</v>
      </c>
      <c r="C1269" t="str">
        <f>"004"</f>
        <v>004</v>
      </c>
      <c r="D1269">
        <v>2015</v>
      </c>
      <c r="E1269">
        <v>17291200</v>
      </c>
      <c r="F1269">
        <v>2648600</v>
      </c>
      <c r="G1269" t="s">
        <v>11</v>
      </c>
      <c r="H1269" t="s">
        <v>38</v>
      </c>
      <c r="I1269" t="s">
        <v>13</v>
      </c>
      <c r="J1269" t="s">
        <v>13</v>
      </c>
    </row>
    <row r="1270" spans="1:11" x14ac:dyDescent="0.25">
      <c r="A1270" t="s">
        <v>39</v>
      </c>
      <c r="B1270" t="s">
        <v>13</v>
      </c>
      <c r="C1270" t="s">
        <v>7</v>
      </c>
      <c r="D1270" t="s">
        <v>8</v>
      </c>
      <c r="E1270">
        <v>30559900</v>
      </c>
      <c r="F1270">
        <v>15898000</v>
      </c>
      <c r="G1270" t="s">
        <v>11</v>
      </c>
      <c r="H1270">
        <v>197803900</v>
      </c>
      <c r="I1270" t="s">
        <v>13</v>
      </c>
      <c r="J1270" t="s">
        <v>13</v>
      </c>
      <c r="K1270">
        <v>8.0399999999999991</v>
      </c>
    </row>
    <row r="1272" spans="1:11" x14ac:dyDescent="0.25">
      <c r="A1272" t="s">
        <v>293</v>
      </c>
      <c r="B1272" t="str">
        <f>"08261"</f>
        <v>08261</v>
      </c>
      <c r="C1272" t="str">
        <f>"001"</f>
        <v>001</v>
      </c>
      <c r="D1272">
        <v>1994</v>
      </c>
      <c r="E1272">
        <v>13844300</v>
      </c>
      <c r="F1272">
        <v>10513000</v>
      </c>
      <c r="G1272" t="s">
        <v>11</v>
      </c>
      <c r="H1272" t="s">
        <v>38</v>
      </c>
      <c r="I1272" t="s">
        <v>13</v>
      </c>
      <c r="J1272" t="s">
        <v>13</v>
      </c>
    </row>
    <row r="1273" spans="1:11" x14ac:dyDescent="0.25">
      <c r="A1273" t="s">
        <v>5</v>
      </c>
      <c r="B1273" t="str">
        <f>"08261"</f>
        <v>08261</v>
      </c>
      <c r="C1273" t="str">
        <f>"003"</f>
        <v>003</v>
      </c>
      <c r="D1273">
        <v>2007</v>
      </c>
      <c r="E1273">
        <v>270400</v>
      </c>
      <c r="F1273">
        <v>-2687900</v>
      </c>
      <c r="G1273" t="s">
        <v>43</v>
      </c>
      <c r="H1273" t="s">
        <v>38</v>
      </c>
      <c r="I1273" t="s">
        <v>13</v>
      </c>
      <c r="J1273" t="s">
        <v>13</v>
      </c>
    </row>
    <row r="1274" spans="1:11" x14ac:dyDescent="0.25">
      <c r="A1274" t="s">
        <v>39</v>
      </c>
      <c r="B1274" t="s">
        <v>13</v>
      </c>
      <c r="C1274" t="s">
        <v>7</v>
      </c>
      <c r="D1274" t="s">
        <v>8</v>
      </c>
      <c r="E1274">
        <v>14114700</v>
      </c>
      <c r="F1274">
        <v>10513000</v>
      </c>
      <c r="G1274" t="s">
        <v>11</v>
      </c>
      <c r="H1274">
        <v>179197700</v>
      </c>
      <c r="I1274" t="s">
        <v>13</v>
      </c>
      <c r="J1274" t="s">
        <v>13</v>
      </c>
      <c r="K1274">
        <v>5.87</v>
      </c>
    </row>
    <row r="1276" spans="1:11" x14ac:dyDescent="0.25">
      <c r="A1276" t="s">
        <v>294</v>
      </c>
      <c r="B1276" t="str">
        <f>"29261"</f>
        <v>29261</v>
      </c>
      <c r="C1276" t="str">
        <f>"009"</f>
        <v>009</v>
      </c>
      <c r="D1276">
        <v>1991</v>
      </c>
      <c r="E1276">
        <v>363900</v>
      </c>
      <c r="F1276">
        <v>355600</v>
      </c>
      <c r="G1276" t="s">
        <v>11</v>
      </c>
      <c r="H1276" t="s">
        <v>38</v>
      </c>
      <c r="I1276" t="s">
        <v>13</v>
      </c>
      <c r="J1276" t="s">
        <v>13</v>
      </c>
    </row>
    <row r="1277" spans="1:11" x14ac:dyDescent="0.25">
      <c r="A1277" t="s">
        <v>5</v>
      </c>
      <c r="B1277" t="str">
        <f>"29261"</f>
        <v>29261</v>
      </c>
      <c r="C1277" t="str">
        <f>"010"</f>
        <v>010</v>
      </c>
      <c r="D1277">
        <v>1991</v>
      </c>
      <c r="E1277">
        <v>269200</v>
      </c>
      <c r="F1277">
        <v>259300</v>
      </c>
      <c r="G1277" t="s">
        <v>11</v>
      </c>
      <c r="H1277" t="s">
        <v>38</v>
      </c>
      <c r="I1277" t="s">
        <v>13</v>
      </c>
      <c r="J1277" t="s">
        <v>13</v>
      </c>
    </row>
    <row r="1278" spans="1:11" x14ac:dyDescent="0.25">
      <c r="A1278" t="s">
        <v>5</v>
      </c>
      <c r="B1278" t="str">
        <f>"29261"</f>
        <v>29261</v>
      </c>
      <c r="C1278" t="str">
        <f>"011"</f>
        <v>011</v>
      </c>
      <c r="D1278">
        <v>1997</v>
      </c>
      <c r="E1278">
        <v>12534600</v>
      </c>
      <c r="F1278">
        <v>12355100</v>
      </c>
      <c r="G1278" t="s">
        <v>11</v>
      </c>
      <c r="H1278" t="s">
        <v>38</v>
      </c>
      <c r="I1278" t="s">
        <v>13</v>
      </c>
      <c r="J1278" t="s">
        <v>13</v>
      </c>
    </row>
    <row r="1279" spans="1:11" x14ac:dyDescent="0.25">
      <c r="A1279" t="s">
        <v>5</v>
      </c>
      <c r="B1279" t="str">
        <f>"29261"</f>
        <v>29261</v>
      </c>
      <c r="C1279" t="str">
        <f>"012"</f>
        <v>012</v>
      </c>
      <c r="D1279">
        <v>2010</v>
      </c>
      <c r="E1279">
        <v>3433100</v>
      </c>
      <c r="F1279">
        <v>2292300</v>
      </c>
      <c r="G1279" t="s">
        <v>11</v>
      </c>
      <c r="H1279" t="s">
        <v>38</v>
      </c>
      <c r="I1279" t="s">
        <v>13</v>
      </c>
      <c r="J1279" t="s">
        <v>13</v>
      </c>
    </row>
    <row r="1280" spans="1:11" x14ac:dyDescent="0.25">
      <c r="A1280" t="s">
        <v>5</v>
      </c>
      <c r="B1280" t="str">
        <f>"29261"</f>
        <v>29261</v>
      </c>
      <c r="C1280" t="str">
        <f>"013"</f>
        <v>013</v>
      </c>
      <c r="D1280">
        <v>2010</v>
      </c>
      <c r="E1280">
        <v>180300</v>
      </c>
      <c r="F1280">
        <v>23100</v>
      </c>
      <c r="G1280" t="s">
        <v>11</v>
      </c>
      <c r="H1280" t="s">
        <v>38</v>
      </c>
      <c r="I1280" t="s">
        <v>13</v>
      </c>
      <c r="J1280" t="s">
        <v>13</v>
      </c>
    </row>
    <row r="1281" spans="1:11" x14ac:dyDescent="0.25">
      <c r="A1281" t="s">
        <v>39</v>
      </c>
      <c r="B1281" t="s">
        <v>13</v>
      </c>
      <c r="C1281" t="s">
        <v>7</v>
      </c>
      <c r="D1281" t="s">
        <v>8</v>
      </c>
      <c r="E1281">
        <v>16781100</v>
      </c>
      <c r="F1281">
        <v>15285400</v>
      </c>
      <c r="G1281" t="s">
        <v>11</v>
      </c>
      <c r="H1281">
        <v>80197700</v>
      </c>
      <c r="I1281" t="s">
        <v>13</v>
      </c>
      <c r="J1281" t="s">
        <v>13</v>
      </c>
      <c r="K1281">
        <v>19.059999999999999</v>
      </c>
    </row>
    <row r="1283" spans="1:11" x14ac:dyDescent="0.25">
      <c r="A1283" t="s">
        <v>295</v>
      </c>
      <c r="B1283" t="str">
        <f t="shared" ref="B1283:B1288" si="23">"55261"</f>
        <v>55261</v>
      </c>
      <c r="C1283" t="str">
        <f>"005"</f>
        <v>005</v>
      </c>
      <c r="D1283">
        <v>1987</v>
      </c>
      <c r="E1283">
        <v>20484800</v>
      </c>
      <c r="F1283">
        <v>20406900</v>
      </c>
      <c r="G1283" t="s">
        <v>11</v>
      </c>
      <c r="H1283" t="s">
        <v>38</v>
      </c>
      <c r="I1283" t="s">
        <v>13</v>
      </c>
      <c r="J1283" t="s">
        <v>13</v>
      </c>
    </row>
    <row r="1284" spans="1:11" x14ac:dyDescent="0.25">
      <c r="A1284" t="s">
        <v>5</v>
      </c>
      <c r="B1284" t="str">
        <f t="shared" si="23"/>
        <v>55261</v>
      </c>
      <c r="C1284" t="str">
        <f>"006"</f>
        <v>006</v>
      </c>
      <c r="D1284">
        <v>1995</v>
      </c>
      <c r="E1284">
        <v>21017300</v>
      </c>
      <c r="F1284">
        <v>20788800</v>
      </c>
      <c r="G1284" t="s">
        <v>11</v>
      </c>
      <c r="H1284" t="s">
        <v>38</v>
      </c>
      <c r="I1284" t="s">
        <v>13</v>
      </c>
      <c r="J1284" t="s">
        <v>13</v>
      </c>
    </row>
    <row r="1285" spans="1:11" x14ac:dyDescent="0.25">
      <c r="A1285" t="s">
        <v>5</v>
      </c>
      <c r="B1285" t="str">
        <f t="shared" si="23"/>
        <v>55261</v>
      </c>
      <c r="C1285" t="str">
        <f>"007"</f>
        <v>007</v>
      </c>
      <c r="D1285">
        <v>2003</v>
      </c>
      <c r="E1285">
        <v>6592300</v>
      </c>
      <c r="F1285">
        <v>4034500</v>
      </c>
      <c r="G1285" t="s">
        <v>11</v>
      </c>
      <c r="H1285" t="s">
        <v>38</v>
      </c>
      <c r="I1285" t="s">
        <v>13</v>
      </c>
      <c r="J1285" t="s">
        <v>13</v>
      </c>
    </row>
    <row r="1286" spans="1:11" x14ac:dyDescent="0.25">
      <c r="A1286" t="s">
        <v>5</v>
      </c>
      <c r="B1286" t="str">
        <f t="shared" si="23"/>
        <v>55261</v>
      </c>
      <c r="C1286" t="str">
        <f>"008"</f>
        <v>008</v>
      </c>
      <c r="D1286">
        <v>2005</v>
      </c>
      <c r="E1286">
        <v>24479600</v>
      </c>
      <c r="F1286">
        <v>8748300</v>
      </c>
      <c r="G1286" t="s">
        <v>11</v>
      </c>
      <c r="H1286" t="s">
        <v>38</v>
      </c>
      <c r="I1286" t="s">
        <v>13</v>
      </c>
      <c r="J1286" t="s">
        <v>13</v>
      </c>
    </row>
    <row r="1287" spans="1:11" x14ac:dyDescent="0.25">
      <c r="A1287" t="s">
        <v>5</v>
      </c>
      <c r="B1287" t="str">
        <f t="shared" si="23"/>
        <v>55261</v>
      </c>
      <c r="C1287" t="str">
        <f>"009"</f>
        <v>009</v>
      </c>
      <c r="D1287">
        <v>2008</v>
      </c>
      <c r="E1287">
        <v>8823300</v>
      </c>
      <c r="F1287">
        <v>2347200</v>
      </c>
      <c r="G1287" t="s">
        <v>11</v>
      </c>
      <c r="H1287" t="s">
        <v>38</v>
      </c>
      <c r="I1287" t="s">
        <v>13</v>
      </c>
      <c r="J1287" t="s">
        <v>13</v>
      </c>
    </row>
    <row r="1288" spans="1:11" x14ac:dyDescent="0.25">
      <c r="A1288" t="s">
        <v>5</v>
      </c>
      <c r="B1288" t="str">
        <f t="shared" si="23"/>
        <v>55261</v>
      </c>
      <c r="C1288" t="str">
        <f>"010"</f>
        <v>010</v>
      </c>
      <c r="D1288">
        <v>2014</v>
      </c>
      <c r="E1288">
        <v>7582400</v>
      </c>
      <c r="F1288">
        <v>3728600</v>
      </c>
      <c r="G1288" t="s">
        <v>11</v>
      </c>
      <c r="H1288" t="s">
        <v>38</v>
      </c>
      <c r="I1288" t="s">
        <v>13</v>
      </c>
      <c r="J1288" t="s">
        <v>13</v>
      </c>
    </row>
    <row r="1289" spans="1:11" x14ac:dyDescent="0.25">
      <c r="A1289" t="s">
        <v>39</v>
      </c>
      <c r="B1289" t="s">
        <v>13</v>
      </c>
      <c r="C1289" t="s">
        <v>7</v>
      </c>
      <c r="D1289" t="s">
        <v>8</v>
      </c>
      <c r="E1289">
        <v>88979700</v>
      </c>
      <c r="F1289">
        <v>60054300</v>
      </c>
      <c r="G1289" t="s">
        <v>11</v>
      </c>
      <c r="H1289">
        <v>768451500</v>
      </c>
      <c r="I1289" t="s">
        <v>13</v>
      </c>
      <c r="J1289" t="s">
        <v>13</v>
      </c>
      <c r="K1289">
        <v>7.81</v>
      </c>
    </row>
    <row r="1291" spans="1:11" x14ac:dyDescent="0.25">
      <c r="A1291" t="s">
        <v>296</v>
      </c>
      <c r="B1291" t="str">
        <f>"38261"</f>
        <v>38261</v>
      </c>
      <c r="C1291" t="str">
        <f>"001"</f>
        <v>001</v>
      </c>
      <c r="D1291">
        <v>1995</v>
      </c>
      <c r="E1291">
        <v>773800</v>
      </c>
      <c r="F1291">
        <v>773800</v>
      </c>
      <c r="G1291" t="s">
        <v>11</v>
      </c>
      <c r="H1291" t="s">
        <v>38</v>
      </c>
      <c r="I1291" t="s">
        <v>13</v>
      </c>
      <c r="J1291" t="s">
        <v>13</v>
      </c>
    </row>
    <row r="1292" spans="1:11" x14ac:dyDescent="0.25">
      <c r="A1292" t="s">
        <v>5</v>
      </c>
      <c r="B1292" t="str">
        <f>"38261"</f>
        <v>38261</v>
      </c>
      <c r="C1292" t="str">
        <f>"002"</f>
        <v>002</v>
      </c>
      <c r="D1292">
        <v>1998</v>
      </c>
      <c r="E1292">
        <v>1750600</v>
      </c>
      <c r="F1292">
        <v>1722100</v>
      </c>
      <c r="G1292" t="s">
        <v>11</v>
      </c>
      <c r="H1292" t="s">
        <v>38</v>
      </c>
      <c r="I1292" t="s">
        <v>13</v>
      </c>
      <c r="J1292" t="s">
        <v>13</v>
      </c>
    </row>
    <row r="1293" spans="1:11" x14ac:dyDescent="0.25">
      <c r="A1293" t="s">
        <v>39</v>
      </c>
      <c r="B1293" t="s">
        <v>13</v>
      </c>
      <c r="C1293" t="s">
        <v>7</v>
      </c>
      <c r="D1293" t="s">
        <v>8</v>
      </c>
      <c r="E1293">
        <v>2524400</v>
      </c>
      <c r="F1293">
        <v>2495900</v>
      </c>
      <c r="G1293" t="s">
        <v>11</v>
      </c>
      <c r="H1293">
        <v>69461500</v>
      </c>
      <c r="I1293" t="s">
        <v>13</v>
      </c>
      <c r="J1293" t="s">
        <v>13</v>
      </c>
      <c r="K1293">
        <v>3.59</v>
      </c>
    </row>
    <row r="1295" spans="1:11" x14ac:dyDescent="0.25">
      <c r="A1295" t="s">
        <v>297</v>
      </c>
      <c r="B1295" t="str">
        <f>"20161"</f>
        <v>20161</v>
      </c>
      <c r="C1295" t="str">
        <f>"001"</f>
        <v>001</v>
      </c>
      <c r="D1295">
        <v>1999</v>
      </c>
      <c r="E1295">
        <v>24420200</v>
      </c>
      <c r="F1295">
        <v>24219700</v>
      </c>
      <c r="G1295" t="s">
        <v>11</v>
      </c>
      <c r="H1295" t="s">
        <v>38</v>
      </c>
      <c r="I1295" t="s">
        <v>13</v>
      </c>
      <c r="J1295" t="s">
        <v>13</v>
      </c>
    </row>
    <row r="1296" spans="1:11" x14ac:dyDescent="0.25">
      <c r="A1296" t="s">
        <v>5</v>
      </c>
      <c r="B1296" t="str">
        <f>"20161"</f>
        <v>20161</v>
      </c>
      <c r="C1296" t="str">
        <f>"002"</f>
        <v>002</v>
      </c>
      <c r="D1296">
        <v>2008</v>
      </c>
      <c r="E1296">
        <v>3735300</v>
      </c>
      <c r="F1296">
        <v>-439800</v>
      </c>
      <c r="G1296" t="s">
        <v>43</v>
      </c>
      <c r="H1296" t="s">
        <v>38</v>
      </c>
      <c r="I1296" t="s">
        <v>13</v>
      </c>
      <c r="J1296" t="s">
        <v>13</v>
      </c>
    </row>
    <row r="1297" spans="1:11" x14ac:dyDescent="0.25">
      <c r="A1297" t="s">
        <v>39</v>
      </c>
      <c r="B1297" t="s">
        <v>13</v>
      </c>
      <c r="C1297" t="s">
        <v>7</v>
      </c>
      <c r="D1297" t="s">
        <v>8</v>
      </c>
      <c r="E1297">
        <v>28155500</v>
      </c>
      <c r="F1297">
        <v>24219700</v>
      </c>
      <c r="G1297" t="s">
        <v>11</v>
      </c>
      <c r="H1297">
        <v>200262500</v>
      </c>
      <c r="I1297" t="s">
        <v>13</v>
      </c>
      <c r="J1297" t="s">
        <v>13</v>
      </c>
      <c r="K1297">
        <v>12.09</v>
      </c>
    </row>
    <row r="1299" spans="1:11" x14ac:dyDescent="0.25">
      <c r="A1299" t="s">
        <v>298</v>
      </c>
      <c r="B1299" t="str">
        <f>"56161"</f>
        <v>56161</v>
      </c>
      <c r="C1299" t="str">
        <f>"001"</f>
        <v>001</v>
      </c>
      <c r="D1299">
        <v>1997</v>
      </c>
      <c r="E1299">
        <v>5922800</v>
      </c>
      <c r="F1299">
        <v>2895000</v>
      </c>
      <c r="G1299" t="s">
        <v>11</v>
      </c>
      <c r="H1299" t="s">
        <v>38</v>
      </c>
      <c r="I1299" t="s">
        <v>13</v>
      </c>
      <c r="J1299" t="s">
        <v>13</v>
      </c>
    </row>
    <row r="1300" spans="1:11" x14ac:dyDescent="0.25">
      <c r="A1300" t="s">
        <v>39</v>
      </c>
      <c r="B1300" t="s">
        <v>13</v>
      </c>
      <c r="C1300" t="s">
        <v>7</v>
      </c>
      <c r="D1300" t="s">
        <v>8</v>
      </c>
      <c r="E1300">
        <v>5922800</v>
      </c>
      <c r="F1300">
        <v>2895000</v>
      </c>
      <c r="G1300" t="s">
        <v>11</v>
      </c>
      <c r="H1300">
        <v>27639200</v>
      </c>
      <c r="I1300" t="s">
        <v>13</v>
      </c>
      <c r="J1300" t="s">
        <v>13</v>
      </c>
      <c r="K1300">
        <v>10.47</v>
      </c>
    </row>
    <row r="1302" spans="1:11" x14ac:dyDescent="0.25">
      <c r="A1302" t="s">
        <v>299</v>
      </c>
      <c r="B1302" t="str">
        <f t="shared" ref="B1302:B1308" si="24">"40265"</f>
        <v>40265</v>
      </c>
      <c r="C1302" t="str">
        <f>"006"</f>
        <v>006</v>
      </c>
      <c r="D1302">
        <v>2001</v>
      </c>
      <c r="E1302">
        <v>16752900</v>
      </c>
      <c r="F1302">
        <v>15375700</v>
      </c>
      <c r="G1302" t="s">
        <v>11</v>
      </c>
      <c r="H1302" t="s">
        <v>38</v>
      </c>
      <c r="I1302" t="s">
        <v>13</v>
      </c>
      <c r="J1302" t="s">
        <v>13</v>
      </c>
    </row>
    <row r="1303" spans="1:11" x14ac:dyDescent="0.25">
      <c r="A1303" t="s">
        <v>5</v>
      </c>
      <c r="B1303" t="str">
        <f t="shared" si="24"/>
        <v>40265</v>
      </c>
      <c r="C1303" t="str">
        <f>"007"</f>
        <v>007</v>
      </c>
      <c r="D1303">
        <v>2007</v>
      </c>
      <c r="E1303">
        <v>182849300</v>
      </c>
      <c r="F1303">
        <v>17796200</v>
      </c>
      <c r="G1303" t="s">
        <v>11</v>
      </c>
      <c r="H1303" t="s">
        <v>38</v>
      </c>
      <c r="I1303" t="s">
        <v>13</v>
      </c>
      <c r="J1303" t="s">
        <v>13</v>
      </c>
    </row>
    <row r="1304" spans="1:11" x14ac:dyDescent="0.25">
      <c r="A1304" t="s">
        <v>5</v>
      </c>
      <c r="B1304" t="str">
        <f t="shared" si="24"/>
        <v>40265</v>
      </c>
      <c r="C1304" t="str">
        <f>"008"</f>
        <v>008</v>
      </c>
      <c r="D1304">
        <v>2009</v>
      </c>
      <c r="E1304">
        <v>65834800</v>
      </c>
      <c r="F1304">
        <v>42778200</v>
      </c>
      <c r="G1304" t="s">
        <v>11</v>
      </c>
      <c r="H1304" t="s">
        <v>38</v>
      </c>
      <c r="I1304" t="s">
        <v>13</v>
      </c>
      <c r="J1304" t="s">
        <v>13</v>
      </c>
    </row>
    <row r="1305" spans="1:11" x14ac:dyDescent="0.25">
      <c r="A1305" t="s">
        <v>5</v>
      </c>
      <c r="B1305" t="str">
        <f t="shared" si="24"/>
        <v>40265</v>
      </c>
      <c r="C1305" t="str">
        <f>"010"</f>
        <v>010</v>
      </c>
      <c r="D1305">
        <v>2010</v>
      </c>
      <c r="E1305">
        <v>35363900</v>
      </c>
      <c r="F1305">
        <v>16140200</v>
      </c>
      <c r="G1305" t="s">
        <v>11</v>
      </c>
      <c r="H1305" t="s">
        <v>38</v>
      </c>
      <c r="I1305" t="s">
        <v>13</v>
      </c>
      <c r="J1305" t="s">
        <v>13</v>
      </c>
    </row>
    <row r="1306" spans="1:11" x14ac:dyDescent="0.25">
      <c r="A1306" t="s">
        <v>5</v>
      </c>
      <c r="B1306" t="str">
        <f t="shared" si="24"/>
        <v>40265</v>
      </c>
      <c r="C1306" t="str">
        <f>"011"</f>
        <v>011</v>
      </c>
      <c r="D1306">
        <v>2012</v>
      </c>
      <c r="E1306">
        <v>110475700</v>
      </c>
      <c r="F1306">
        <v>97613800</v>
      </c>
      <c r="G1306" t="s">
        <v>11</v>
      </c>
      <c r="H1306" t="s">
        <v>38</v>
      </c>
      <c r="I1306" t="s">
        <v>13</v>
      </c>
      <c r="J1306" t="s">
        <v>13</v>
      </c>
    </row>
    <row r="1307" spans="1:11" x14ac:dyDescent="0.25">
      <c r="A1307" t="s">
        <v>5</v>
      </c>
      <c r="B1307" t="str">
        <f t="shared" si="24"/>
        <v>40265</v>
      </c>
      <c r="C1307" t="str">
        <f>"012"</f>
        <v>012</v>
      </c>
      <c r="D1307">
        <v>2016</v>
      </c>
      <c r="E1307">
        <v>18662400</v>
      </c>
      <c r="F1307">
        <v>18651700</v>
      </c>
      <c r="G1307" t="s">
        <v>11</v>
      </c>
      <c r="H1307" t="s">
        <v>38</v>
      </c>
      <c r="I1307" t="s">
        <v>13</v>
      </c>
      <c r="J1307" t="s">
        <v>13</v>
      </c>
    </row>
    <row r="1308" spans="1:11" x14ac:dyDescent="0.25">
      <c r="A1308" t="s">
        <v>5</v>
      </c>
      <c r="B1308" t="str">
        <f t="shared" si="24"/>
        <v>40265</v>
      </c>
      <c r="C1308" t="str">
        <f>"013"</f>
        <v>013</v>
      </c>
      <c r="D1308">
        <v>2017</v>
      </c>
      <c r="E1308">
        <v>4769400</v>
      </c>
      <c r="F1308">
        <v>65900</v>
      </c>
      <c r="G1308" t="s">
        <v>11</v>
      </c>
      <c r="H1308" t="s">
        <v>38</v>
      </c>
      <c r="I1308" t="s">
        <v>13</v>
      </c>
      <c r="J1308" t="s">
        <v>13</v>
      </c>
    </row>
    <row r="1309" spans="1:11" x14ac:dyDescent="0.25">
      <c r="A1309" t="s">
        <v>39</v>
      </c>
      <c r="B1309" t="s">
        <v>13</v>
      </c>
      <c r="C1309" t="s">
        <v>7</v>
      </c>
      <c r="D1309" t="s">
        <v>8</v>
      </c>
      <c r="E1309">
        <v>434708400</v>
      </c>
      <c r="F1309">
        <v>208421700</v>
      </c>
      <c r="G1309" t="s">
        <v>11</v>
      </c>
      <c r="H1309">
        <v>3492653000</v>
      </c>
      <c r="I1309" t="s">
        <v>13</v>
      </c>
      <c r="J1309" t="s">
        <v>13</v>
      </c>
      <c r="K1309">
        <v>5.97</v>
      </c>
    </row>
    <row r="1311" spans="1:11" x14ac:dyDescent="0.25">
      <c r="A1311" t="s">
        <v>300</v>
      </c>
      <c r="B1311" t="str">
        <f>"20165"</f>
        <v>20165</v>
      </c>
      <c r="C1311" t="str">
        <f>"001"</f>
        <v>001</v>
      </c>
      <c r="D1311">
        <v>1995</v>
      </c>
      <c r="E1311">
        <v>9888400</v>
      </c>
      <c r="F1311">
        <v>8180900</v>
      </c>
      <c r="G1311" t="s">
        <v>11</v>
      </c>
      <c r="H1311" t="s">
        <v>38</v>
      </c>
      <c r="I1311" t="s">
        <v>13</v>
      </c>
      <c r="J1311" t="s">
        <v>13</v>
      </c>
    </row>
    <row r="1312" spans="1:11" x14ac:dyDescent="0.25">
      <c r="A1312" t="s">
        <v>5</v>
      </c>
      <c r="B1312" t="str">
        <f>"20165"</f>
        <v>20165</v>
      </c>
      <c r="C1312" t="str">
        <f>"002"</f>
        <v>002</v>
      </c>
      <c r="D1312">
        <v>1997</v>
      </c>
      <c r="E1312">
        <v>3344800</v>
      </c>
      <c r="F1312">
        <v>2456600</v>
      </c>
      <c r="G1312" t="s">
        <v>11</v>
      </c>
      <c r="H1312" t="s">
        <v>38</v>
      </c>
      <c r="I1312" t="s">
        <v>13</v>
      </c>
      <c r="J1312" t="s">
        <v>13</v>
      </c>
    </row>
    <row r="1313" spans="1:11" x14ac:dyDescent="0.25">
      <c r="A1313" t="s">
        <v>39</v>
      </c>
      <c r="B1313" t="s">
        <v>13</v>
      </c>
      <c r="C1313" t="s">
        <v>7</v>
      </c>
      <c r="D1313" t="s">
        <v>8</v>
      </c>
      <c r="E1313">
        <v>13233200</v>
      </c>
      <c r="F1313">
        <v>10637500</v>
      </c>
      <c r="G1313" t="s">
        <v>11</v>
      </c>
      <c r="H1313">
        <v>60968500</v>
      </c>
      <c r="I1313" t="s">
        <v>13</v>
      </c>
      <c r="J1313" t="s">
        <v>13</v>
      </c>
      <c r="K1313">
        <v>17.45</v>
      </c>
    </row>
    <row r="1315" spans="1:11" x14ac:dyDescent="0.25">
      <c r="A1315" t="s">
        <v>301</v>
      </c>
      <c r="B1315" t="str">
        <f>"67265"</f>
        <v>67265</v>
      </c>
      <c r="C1315" t="str">
        <f>"004"</f>
        <v>004</v>
      </c>
      <c r="D1315">
        <v>2003</v>
      </c>
      <c r="E1315">
        <v>80280100</v>
      </c>
      <c r="F1315">
        <v>29855700</v>
      </c>
      <c r="G1315" t="s">
        <v>11</v>
      </c>
      <c r="H1315" t="s">
        <v>38</v>
      </c>
      <c r="I1315" t="s">
        <v>13</v>
      </c>
      <c r="J1315" t="s">
        <v>13</v>
      </c>
    </row>
    <row r="1316" spans="1:11" x14ac:dyDescent="0.25">
      <c r="A1316" t="s">
        <v>5</v>
      </c>
      <c r="B1316" t="str">
        <f>"67265"</f>
        <v>67265</v>
      </c>
      <c r="C1316" t="str">
        <f>"005"</f>
        <v>005</v>
      </c>
      <c r="D1316">
        <v>2017</v>
      </c>
      <c r="E1316">
        <v>13097200</v>
      </c>
      <c r="F1316">
        <v>7077500</v>
      </c>
      <c r="G1316" t="s">
        <v>11</v>
      </c>
      <c r="H1316" t="s">
        <v>38</v>
      </c>
      <c r="I1316" t="s">
        <v>13</v>
      </c>
      <c r="J1316" t="s">
        <v>13</v>
      </c>
    </row>
    <row r="1317" spans="1:11" x14ac:dyDescent="0.25">
      <c r="A1317" t="s">
        <v>5</v>
      </c>
      <c r="B1317" t="str">
        <f>"67265"</f>
        <v>67265</v>
      </c>
      <c r="C1317" t="str">
        <f>"006"</f>
        <v>006</v>
      </c>
      <c r="D1317">
        <v>2017</v>
      </c>
      <c r="E1317">
        <v>3099400</v>
      </c>
      <c r="F1317">
        <v>1297600</v>
      </c>
      <c r="G1317" t="s">
        <v>11</v>
      </c>
      <c r="H1317" t="s">
        <v>38</v>
      </c>
      <c r="I1317" t="s">
        <v>13</v>
      </c>
      <c r="J1317" t="s">
        <v>13</v>
      </c>
    </row>
    <row r="1318" spans="1:11" x14ac:dyDescent="0.25">
      <c r="A1318" t="s">
        <v>39</v>
      </c>
      <c r="B1318" t="s">
        <v>13</v>
      </c>
      <c r="C1318" t="s">
        <v>7</v>
      </c>
      <c r="D1318" t="s">
        <v>8</v>
      </c>
      <c r="E1318">
        <v>96476700</v>
      </c>
      <c r="F1318">
        <v>38230800</v>
      </c>
      <c r="G1318" t="s">
        <v>11</v>
      </c>
      <c r="H1318">
        <v>2238627100</v>
      </c>
      <c r="I1318" t="s">
        <v>13</v>
      </c>
      <c r="J1318" t="s">
        <v>13</v>
      </c>
      <c r="K1318">
        <v>1.71</v>
      </c>
    </row>
    <row r="1320" spans="1:11" x14ac:dyDescent="0.25">
      <c r="A1320" t="s">
        <v>302</v>
      </c>
      <c r="B1320" t="str">
        <f>"42265"</f>
        <v>42265</v>
      </c>
      <c r="C1320" t="str">
        <f>"002"</f>
        <v>002</v>
      </c>
      <c r="D1320">
        <v>1998</v>
      </c>
      <c r="E1320">
        <v>13961000</v>
      </c>
      <c r="F1320">
        <v>9860500</v>
      </c>
      <c r="G1320" t="s">
        <v>11</v>
      </c>
      <c r="H1320" t="s">
        <v>38</v>
      </c>
      <c r="I1320" t="s">
        <v>13</v>
      </c>
      <c r="J1320" t="s">
        <v>13</v>
      </c>
    </row>
    <row r="1321" spans="1:11" x14ac:dyDescent="0.25">
      <c r="A1321" t="s">
        <v>5</v>
      </c>
      <c r="B1321" t="str">
        <f>"42265"</f>
        <v>42265</v>
      </c>
      <c r="C1321" t="str">
        <f>"003"</f>
        <v>003</v>
      </c>
      <c r="D1321">
        <v>2007</v>
      </c>
      <c r="E1321">
        <v>13783500</v>
      </c>
      <c r="F1321">
        <v>367300</v>
      </c>
      <c r="G1321" t="s">
        <v>11</v>
      </c>
      <c r="H1321" t="s">
        <v>38</v>
      </c>
      <c r="I1321" t="s">
        <v>13</v>
      </c>
      <c r="J1321" t="s">
        <v>13</v>
      </c>
    </row>
    <row r="1322" spans="1:11" x14ac:dyDescent="0.25">
      <c r="A1322" t="s">
        <v>5</v>
      </c>
      <c r="B1322" t="str">
        <f>"42265"</f>
        <v>42265</v>
      </c>
      <c r="C1322" t="str">
        <f>"004"</f>
        <v>004</v>
      </c>
      <c r="D1322">
        <v>2010</v>
      </c>
      <c r="E1322">
        <v>3681300</v>
      </c>
      <c r="F1322">
        <v>2252700</v>
      </c>
      <c r="G1322" t="s">
        <v>11</v>
      </c>
      <c r="H1322" t="s">
        <v>38</v>
      </c>
      <c r="I1322" t="s">
        <v>13</v>
      </c>
      <c r="J1322" t="s">
        <v>13</v>
      </c>
    </row>
    <row r="1323" spans="1:11" x14ac:dyDescent="0.25">
      <c r="A1323" t="s">
        <v>39</v>
      </c>
      <c r="B1323" t="s">
        <v>13</v>
      </c>
      <c r="C1323" t="s">
        <v>7</v>
      </c>
      <c r="D1323" t="s">
        <v>8</v>
      </c>
      <c r="E1323">
        <v>31425800</v>
      </c>
      <c r="F1323">
        <v>12480500</v>
      </c>
      <c r="G1323" t="s">
        <v>11</v>
      </c>
      <c r="H1323">
        <v>218839700</v>
      </c>
      <c r="I1323" t="s">
        <v>13</v>
      </c>
      <c r="J1323" t="s">
        <v>13</v>
      </c>
      <c r="K1323">
        <v>5.7</v>
      </c>
    </row>
    <row r="1325" spans="1:11" x14ac:dyDescent="0.25">
      <c r="A1325" t="s">
        <v>303</v>
      </c>
      <c r="B1325" t="str">
        <f>"42266"</f>
        <v>42266</v>
      </c>
      <c r="C1325" t="str">
        <f>"002"</f>
        <v>002</v>
      </c>
      <c r="D1325">
        <v>1992</v>
      </c>
      <c r="E1325">
        <v>32973800</v>
      </c>
      <c r="F1325">
        <v>28578100</v>
      </c>
      <c r="G1325" t="s">
        <v>11</v>
      </c>
      <c r="H1325" t="s">
        <v>38</v>
      </c>
      <c r="I1325" t="s">
        <v>13</v>
      </c>
      <c r="J1325" t="s">
        <v>13</v>
      </c>
    </row>
    <row r="1326" spans="1:11" x14ac:dyDescent="0.25">
      <c r="A1326" t="s">
        <v>39</v>
      </c>
      <c r="B1326" t="s">
        <v>13</v>
      </c>
      <c r="C1326" t="s">
        <v>7</v>
      </c>
      <c r="D1326" t="s">
        <v>8</v>
      </c>
      <c r="E1326">
        <v>32973800</v>
      </c>
      <c r="F1326">
        <v>28578100</v>
      </c>
      <c r="G1326" t="s">
        <v>11</v>
      </c>
      <c r="H1326">
        <v>161697800</v>
      </c>
      <c r="I1326" t="s">
        <v>13</v>
      </c>
      <c r="J1326" t="s">
        <v>13</v>
      </c>
      <c r="K1326">
        <v>17.670000000000002</v>
      </c>
    </row>
    <row r="1328" spans="1:11" x14ac:dyDescent="0.25">
      <c r="A1328" t="s">
        <v>304</v>
      </c>
      <c r="B1328" t="str">
        <f>"70265"</f>
        <v>70265</v>
      </c>
      <c r="C1328" t="str">
        <f>"007"</f>
        <v>007</v>
      </c>
      <c r="D1328">
        <v>2017</v>
      </c>
      <c r="E1328">
        <v>5755000</v>
      </c>
      <c r="F1328">
        <v>1416700</v>
      </c>
      <c r="G1328" t="s">
        <v>11</v>
      </c>
      <c r="H1328" t="s">
        <v>38</v>
      </c>
      <c r="I1328" t="s">
        <v>13</v>
      </c>
      <c r="J1328" t="s">
        <v>13</v>
      </c>
    </row>
    <row r="1329" spans="1:11" x14ac:dyDescent="0.25">
      <c r="A1329" t="s">
        <v>39</v>
      </c>
      <c r="B1329" t="s">
        <v>13</v>
      </c>
      <c r="C1329" t="s">
        <v>7</v>
      </c>
      <c r="D1329" t="s">
        <v>8</v>
      </c>
      <c r="E1329">
        <v>5755000</v>
      </c>
      <c r="F1329">
        <v>1416700</v>
      </c>
      <c r="G1329" t="s">
        <v>11</v>
      </c>
      <c r="H1329">
        <v>195424100</v>
      </c>
      <c r="I1329" t="s">
        <v>13</v>
      </c>
      <c r="J1329" t="s">
        <v>13</v>
      </c>
      <c r="K1329">
        <v>0.72</v>
      </c>
    </row>
    <row r="1331" spans="1:11" x14ac:dyDescent="0.25">
      <c r="A1331" t="s">
        <v>305</v>
      </c>
      <c r="B1331" t="str">
        <f>"62165"</f>
        <v>62165</v>
      </c>
      <c r="C1331" t="str">
        <f>"001"</f>
        <v>001</v>
      </c>
      <c r="D1331">
        <v>1998</v>
      </c>
      <c r="E1331">
        <v>2581300</v>
      </c>
      <c r="F1331">
        <v>2094800</v>
      </c>
      <c r="G1331" t="s">
        <v>11</v>
      </c>
      <c r="H1331" t="s">
        <v>38</v>
      </c>
      <c r="I1331" t="s">
        <v>13</v>
      </c>
      <c r="J1331" t="s">
        <v>13</v>
      </c>
    </row>
    <row r="1332" spans="1:11" x14ac:dyDescent="0.25">
      <c r="A1332" t="s">
        <v>39</v>
      </c>
      <c r="B1332" t="s">
        <v>13</v>
      </c>
      <c r="C1332" t="s">
        <v>7</v>
      </c>
      <c r="D1332" t="s">
        <v>8</v>
      </c>
      <c r="E1332">
        <v>2581300</v>
      </c>
      <c r="F1332">
        <v>2094800</v>
      </c>
      <c r="G1332" t="s">
        <v>11</v>
      </c>
      <c r="H1332">
        <v>16719800</v>
      </c>
      <c r="I1332" t="s">
        <v>13</v>
      </c>
      <c r="J1332" t="s">
        <v>13</v>
      </c>
      <c r="K1332">
        <v>12.53</v>
      </c>
    </row>
    <row r="1334" spans="1:11" x14ac:dyDescent="0.25">
      <c r="A1334" t="s">
        <v>306</v>
      </c>
      <c r="B1334" t="str">
        <f>"59165"</f>
        <v>59165</v>
      </c>
      <c r="C1334" t="str">
        <f>"001"</f>
        <v>001</v>
      </c>
      <c r="D1334">
        <v>1999</v>
      </c>
      <c r="E1334">
        <v>20648300</v>
      </c>
      <c r="F1334">
        <v>20244700</v>
      </c>
      <c r="G1334" t="s">
        <v>11</v>
      </c>
      <c r="H1334" t="s">
        <v>38</v>
      </c>
      <c r="I1334" t="s">
        <v>13</v>
      </c>
      <c r="J1334" t="s">
        <v>13</v>
      </c>
    </row>
    <row r="1335" spans="1:11" x14ac:dyDescent="0.25">
      <c r="A1335" t="s">
        <v>5</v>
      </c>
      <c r="B1335" t="str">
        <f>"59165"</f>
        <v>59165</v>
      </c>
      <c r="C1335" t="str">
        <f>"002"</f>
        <v>002</v>
      </c>
      <c r="D1335">
        <v>2001</v>
      </c>
      <c r="E1335">
        <v>15046900</v>
      </c>
      <c r="F1335">
        <v>9569100</v>
      </c>
      <c r="G1335" t="s">
        <v>11</v>
      </c>
      <c r="H1335" t="s">
        <v>38</v>
      </c>
      <c r="I1335" t="s">
        <v>13</v>
      </c>
      <c r="J1335" t="s">
        <v>13</v>
      </c>
    </row>
    <row r="1336" spans="1:11" x14ac:dyDescent="0.25">
      <c r="A1336" t="s">
        <v>5</v>
      </c>
      <c r="B1336" t="str">
        <f>"59165"</f>
        <v>59165</v>
      </c>
      <c r="C1336" t="str">
        <f>"003"</f>
        <v>003</v>
      </c>
      <c r="D1336">
        <v>2017</v>
      </c>
      <c r="E1336">
        <v>7601000</v>
      </c>
      <c r="F1336">
        <v>6892900</v>
      </c>
      <c r="G1336" t="s">
        <v>11</v>
      </c>
      <c r="H1336" t="s">
        <v>38</v>
      </c>
      <c r="I1336" t="s">
        <v>13</v>
      </c>
      <c r="J1336" t="s">
        <v>13</v>
      </c>
    </row>
    <row r="1337" spans="1:11" x14ac:dyDescent="0.25">
      <c r="A1337" t="s">
        <v>39</v>
      </c>
      <c r="B1337" t="s">
        <v>13</v>
      </c>
      <c r="C1337" t="s">
        <v>7</v>
      </c>
      <c r="D1337" t="s">
        <v>8</v>
      </c>
      <c r="E1337">
        <v>43296200</v>
      </c>
      <c r="F1337">
        <v>36706700</v>
      </c>
      <c r="G1337" t="s">
        <v>11</v>
      </c>
      <c r="H1337">
        <v>222190600</v>
      </c>
      <c r="I1337" t="s">
        <v>13</v>
      </c>
      <c r="J1337" t="s">
        <v>13</v>
      </c>
      <c r="K1337">
        <v>16.52</v>
      </c>
    </row>
    <row r="1339" spans="1:11" x14ac:dyDescent="0.25">
      <c r="A1339" t="s">
        <v>307</v>
      </c>
      <c r="B1339" t="str">
        <f>"13165"</f>
        <v>13165</v>
      </c>
      <c r="C1339" t="str">
        <f>"003"</f>
        <v>003</v>
      </c>
      <c r="D1339">
        <v>2005</v>
      </c>
      <c r="E1339">
        <v>26197400</v>
      </c>
      <c r="F1339">
        <v>10316600</v>
      </c>
      <c r="G1339" t="s">
        <v>11</v>
      </c>
      <c r="H1339" t="s">
        <v>38</v>
      </c>
      <c r="I1339" t="s">
        <v>13</v>
      </c>
      <c r="J1339" t="s">
        <v>13</v>
      </c>
    </row>
    <row r="1340" spans="1:11" x14ac:dyDescent="0.25">
      <c r="A1340" t="s">
        <v>5</v>
      </c>
      <c r="B1340" t="str">
        <f>"13165"</f>
        <v>13165</v>
      </c>
      <c r="C1340" t="str">
        <f>"004"</f>
        <v>004</v>
      </c>
      <c r="D1340">
        <v>2008</v>
      </c>
      <c r="E1340">
        <v>13451200</v>
      </c>
      <c r="F1340">
        <v>633100</v>
      </c>
      <c r="G1340" t="s">
        <v>11</v>
      </c>
      <c r="H1340" t="s">
        <v>38</v>
      </c>
      <c r="I1340" t="s">
        <v>13</v>
      </c>
      <c r="J1340" t="s">
        <v>13</v>
      </c>
    </row>
    <row r="1341" spans="1:11" x14ac:dyDescent="0.25">
      <c r="A1341" t="s">
        <v>5</v>
      </c>
      <c r="B1341" t="str">
        <f>"13165"</f>
        <v>13165</v>
      </c>
      <c r="C1341" t="str">
        <f>"005"</f>
        <v>005</v>
      </c>
      <c r="D1341">
        <v>2017</v>
      </c>
      <c r="E1341">
        <v>54830700</v>
      </c>
      <c r="F1341">
        <v>1134000</v>
      </c>
      <c r="G1341" t="s">
        <v>11</v>
      </c>
      <c r="H1341" t="s">
        <v>38</v>
      </c>
      <c r="I1341" t="s">
        <v>13</v>
      </c>
      <c r="J1341" t="s">
        <v>13</v>
      </c>
    </row>
    <row r="1342" spans="1:11" x14ac:dyDescent="0.25">
      <c r="A1342" t="s">
        <v>39</v>
      </c>
      <c r="B1342" t="s">
        <v>13</v>
      </c>
      <c r="C1342" t="s">
        <v>7</v>
      </c>
      <c r="D1342" t="s">
        <v>8</v>
      </c>
      <c r="E1342">
        <v>94479300</v>
      </c>
      <c r="F1342">
        <v>12083700</v>
      </c>
      <c r="G1342" t="s">
        <v>11</v>
      </c>
      <c r="H1342">
        <v>1154984200</v>
      </c>
      <c r="I1342" t="s">
        <v>13</v>
      </c>
      <c r="J1342" t="s">
        <v>13</v>
      </c>
      <c r="K1342">
        <v>1.05</v>
      </c>
    </row>
    <row r="1344" spans="1:11" x14ac:dyDescent="0.25">
      <c r="A1344" t="s">
        <v>308</v>
      </c>
      <c r="B1344" t="str">
        <f>"53165"</f>
        <v>53165</v>
      </c>
      <c r="C1344" t="str">
        <f>"003"</f>
        <v>003</v>
      </c>
      <c r="D1344">
        <v>2000</v>
      </c>
      <c r="E1344">
        <v>7909500</v>
      </c>
      <c r="F1344">
        <v>7396800</v>
      </c>
      <c r="G1344" t="s">
        <v>11</v>
      </c>
      <c r="H1344" t="s">
        <v>38</v>
      </c>
      <c r="I1344" t="s">
        <v>13</v>
      </c>
      <c r="J1344" t="s">
        <v>13</v>
      </c>
    </row>
    <row r="1345" spans="1:11" x14ac:dyDescent="0.25">
      <c r="A1345" t="s">
        <v>39</v>
      </c>
      <c r="B1345" t="s">
        <v>13</v>
      </c>
      <c r="C1345" t="s">
        <v>7</v>
      </c>
      <c r="D1345" t="s">
        <v>8</v>
      </c>
      <c r="E1345">
        <v>7909500</v>
      </c>
      <c r="F1345">
        <v>7396800</v>
      </c>
      <c r="G1345" t="s">
        <v>11</v>
      </c>
      <c r="H1345">
        <v>76733900</v>
      </c>
      <c r="I1345" t="s">
        <v>13</v>
      </c>
      <c r="J1345" t="s">
        <v>13</v>
      </c>
      <c r="K1345">
        <v>9.64</v>
      </c>
    </row>
    <row r="1347" spans="1:11" x14ac:dyDescent="0.25">
      <c r="A1347" t="s">
        <v>309</v>
      </c>
      <c r="B1347" t="str">
        <f>"48165"</f>
        <v>48165</v>
      </c>
      <c r="C1347" t="str">
        <f>"001"</f>
        <v>001</v>
      </c>
      <c r="D1347">
        <v>1987</v>
      </c>
      <c r="E1347">
        <v>15326700</v>
      </c>
      <c r="F1347">
        <v>14981700</v>
      </c>
      <c r="G1347" t="s">
        <v>11</v>
      </c>
      <c r="H1347" t="s">
        <v>38</v>
      </c>
      <c r="I1347" t="s">
        <v>13</v>
      </c>
      <c r="J1347" t="s">
        <v>13</v>
      </c>
    </row>
    <row r="1348" spans="1:11" x14ac:dyDescent="0.25">
      <c r="A1348" t="s">
        <v>5</v>
      </c>
      <c r="B1348" t="str">
        <f>"48165"</f>
        <v>48165</v>
      </c>
      <c r="C1348" t="str">
        <f>"002"</f>
        <v>002</v>
      </c>
      <c r="D1348">
        <v>1992</v>
      </c>
      <c r="E1348">
        <v>20662500</v>
      </c>
      <c r="F1348">
        <v>16910700</v>
      </c>
      <c r="G1348" t="s">
        <v>11</v>
      </c>
      <c r="H1348" t="s">
        <v>38</v>
      </c>
      <c r="I1348" t="s">
        <v>13</v>
      </c>
      <c r="J1348" t="s">
        <v>13</v>
      </c>
    </row>
    <row r="1349" spans="1:11" x14ac:dyDescent="0.25">
      <c r="A1349" t="s">
        <v>39</v>
      </c>
      <c r="B1349" t="s">
        <v>13</v>
      </c>
      <c r="C1349" t="s">
        <v>7</v>
      </c>
      <c r="D1349" t="s">
        <v>8</v>
      </c>
      <c r="E1349">
        <v>35989200</v>
      </c>
      <c r="F1349">
        <v>31892400</v>
      </c>
      <c r="G1349" t="s">
        <v>11</v>
      </c>
      <c r="H1349">
        <v>197982500</v>
      </c>
      <c r="I1349" t="s">
        <v>13</v>
      </c>
      <c r="J1349" t="s">
        <v>13</v>
      </c>
      <c r="K1349">
        <v>16.11</v>
      </c>
    </row>
    <row r="1351" spans="1:11" x14ac:dyDescent="0.25">
      <c r="A1351" t="s">
        <v>310</v>
      </c>
      <c r="B1351" t="str">
        <f t="shared" ref="B1351:B1373" si="25">"70266"</f>
        <v>70266</v>
      </c>
      <c r="C1351" t="str">
        <f>"010"</f>
        <v>010</v>
      </c>
      <c r="D1351">
        <v>1993</v>
      </c>
      <c r="E1351">
        <v>1096900</v>
      </c>
      <c r="F1351">
        <v>496600</v>
      </c>
      <c r="G1351" t="s">
        <v>11</v>
      </c>
      <c r="H1351" t="s">
        <v>38</v>
      </c>
      <c r="I1351" t="s">
        <v>13</v>
      </c>
      <c r="J1351" t="s">
        <v>13</v>
      </c>
    </row>
    <row r="1352" spans="1:11" x14ac:dyDescent="0.25">
      <c r="A1352" t="s">
        <v>5</v>
      </c>
      <c r="B1352" t="str">
        <f t="shared" si="25"/>
        <v>70266</v>
      </c>
      <c r="C1352" t="str">
        <f>"011"</f>
        <v>011</v>
      </c>
      <c r="D1352">
        <v>1995</v>
      </c>
      <c r="E1352">
        <v>736100</v>
      </c>
      <c r="F1352">
        <v>249800</v>
      </c>
      <c r="G1352" t="s">
        <v>11</v>
      </c>
      <c r="H1352" t="s">
        <v>38</v>
      </c>
      <c r="I1352" t="s">
        <v>13</v>
      </c>
      <c r="J1352" t="s">
        <v>13</v>
      </c>
    </row>
    <row r="1353" spans="1:11" x14ac:dyDescent="0.25">
      <c r="A1353" t="s">
        <v>5</v>
      </c>
      <c r="B1353" t="str">
        <f t="shared" si="25"/>
        <v>70266</v>
      </c>
      <c r="C1353" t="str">
        <f>"012"</f>
        <v>012</v>
      </c>
      <c r="D1353">
        <v>1997</v>
      </c>
      <c r="E1353">
        <v>6484600</v>
      </c>
      <c r="F1353">
        <v>4769200</v>
      </c>
      <c r="G1353" t="s">
        <v>11</v>
      </c>
      <c r="H1353" t="s">
        <v>38</v>
      </c>
      <c r="I1353" t="s">
        <v>13</v>
      </c>
      <c r="J1353" t="s">
        <v>13</v>
      </c>
    </row>
    <row r="1354" spans="1:11" x14ac:dyDescent="0.25">
      <c r="A1354" t="s">
        <v>5</v>
      </c>
      <c r="B1354" t="str">
        <f t="shared" si="25"/>
        <v>70266</v>
      </c>
      <c r="C1354" t="str">
        <f>"013"</f>
        <v>013</v>
      </c>
      <c r="D1354">
        <v>1998</v>
      </c>
      <c r="E1354">
        <v>16496900</v>
      </c>
      <c r="F1354">
        <v>10627800</v>
      </c>
      <c r="G1354" t="s">
        <v>11</v>
      </c>
      <c r="H1354" t="s">
        <v>38</v>
      </c>
      <c r="I1354" t="s">
        <v>13</v>
      </c>
      <c r="J1354" t="s">
        <v>13</v>
      </c>
    </row>
    <row r="1355" spans="1:11" x14ac:dyDescent="0.25">
      <c r="A1355" t="s">
        <v>5</v>
      </c>
      <c r="B1355" t="str">
        <f t="shared" si="25"/>
        <v>70266</v>
      </c>
      <c r="C1355" t="str">
        <f>"014"</f>
        <v>014</v>
      </c>
      <c r="D1355">
        <v>2000</v>
      </c>
      <c r="E1355">
        <v>20529800</v>
      </c>
      <c r="F1355">
        <v>19971400</v>
      </c>
      <c r="G1355" t="s">
        <v>11</v>
      </c>
      <c r="H1355" t="s">
        <v>38</v>
      </c>
      <c r="I1355" t="s">
        <v>13</v>
      </c>
      <c r="J1355" t="s">
        <v>13</v>
      </c>
    </row>
    <row r="1356" spans="1:11" x14ac:dyDescent="0.25">
      <c r="A1356" t="s">
        <v>5</v>
      </c>
      <c r="B1356" t="str">
        <f t="shared" si="25"/>
        <v>70266</v>
      </c>
      <c r="C1356" t="str">
        <f>"015"</f>
        <v>015</v>
      </c>
      <c r="D1356">
        <v>2001</v>
      </c>
      <c r="E1356">
        <v>8777100</v>
      </c>
      <c r="F1356">
        <v>8212200</v>
      </c>
      <c r="G1356" t="s">
        <v>11</v>
      </c>
      <c r="H1356" t="s">
        <v>38</v>
      </c>
      <c r="I1356" t="s">
        <v>13</v>
      </c>
      <c r="J1356" t="s">
        <v>13</v>
      </c>
    </row>
    <row r="1357" spans="1:11" x14ac:dyDescent="0.25">
      <c r="A1357" t="s">
        <v>5</v>
      </c>
      <c r="B1357" t="str">
        <f t="shared" si="25"/>
        <v>70266</v>
      </c>
      <c r="C1357" t="str">
        <f>"016"</f>
        <v>016</v>
      </c>
      <c r="D1357">
        <v>2001</v>
      </c>
      <c r="E1357">
        <v>5138600</v>
      </c>
      <c r="F1357">
        <v>5138600</v>
      </c>
      <c r="G1357" t="s">
        <v>11</v>
      </c>
      <c r="H1357" t="s">
        <v>38</v>
      </c>
      <c r="I1357" t="s">
        <v>13</v>
      </c>
      <c r="J1357" t="s">
        <v>13</v>
      </c>
    </row>
    <row r="1358" spans="1:11" x14ac:dyDescent="0.25">
      <c r="A1358" t="s">
        <v>5</v>
      </c>
      <c r="B1358" t="str">
        <f t="shared" si="25"/>
        <v>70266</v>
      </c>
      <c r="C1358" t="str">
        <f>"017"</f>
        <v>017</v>
      </c>
      <c r="D1358">
        <v>2001</v>
      </c>
      <c r="E1358">
        <v>13355500</v>
      </c>
      <c r="F1358">
        <v>11144900</v>
      </c>
      <c r="G1358" t="s">
        <v>11</v>
      </c>
      <c r="H1358" t="s">
        <v>38</v>
      </c>
      <c r="I1358" t="s">
        <v>13</v>
      </c>
      <c r="J1358" t="s">
        <v>13</v>
      </c>
    </row>
    <row r="1359" spans="1:11" x14ac:dyDescent="0.25">
      <c r="A1359" t="s">
        <v>5</v>
      </c>
      <c r="B1359" t="str">
        <f t="shared" si="25"/>
        <v>70266</v>
      </c>
      <c r="C1359" t="str">
        <f>"018"</f>
        <v>018</v>
      </c>
      <c r="D1359">
        <v>2002</v>
      </c>
      <c r="E1359">
        <v>17752000</v>
      </c>
      <c r="F1359">
        <v>17700700</v>
      </c>
      <c r="G1359" t="s">
        <v>11</v>
      </c>
      <c r="H1359" t="s">
        <v>38</v>
      </c>
      <c r="I1359" t="s">
        <v>13</v>
      </c>
      <c r="J1359" t="s">
        <v>13</v>
      </c>
    </row>
    <row r="1360" spans="1:11" x14ac:dyDescent="0.25">
      <c r="A1360" t="s">
        <v>5</v>
      </c>
      <c r="B1360" t="str">
        <f t="shared" si="25"/>
        <v>70266</v>
      </c>
      <c r="C1360" t="str">
        <f>"019"</f>
        <v>019</v>
      </c>
      <c r="D1360">
        <v>2003</v>
      </c>
      <c r="E1360">
        <v>8464800</v>
      </c>
      <c r="F1360">
        <v>8360600</v>
      </c>
      <c r="G1360" t="s">
        <v>11</v>
      </c>
      <c r="H1360" t="s">
        <v>38</v>
      </c>
      <c r="I1360" t="s">
        <v>13</v>
      </c>
      <c r="J1360" t="s">
        <v>13</v>
      </c>
    </row>
    <row r="1361" spans="1:11" x14ac:dyDescent="0.25">
      <c r="A1361" t="s">
        <v>5</v>
      </c>
      <c r="B1361" t="str">
        <f t="shared" si="25"/>
        <v>70266</v>
      </c>
      <c r="C1361" t="str">
        <f>"020"</f>
        <v>020</v>
      </c>
      <c r="D1361">
        <v>2005</v>
      </c>
      <c r="E1361">
        <v>14652200</v>
      </c>
      <c r="F1361">
        <v>-6163300</v>
      </c>
      <c r="G1361" t="s">
        <v>43</v>
      </c>
      <c r="H1361" t="s">
        <v>38</v>
      </c>
      <c r="I1361" t="s">
        <v>13</v>
      </c>
      <c r="J1361" t="s">
        <v>13</v>
      </c>
    </row>
    <row r="1362" spans="1:11" x14ac:dyDescent="0.25">
      <c r="A1362" t="s">
        <v>5</v>
      </c>
      <c r="B1362" t="str">
        <f t="shared" si="25"/>
        <v>70266</v>
      </c>
      <c r="C1362" t="str">
        <f>"021"</f>
        <v>021</v>
      </c>
      <c r="D1362">
        <v>2006</v>
      </c>
      <c r="E1362">
        <v>14492200</v>
      </c>
      <c r="F1362">
        <v>12537300</v>
      </c>
      <c r="G1362" t="s">
        <v>11</v>
      </c>
      <c r="H1362" t="s">
        <v>38</v>
      </c>
      <c r="I1362" t="s">
        <v>13</v>
      </c>
      <c r="J1362" t="s">
        <v>13</v>
      </c>
    </row>
    <row r="1363" spans="1:11" x14ac:dyDescent="0.25">
      <c r="A1363" t="s">
        <v>5</v>
      </c>
      <c r="B1363" t="str">
        <f t="shared" si="25"/>
        <v>70266</v>
      </c>
      <c r="C1363" t="str">
        <f>"023"</f>
        <v>023</v>
      </c>
      <c r="D1363">
        <v>2009</v>
      </c>
      <c r="E1363">
        <v>0</v>
      </c>
      <c r="F1363">
        <v>-233700</v>
      </c>
      <c r="G1363" t="s">
        <v>43</v>
      </c>
      <c r="H1363" t="s">
        <v>38</v>
      </c>
      <c r="I1363" t="s">
        <v>13</v>
      </c>
      <c r="J1363" t="s">
        <v>13</v>
      </c>
    </row>
    <row r="1364" spans="1:11" x14ac:dyDescent="0.25">
      <c r="A1364" t="s">
        <v>5</v>
      </c>
      <c r="B1364" t="str">
        <f t="shared" si="25"/>
        <v>70266</v>
      </c>
      <c r="C1364" t="str">
        <f>"024"</f>
        <v>024</v>
      </c>
      <c r="D1364">
        <v>2010</v>
      </c>
      <c r="E1364">
        <v>16876700</v>
      </c>
      <c r="F1364">
        <v>8411800</v>
      </c>
      <c r="G1364" t="s">
        <v>11</v>
      </c>
      <c r="H1364" t="s">
        <v>38</v>
      </c>
      <c r="I1364" t="s">
        <v>13</v>
      </c>
      <c r="J1364" t="s">
        <v>13</v>
      </c>
    </row>
    <row r="1365" spans="1:11" x14ac:dyDescent="0.25">
      <c r="A1365" t="s">
        <v>5</v>
      </c>
      <c r="B1365" t="str">
        <f t="shared" si="25"/>
        <v>70266</v>
      </c>
      <c r="C1365" t="str">
        <f>"025"</f>
        <v>025</v>
      </c>
      <c r="D1365">
        <v>2012</v>
      </c>
      <c r="E1365">
        <v>11061400</v>
      </c>
      <c r="F1365">
        <v>10010600</v>
      </c>
      <c r="G1365" t="s">
        <v>11</v>
      </c>
      <c r="H1365" t="s">
        <v>38</v>
      </c>
      <c r="I1365" t="s">
        <v>13</v>
      </c>
      <c r="J1365" t="s">
        <v>13</v>
      </c>
    </row>
    <row r="1366" spans="1:11" x14ac:dyDescent="0.25">
      <c r="A1366" t="s">
        <v>5</v>
      </c>
      <c r="B1366" t="str">
        <f t="shared" si="25"/>
        <v>70266</v>
      </c>
      <c r="C1366" t="str">
        <f>"026"</f>
        <v>026</v>
      </c>
      <c r="D1366">
        <v>2013</v>
      </c>
      <c r="E1366">
        <v>0</v>
      </c>
      <c r="F1366">
        <v>-29400</v>
      </c>
      <c r="G1366" t="s">
        <v>43</v>
      </c>
      <c r="H1366" t="s">
        <v>38</v>
      </c>
      <c r="I1366" t="s">
        <v>13</v>
      </c>
      <c r="J1366" t="s">
        <v>13</v>
      </c>
    </row>
    <row r="1367" spans="1:11" x14ac:dyDescent="0.25">
      <c r="A1367" t="s">
        <v>5</v>
      </c>
      <c r="B1367" t="str">
        <f t="shared" si="25"/>
        <v>70266</v>
      </c>
      <c r="C1367" t="str">
        <f>"027"</f>
        <v>027</v>
      </c>
      <c r="D1367">
        <v>2014</v>
      </c>
      <c r="E1367">
        <v>65346600</v>
      </c>
      <c r="F1367">
        <v>7116300</v>
      </c>
      <c r="G1367" t="s">
        <v>11</v>
      </c>
      <c r="H1367" t="s">
        <v>38</v>
      </c>
      <c r="I1367" t="s">
        <v>13</v>
      </c>
      <c r="J1367" t="s">
        <v>13</v>
      </c>
    </row>
    <row r="1368" spans="1:11" x14ac:dyDescent="0.25">
      <c r="A1368" t="s">
        <v>5</v>
      </c>
      <c r="B1368" t="str">
        <f t="shared" si="25"/>
        <v>70266</v>
      </c>
      <c r="C1368" t="str">
        <f>"028"</f>
        <v>028</v>
      </c>
      <c r="D1368">
        <v>2016</v>
      </c>
      <c r="E1368">
        <v>2384000</v>
      </c>
      <c r="F1368">
        <v>1808300</v>
      </c>
      <c r="G1368" t="s">
        <v>11</v>
      </c>
      <c r="H1368" t="s">
        <v>38</v>
      </c>
      <c r="I1368" t="s">
        <v>13</v>
      </c>
      <c r="J1368" t="s">
        <v>13</v>
      </c>
    </row>
    <row r="1369" spans="1:11" x14ac:dyDescent="0.25">
      <c r="A1369" t="s">
        <v>5</v>
      </c>
      <c r="B1369" t="str">
        <f t="shared" si="25"/>
        <v>70266</v>
      </c>
      <c r="C1369" t="str">
        <f>"029"</f>
        <v>029</v>
      </c>
      <c r="D1369">
        <v>2016</v>
      </c>
      <c r="E1369">
        <v>1478000</v>
      </c>
      <c r="F1369">
        <v>209900</v>
      </c>
      <c r="G1369" t="s">
        <v>11</v>
      </c>
      <c r="H1369" t="s">
        <v>38</v>
      </c>
      <c r="I1369" t="s">
        <v>13</v>
      </c>
      <c r="J1369" t="s">
        <v>13</v>
      </c>
    </row>
    <row r="1370" spans="1:11" x14ac:dyDescent="0.25">
      <c r="A1370" t="s">
        <v>5</v>
      </c>
      <c r="B1370" t="str">
        <f t="shared" si="25"/>
        <v>70266</v>
      </c>
      <c r="C1370" t="str">
        <f>"030"</f>
        <v>030</v>
      </c>
      <c r="D1370">
        <v>2016</v>
      </c>
      <c r="E1370">
        <v>2201600</v>
      </c>
      <c r="F1370">
        <v>1631100</v>
      </c>
      <c r="G1370" t="s">
        <v>11</v>
      </c>
      <c r="H1370" t="s">
        <v>38</v>
      </c>
      <c r="I1370" t="s">
        <v>13</v>
      </c>
      <c r="J1370" t="s">
        <v>13</v>
      </c>
    </row>
    <row r="1371" spans="1:11" x14ac:dyDescent="0.25">
      <c r="A1371" t="s">
        <v>5</v>
      </c>
      <c r="B1371" t="str">
        <f t="shared" si="25"/>
        <v>70266</v>
      </c>
      <c r="C1371" t="str">
        <f>"031"</f>
        <v>031</v>
      </c>
      <c r="D1371">
        <v>2017</v>
      </c>
      <c r="E1371">
        <v>18989700</v>
      </c>
      <c r="F1371">
        <v>18846100</v>
      </c>
      <c r="G1371" t="s">
        <v>11</v>
      </c>
      <c r="H1371" t="s">
        <v>38</v>
      </c>
      <c r="I1371" t="s">
        <v>13</v>
      </c>
      <c r="J1371" t="s">
        <v>13</v>
      </c>
    </row>
    <row r="1372" spans="1:11" x14ac:dyDescent="0.25">
      <c r="A1372" t="s">
        <v>5</v>
      </c>
      <c r="B1372" t="str">
        <f t="shared" si="25"/>
        <v>70266</v>
      </c>
      <c r="C1372" t="str">
        <f>"032"</f>
        <v>032</v>
      </c>
      <c r="D1372">
        <v>2017</v>
      </c>
      <c r="E1372">
        <v>583000</v>
      </c>
      <c r="F1372">
        <v>467100</v>
      </c>
      <c r="G1372" t="s">
        <v>11</v>
      </c>
      <c r="H1372" t="s">
        <v>38</v>
      </c>
      <c r="I1372" t="s">
        <v>13</v>
      </c>
      <c r="J1372" t="s">
        <v>13</v>
      </c>
    </row>
    <row r="1373" spans="1:11" x14ac:dyDescent="0.25">
      <c r="A1373" t="s">
        <v>5</v>
      </c>
      <c r="B1373" t="str">
        <f t="shared" si="25"/>
        <v>70266</v>
      </c>
      <c r="C1373" t="str">
        <f>"033"</f>
        <v>033</v>
      </c>
      <c r="D1373">
        <v>2017</v>
      </c>
      <c r="E1373">
        <v>98300</v>
      </c>
      <c r="F1373">
        <v>-647800</v>
      </c>
      <c r="G1373" t="s">
        <v>43</v>
      </c>
      <c r="H1373" t="s">
        <v>38</v>
      </c>
      <c r="I1373" t="s">
        <v>13</v>
      </c>
      <c r="J1373" t="s">
        <v>13</v>
      </c>
    </row>
    <row r="1374" spans="1:11" x14ac:dyDescent="0.25">
      <c r="A1374" t="s">
        <v>39</v>
      </c>
      <c r="B1374" t="s">
        <v>13</v>
      </c>
      <c r="C1374" t="s">
        <v>7</v>
      </c>
      <c r="D1374" t="s">
        <v>8</v>
      </c>
      <c r="E1374">
        <v>246996000</v>
      </c>
      <c r="F1374">
        <v>147710300</v>
      </c>
      <c r="G1374" t="s">
        <v>11</v>
      </c>
      <c r="H1374">
        <v>4073682600</v>
      </c>
      <c r="I1374" t="s">
        <v>13</v>
      </c>
      <c r="J1374" t="s">
        <v>13</v>
      </c>
      <c r="K1374">
        <v>3.63</v>
      </c>
    </row>
    <row r="1376" spans="1:11" x14ac:dyDescent="0.25">
      <c r="A1376" t="s">
        <v>311</v>
      </c>
      <c r="B1376" t="str">
        <f>"61265"</f>
        <v>61265</v>
      </c>
      <c r="C1376" t="str">
        <f>"002"</f>
        <v>002</v>
      </c>
      <c r="D1376">
        <v>1994</v>
      </c>
      <c r="E1376">
        <v>27171400</v>
      </c>
      <c r="F1376">
        <v>26813400</v>
      </c>
      <c r="G1376" t="s">
        <v>11</v>
      </c>
      <c r="H1376" t="s">
        <v>38</v>
      </c>
      <c r="I1376" t="s">
        <v>13</v>
      </c>
      <c r="J1376" t="s">
        <v>13</v>
      </c>
    </row>
    <row r="1377" spans="1:11" x14ac:dyDescent="0.25">
      <c r="A1377" t="s">
        <v>5</v>
      </c>
      <c r="B1377" t="str">
        <f>"61265"</f>
        <v>61265</v>
      </c>
      <c r="C1377" t="str">
        <f>"003"</f>
        <v>003</v>
      </c>
      <c r="D1377">
        <v>2009</v>
      </c>
      <c r="E1377">
        <v>2659500</v>
      </c>
      <c r="F1377">
        <v>189000</v>
      </c>
      <c r="G1377" t="s">
        <v>11</v>
      </c>
      <c r="H1377" t="s">
        <v>38</v>
      </c>
      <c r="I1377" t="s">
        <v>13</v>
      </c>
      <c r="J1377" t="s">
        <v>13</v>
      </c>
    </row>
    <row r="1378" spans="1:11" x14ac:dyDescent="0.25">
      <c r="A1378" t="s">
        <v>39</v>
      </c>
      <c r="B1378" t="s">
        <v>13</v>
      </c>
      <c r="C1378" t="s">
        <v>7</v>
      </c>
      <c r="D1378" t="s">
        <v>8</v>
      </c>
      <c r="E1378">
        <v>29830900</v>
      </c>
      <c r="F1378">
        <v>27002400</v>
      </c>
      <c r="G1378" t="s">
        <v>11</v>
      </c>
      <c r="H1378">
        <v>135411400</v>
      </c>
      <c r="I1378" t="s">
        <v>13</v>
      </c>
      <c r="J1378" t="s">
        <v>13</v>
      </c>
      <c r="K1378">
        <v>19.940000000000001</v>
      </c>
    </row>
    <row r="1380" spans="1:11" x14ac:dyDescent="0.25">
      <c r="A1380" t="s">
        <v>312</v>
      </c>
      <c r="B1380" t="str">
        <f>"10265"</f>
        <v>10265</v>
      </c>
      <c r="C1380" t="str">
        <f>"003"</f>
        <v>003</v>
      </c>
      <c r="D1380">
        <v>1996</v>
      </c>
      <c r="E1380">
        <v>870200</v>
      </c>
      <c r="F1380">
        <v>864100</v>
      </c>
      <c r="G1380" t="s">
        <v>11</v>
      </c>
      <c r="H1380" t="s">
        <v>38</v>
      </c>
      <c r="I1380" t="s">
        <v>13</v>
      </c>
      <c r="J1380" t="s">
        <v>13</v>
      </c>
    </row>
    <row r="1381" spans="1:11" x14ac:dyDescent="0.25">
      <c r="A1381" t="s">
        <v>5</v>
      </c>
      <c r="B1381" t="str">
        <f>"10265"</f>
        <v>10265</v>
      </c>
      <c r="C1381" t="str">
        <f>"004"</f>
        <v>004</v>
      </c>
      <c r="D1381">
        <v>2004</v>
      </c>
      <c r="E1381">
        <v>15063400</v>
      </c>
      <c r="F1381">
        <v>12795000</v>
      </c>
      <c r="G1381" t="s">
        <v>11</v>
      </c>
      <c r="H1381" t="s">
        <v>38</v>
      </c>
      <c r="I1381" t="s">
        <v>13</v>
      </c>
      <c r="J1381" t="s">
        <v>13</v>
      </c>
    </row>
    <row r="1382" spans="1:11" x14ac:dyDescent="0.25">
      <c r="A1382" t="s">
        <v>39</v>
      </c>
      <c r="B1382" t="s">
        <v>13</v>
      </c>
      <c r="C1382" t="s">
        <v>7</v>
      </c>
      <c r="D1382" t="s">
        <v>8</v>
      </c>
      <c r="E1382">
        <v>15933600</v>
      </c>
      <c r="F1382">
        <v>13659100</v>
      </c>
      <c r="G1382" t="s">
        <v>11</v>
      </c>
      <c r="H1382">
        <v>49734900</v>
      </c>
      <c r="I1382" t="s">
        <v>13</v>
      </c>
      <c r="J1382" t="s">
        <v>13</v>
      </c>
      <c r="K1382">
        <v>27.46</v>
      </c>
    </row>
    <row r="1384" spans="1:11" x14ac:dyDescent="0.25">
      <c r="A1384" t="s">
        <v>313</v>
      </c>
      <c r="B1384" t="str">
        <f>"30171"</f>
        <v>30171</v>
      </c>
      <c r="C1384" t="str">
        <f>"001"</f>
        <v>001</v>
      </c>
      <c r="D1384">
        <v>2012</v>
      </c>
      <c r="E1384">
        <v>16439000</v>
      </c>
      <c r="F1384">
        <v>2305300</v>
      </c>
      <c r="G1384" t="s">
        <v>11</v>
      </c>
      <c r="H1384" t="s">
        <v>38</v>
      </c>
      <c r="I1384" t="s">
        <v>13</v>
      </c>
      <c r="J1384" t="s">
        <v>13</v>
      </c>
    </row>
    <row r="1385" spans="1:11" x14ac:dyDescent="0.25">
      <c r="A1385" t="s">
        <v>5</v>
      </c>
      <c r="B1385" t="str">
        <f>"30171"</f>
        <v>30171</v>
      </c>
      <c r="C1385" t="str">
        <f>"002"</f>
        <v>002</v>
      </c>
      <c r="D1385">
        <v>2017</v>
      </c>
      <c r="E1385">
        <v>13818000</v>
      </c>
      <c r="F1385">
        <v>-1107300</v>
      </c>
      <c r="G1385" t="s">
        <v>43</v>
      </c>
      <c r="H1385" t="s">
        <v>38</v>
      </c>
      <c r="I1385" t="s">
        <v>13</v>
      </c>
      <c r="J1385" t="s">
        <v>13</v>
      </c>
    </row>
    <row r="1386" spans="1:11" x14ac:dyDescent="0.25">
      <c r="A1386" t="s">
        <v>39</v>
      </c>
      <c r="B1386" t="s">
        <v>13</v>
      </c>
      <c r="C1386" t="s">
        <v>7</v>
      </c>
      <c r="D1386" t="s">
        <v>8</v>
      </c>
      <c r="E1386">
        <v>30257000</v>
      </c>
      <c r="F1386">
        <v>2305300</v>
      </c>
      <c r="G1386" t="s">
        <v>11</v>
      </c>
      <c r="H1386">
        <v>246459400</v>
      </c>
      <c r="I1386" t="s">
        <v>13</v>
      </c>
      <c r="J1386" t="s">
        <v>13</v>
      </c>
      <c r="K1386">
        <v>0.94</v>
      </c>
    </row>
    <row r="1388" spans="1:11" x14ac:dyDescent="0.25">
      <c r="A1388" t="s">
        <v>314</v>
      </c>
      <c r="B1388" t="str">
        <f>"28171"</f>
        <v>28171</v>
      </c>
      <c r="C1388" t="str">
        <f>"003"</f>
        <v>003</v>
      </c>
      <c r="D1388">
        <v>2006</v>
      </c>
      <c r="E1388">
        <v>9784900</v>
      </c>
      <c r="F1388">
        <v>9354600</v>
      </c>
      <c r="G1388" t="s">
        <v>11</v>
      </c>
      <c r="H1388" t="s">
        <v>38</v>
      </c>
      <c r="I1388" t="s">
        <v>13</v>
      </c>
      <c r="J1388" t="s">
        <v>13</v>
      </c>
    </row>
    <row r="1389" spans="1:11" x14ac:dyDescent="0.25">
      <c r="A1389" t="s">
        <v>39</v>
      </c>
      <c r="B1389" t="s">
        <v>13</v>
      </c>
      <c r="C1389" t="s">
        <v>7</v>
      </c>
      <c r="D1389" t="s">
        <v>8</v>
      </c>
      <c r="E1389">
        <v>9784900</v>
      </c>
      <c r="F1389">
        <v>9354600</v>
      </c>
      <c r="G1389" t="s">
        <v>11</v>
      </c>
      <c r="H1389">
        <v>126791500</v>
      </c>
      <c r="I1389" t="s">
        <v>13</v>
      </c>
      <c r="J1389" t="s">
        <v>13</v>
      </c>
      <c r="K1389">
        <v>7.38</v>
      </c>
    </row>
    <row r="1391" spans="1:11" x14ac:dyDescent="0.25">
      <c r="A1391" t="s">
        <v>315</v>
      </c>
      <c r="B1391" t="str">
        <f>"50271"</f>
        <v>50271</v>
      </c>
      <c r="C1391" t="str">
        <f>"003"</f>
        <v>003</v>
      </c>
      <c r="D1391">
        <v>1994</v>
      </c>
      <c r="E1391">
        <v>6790700</v>
      </c>
      <c r="F1391">
        <v>5438900</v>
      </c>
      <c r="G1391" t="s">
        <v>11</v>
      </c>
      <c r="H1391" t="s">
        <v>38</v>
      </c>
      <c r="I1391" t="s">
        <v>13</v>
      </c>
      <c r="J1391" t="s">
        <v>13</v>
      </c>
    </row>
    <row r="1392" spans="1:11" x14ac:dyDescent="0.25">
      <c r="A1392" t="s">
        <v>39</v>
      </c>
      <c r="B1392" t="s">
        <v>13</v>
      </c>
      <c r="C1392" t="s">
        <v>7</v>
      </c>
      <c r="D1392" t="s">
        <v>8</v>
      </c>
      <c r="E1392">
        <v>6790700</v>
      </c>
      <c r="F1392">
        <v>5438900</v>
      </c>
      <c r="G1392" t="s">
        <v>11</v>
      </c>
      <c r="H1392">
        <v>117443100</v>
      </c>
      <c r="I1392" t="s">
        <v>13</v>
      </c>
      <c r="J1392" t="s">
        <v>13</v>
      </c>
      <c r="K1392">
        <v>4.63</v>
      </c>
    </row>
    <row r="1394" spans="1:11" x14ac:dyDescent="0.25">
      <c r="A1394" t="s">
        <v>316</v>
      </c>
      <c r="B1394" t="str">
        <f>"46171"</f>
        <v>46171</v>
      </c>
      <c r="C1394" t="str">
        <f>"003"</f>
        <v>003</v>
      </c>
      <c r="D1394">
        <v>2011</v>
      </c>
      <c r="E1394">
        <v>11157400</v>
      </c>
      <c r="F1394">
        <v>6336600</v>
      </c>
      <c r="G1394" t="s">
        <v>11</v>
      </c>
      <c r="H1394" t="s">
        <v>38</v>
      </c>
      <c r="I1394" t="s">
        <v>13</v>
      </c>
      <c r="J1394" t="s">
        <v>13</v>
      </c>
    </row>
    <row r="1395" spans="1:11" x14ac:dyDescent="0.25">
      <c r="A1395" t="s">
        <v>39</v>
      </c>
      <c r="B1395" t="s">
        <v>13</v>
      </c>
      <c r="C1395" t="s">
        <v>7</v>
      </c>
      <c r="D1395" t="s">
        <v>8</v>
      </c>
      <c r="E1395">
        <v>11157400</v>
      </c>
      <c r="F1395">
        <v>6336600</v>
      </c>
      <c r="G1395" t="s">
        <v>11</v>
      </c>
      <c r="H1395">
        <v>71290900</v>
      </c>
      <c r="I1395" t="s">
        <v>13</v>
      </c>
      <c r="J1395" t="s">
        <v>13</v>
      </c>
      <c r="K1395">
        <v>8.89</v>
      </c>
    </row>
    <row r="1397" spans="1:11" x14ac:dyDescent="0.25">
      <c r="A1397" t="s">
        <v>317</v>
      </c>
      <c r="B1397" t="str">
        <f>"67171"</f>
        <v>67171</v>
      </c>
      <c r="C1397" t="str">
        <f>"002"</f>
        <v>002</v>
      </c>
      <c r="D1397">
        <v>2014</v>
      </c>
      <c r="E1397">
        <v>11177700</v>
      </c>
      <c r="F1397">
        <v>2518400</v>
      </c>
      <c r="G1397" t="s">
        <v>11</v>
      </c>
      <c r="H1397" t="s">
        <v>38</v>
      </c>
      <c r="I1397" t="s">
        <v>13</v>
      </c>
      <c r="J1397" t="s">
        <v>13</v>
      </c>
    </row>
    <row r="1398" spans="1:11" x14ac:dyDescent="0.25">
      <c r="A1398" t="s">
        <v>39</v>
      </c>
      <c r="B1398" t="s">
        <v>13</v>
      </c>
      <c r="C1398" t="s">
        <v>7</v>
      </c>
      <c r="D1398" t="s">
        <v>8</v>
      </c>
      <c r="E1398">
        <v>11177700</v>
      </c>
      <c r="F1398">
        <v>2518400</v>
      </c>
      <c r="G1398" t="s">
        <v>11</v>
      </c>
      <c r="H1398">
        <v>998476000</v>
      </c>
      <c r="I1398" t="s">
        <v>13</v>
      </c>
      <c r="J1398" t="s">
        <v>13</v>
      </c>
      <c r="K1398">
        <v>0.25</v>
      </c>
    </row>
    <row r="1400" spans="1:11" x14ac:dyDescent="0.25">
      <c r="A1400" t="s">
        <v>318</v>
      </c>
      <c r="B1400" t="str">
        <f>"50272"</f>
        <v>50272</v>
      </c>
      <c r="C1400" t="str">
        <f>"002"</f>
        <v>002</v>
      </c>
      <c r="D1400">
        <v>1995</v>
      </c>
      <c r="E1400">
        <v>137900</v>
      </c>
      <c r="F1400">
        <v>37900</v>
      </c>
      <c r="G1400" t="s">
        <v>11</v>
      </c>
      <c r="H1400" t="s">
        <v>38</v>
      </c>
      <c r="I1400" t="s">
        <v>13</v>
      </c>
      <c r="J1400" t="s">
        <v>13</v>
      </c>
    </row>
    <row r="1401" spans="1:11" x14ac:dyDescent="0.25">
      <c r="A1401" t="s">
        <v>5</v>
      </c>
      <c r="B1401" t="str">
        <f>"50272"</f>
        <v>50272</v>
      </c>
      <c r="C1401" t="str">
        <f>"003"</f>
        <v>003</v>
      </c>
      <c r="D1401">
        <v>1995</v>
      </c>
      <c r="E1401">
        <v>3595900</v>
      </c>
      <c r="F1401">
        <v>1418800</v>
      </c>
      <c r="G1401" t="s">
        <v>11</v>
      </c>
      <c r="H1401" t="s">
        <v>38</v>
      </c>
      <c r="I1401" t="s">
        <v>13</v>
      </c>
      <c r="J1401" t="s">
        <v>13</v>
      </c>
    </row>
    <row r="1402" spans="1:11" x14ac:dyDescent="0.25">
      <c r="A1402" t="s">
        <v>5</v>
      </c>
      <c r="B1402" t="str">
        <f>"50272"</f>
        <v>50272</v>
      </c>
      <c r="C1402" t="str">
        <f>"004"</f>
        <v>004</v>
      </c>
      <c r="D1402">
        <v>1995</v>
      </c>
      <c r="E1402">
        <v>14743900</v>
      </c>
      <c r="F1402">
        <v>13990400</v>
      </c>
      <c r="G1402" t="s">
        <v>11</v>
      </c>
      <c r="H1402" t="s">
        <v>38</v>
      </c>
      <c r="I1402" t="s">
        <v>13</v>
      </c>
      <c r="J1402" t="s">
        <v>13</v>
      </c>
    </row>
    <row r="1403" spans="1:11" x14ac:dyDescent="0.25">
      <c r="A1403" t="s">
        <v>39</v>
      </c>
      <c r="B1403" t="s">
        <v>13</v>
      </c>
      <c r="C1403" t="s">
        <v>7</v>
      </c>
      <c r="D1403" t="s">
        <v>8</v>
      </c>
      <c r="E1403">
        <v>18477700</v>
      </c>
      <c r="F1403">
        <v>15447100</v>
      </c>
      <c r="G1403" t="s">
        <v>11</v>
      </c>
      <c r="H1403">
        <v>87791300</v>
      </c>
      <c r="I1403" t="s">
        <v>13</v>
      </c>
      <c r="J1403" t="s">
        <v>13</v>
      </c>
      <c r="K1403">
        <v>17.600000000000001</v>
      </c>
    </row>
    <row r="1405" spans="1:11" x14ac:dyDescent="0.25">
      <c r="A1405" t="s">
        <v>319</v>
      </c>
      <c r="B1405" t="str">
        <f>"71271"</f>
        <v>71271</v>
      </c>
      <c r="C1405" t="str">
        <f>"003"</f>
        <v>003</v>
      </c>
      <c r="D1405">
        <v>1995</v>
      </c>
      <c r="E1405">
        <v>33877100</v>
      </c>
      <c r="F1405">
        <v>31335100</v>
      </c>
      <c r="G1405" t="s">
        <v>11</v>
      </c>
      <c r="H1405" t="s">
        <v>38</v>
      </c>
      <c r="I1405" t="s">
        <v>13</v>
      </c>
      <c r="J1405" t="s">
        <v>13</v>
      </c>
    </row>
    <row r="1406" spans="1:11" x14ac:dyDescent="0.25">
      <c r="A1406" t="s">
        <v>39</v>
      </c>
      <c r="B1406" t="s">
        <v>13</v>
      </c>
      <c r="C1406" t="s">
        <v>7</v>
      </c>
      <c r="D1406" t="s">
        <v>8</v>
      </c>
      <c r="E1406">
        <v>33877100</v>
      </c>
      <c r="F1406">
        <v>31335100</v>
      </c>
      <c r="G1406" t="s">
        <v>11</v>
      </c>
      <c r="H1406">
        <v>59464400</v>
      </c>
      <c r="I1406" t="s">
        <v>13</v>
      </c>
      <c r="J1406" t="s">
        <v>13</v>
      </c>
      <c r="K1406">
        <v>52.7</v>
      </c>
    </row>
    <row r="1408" spans="1:11" x14ac:dyDescent="0.25">
      <c r="A1408" t="s">
        <v>320</v>
      </c>
      <c r="B1408" t="str">
        <f>"56171"</f>
        <v>56171</v>
      </c>
      <c r="C1408" t="str">
        <f>"002"</f>
        <v>002</v>
      </c>
      <c r="D1408">
        <v>2006</v>
      </c>
      <c r="E1408">
        <v>3228600</v>
      </c>
      <c r="F1408">
        <v>3059100</v>
      </c>
      <c r="G1408" t="s">
        <v>11</v>
      </c>
      <c r="H1408" t="s">
        <v>38</v>
      </c>
      <c r="I1408" t="s">
        <v>13</v>
      </c>
      <c r="J1408" t="s">
        <v>13</v>
      </c>
    </row>
    <row r="1409" spans="1:11" x14ac:dyDescent="0.25">
      <c r="A1409" t="s">
        <v>39</v>
      </c>
      <c r="B1409" t="s">
        <v>13</v>
      </c>
      <c r="C1409" t="s">
        <v>7</v>
      </c>
      <c r="D1409" t="s">
        <v>8</v>
      </c>
      <c r="E1409">
        <v>3228600</v>
      </c>
      <c r="F1409">
        <v>3059100</v>
      </c>
      <c r="G1409" t="s">
        <v>11</v>
      </c>
      <c r="H1409">
        <v>61113200</v>
      </c>
      <c r="I1409" t="s">
        <v>13</v>
      </c>
      <c r="J1409" t="s">
        <v>13</v>
      </c>
      <c r="K1409">
        <v>5.01</v>
      </c>
    </row>
    <row r="1411" spans="1:11" x14ac:dyDescent="0.25">
      <c r="A1411" t="s">
        <v>321</v>
      </c>
      <c r="B1411" t="str">
        <f>"69171"</f>
        <v>69171</v>
      </c>
      <c r="C1411" t="str">
        <f>"001"</f>
        <v>001</v>
      </c>
      <c r="D1411">
        <v>2015</v>
      </c>
      <c r="E1411">
        <v>3993800</v>
      </c>
      <c r="F1411">
        <v>2040900</v>
      </c>
      <c r="G1411" t="s">
        <v>11</v>
      </c>
      <c r="H1411" t="s">
        <v>38</v>
      </c>
      <c r="I1411" t="s">
        <v>13</v>
      </c>
      <c r="J1411" t="s">
        <v>13</v>
      </c>
    </row>
    <row r="1412" spans="1:11" x14ac:dyDescent="0.25">
      <c r="A1412" t="s">
        <v>39</v>
      </c>
      <c r="B1412" t="s">
        <v>13</v>
      </c>
      <c r="C1412" t="s">
        <v>7</v>
      </c>
      <c r="D1412" t="s">
        <v>8</v>
      </c>
      <c r="E1412">
        <v>3993800</v>
      </c>
      <c r="F1412">
        <v>2040900</v>
      </c>
      <c r="G1412" t="s">
        <v>11</v>
      </c>
      <c r="H1412">
        <v>36989000</v>
      </c>
      <c r="I1412" t="s">
        <v>13</v>
      </c>
      <c r="J1412" t="s">
        <v>13</v>
      </c>
      <c r="K1412">
        <v>5.52</v>
      </c>
    </row>
    <row r="1414" spans="1:11" x14ac:dyDescent="0.25">
      <c r="A1414" t="s">
        <v>322</v>
      </c>
      <c r="B1414" t="str">
        <f>"22271"</f>
        <v>22271</v>
      </c>
      <c r="C1414" t="str">
        <f>"004"</f>
        <v>004</v>
      </c>
      <c r="D1414">
        <v>1997</v>
      </c>
      <c r="E1414">
        <v>11025700</v>
      </c>
      <c r="F1414">
        <v>7821100</v>
      </c>
      <c r="G1414" t="s">
        <v>11</v>
      </c>
      <c r="H1414" t="s">
        <v>38</v>
      </c>
      <c r="I1414" t="s">
        <v>13</v>
      </c>
      <c r="J1414" t="s">
        <v>13</v>
      </c>
    </row>
    <row r="1415" spans="1:11" x14ac:dyDescent="0.25">
      <c r="A1415" t="s">
        <v>5</v>
      </c>
      <c r="B1415" t="str">
        <f>"22271"</f>
        <v>22271</v>
      </c>
      <c r="C1415" t="str">
        <f>"005"</f>
        <v>005</v>
      </c>
      <c r="D1415">
        <v>2005</v>
      </c>
      <c r="E1415">
        <v>43868600</v>
      </c>
      <c r="F1415">
        <v>43839100</v>
      </c>
      <c r="G1415" t="s">
        <v>11</v>
      </c>
      <c r="H1415" t="s">
        <v>38</v>
      </c>
      <c r="I1415" t="s">
        <v>13</v>
      </c>
      <c r="J1415" t="s">
        <v>13</v>
      </c>
    </row>
    <row r="1416" spans="1:11" x14ac:dyDescent="0.25">
      <c r="A1416" t="s">
        <v>5</v>
      </c>
      <c r="B1416" t="str">
        <f>"22271"</f>
        <v>22271</v>
      </c>
      <c r="C1416" t="str">
        <f>"006"</f>
        <v>006</v>
      </c>
      <c r="D1416">
        <v>2006</v>
      </c>
      <c r="E1416">
        <v>32434900</v>
      </c>
      <c r="F1416">
        <v>24694500</v>
      </c>
      <c r="G1416" t="s">
        <v>11</v>
      </c>
      <c r="H1416" t="s">
        <v>38</v>
      </c>
      <c r="I1416" t="s">
        <v>13</v>
      </c>
      <c r="J1416" t="s">
        <v>13</v>
      </c>
    </row>
    <row r="1417" spans="1:11" x14ac:dyDescent="0.25">
      <c r="A1417" t="s">
        <v>5</v>
      </c>
      <c r="B1417" t="str">
        <f>"22271"</f>
        <v>22271</v>
      </c>
      <c r="C1417" t="str">
        <f>"007"</f>
        <v>007</v>
      </c>
      <c r="D1417">
        <v>2006</v>
      </c>
      <c r="E1417">
        <v>47379400</v>
      </c>
      <c r="F1417">
        <v>17864400</v>
      </c>
      <c r="G1417" t="s">
        <v>11</v>
      </c>
      <c r="H1417" t="s">
        <v>38</v>
      </c>
      <c r="I1417" t="s">
        <v>13</v>
      </c>
      <c r="J1417" t="s">
        <v>13</v>
      </c>
    </row>
    <row r="1418" spans="1:11" x14ac:dyDescent="0.25">
      <c r="A1418" t="s">
        <v>39</v>
      </c>
      <c r="B1418" t="s">
        <v>13</v>
      </c>
      <c r="C1418" t="s">
        <v>7</v>
      </c>
      <c r="D1418" t="s">
        <v>8</v>
      </c>
      <c r="E1418">
        <v>134708600</v>
      </c>
      <c r="F1418">
        <v>94219100</v>
      </c>
      <c r="G1418" t="s">
        <v>11</v>
      </c>
      <c r="H1418">
        <v>694228000</v>
      </c>
      <c r="I1418" t="s">
        <v>13</v>
      </c>
      <c r="J1418" t="s">
        <v>13</v>
      </c>
      <c r="K1418">
        <v>13.57</v>
      </c>
    </row>
    <row r="1420" spans="1:11" x14ac:dyDescent="0.25">
      <c r="A1420" t="s">
        <v>323</v>
      </c>
      <c r="B1420" t="str">
        <f>"30174"</f>
        <v>30174</v>
      </c>
      <c r="C1420" t="str">
        <f>"002"</f>
        <v>002</v>
      </c>
      <c r="D1420">
        <v>1999</v>
      </c>
      <c r="E1420">
        <v>814070700</v>
      </c>
      <c r="F1420">
        <v>729940600</v>
      </c>
      <c r="G1420" t="s">
        <v>11</v>
      </c>
      <c r="H1420" t="s">
        <v>38</v>
      </c>
      <c r="I1420" t="s">
        <v>13</v>
      </c>
      <c r="J1420" t="s">
        <v>13</v>
      </c>
    </row>
    <row r="1421" spans="1:11" x14ac:dyDescent="0.25">
      <c r="A1421" t="s">
        <v>5</v>
      </c>
      <c r="B1421" t="str">
        <f>"30174"</f>
        <v>30174</v>
      </c>
      <c r="C1421" t="str">
        <f>"004"</f>
        <v>004</v>
      </c>
      <c r="D1421">
        <v>2007</v>
      </c>
      <c r="E1421">
        <v>318300</v>
      </c>
      <c r="F1421">
        <v>152200</v>
      </c>
      <c r="G1421" t="s">
        <v>11</v>
      </c>
      <c r="H1421" t="s">
        <v>38</v>
      </c>
      <c r="I1421" t="s">
        <v>13</v>
      </c>
      <c r="J1421" t="s">
        <v>13</v>
      </c>
    </row>
    <row r="1422" spans="1:11" x14ac:dyDescent="0.25">
      <c r="A1422" t="s">
        <v>5</v>
      </c>
      <c r="B1422" t="str">
        <f>"30174"</f>
        <v>30174</v>
      </c>
      <c r="C1422" t="str">
        <f>"005"</f>
        <v>005</v>
      </c>
      <c r="D1422">
        <v>2017</v>
      </c>
      <c r="E1422">
        <v>2600600</v>
      </c>
      <c r="F1422">
        <v>-6960600</v>
      </c>
      <c r="G1422" t="s">
        <v>43</v>
      </c>
      <c r="H1422" t="s">
        <v>38</v>
      </c>
      <c r="I1422" t="s">
        <v>13</v>
      </c>
      <c r="J1422" t="s">
        <v>13</v>
      </c>
    </row>
    <row r="1423" spans="1:11" x14ac:dyDescent="0.25">
      <c r="A1423" t="s">
        <v>39</v>
      </c>
      <c r="B1423" t="s">
        <v>13</v>
      </c>
      <c r="C1423" t="s">
        <v>7</v>
      </c>
      <c r="D1423" t="s">
        <v>8</v>
      </c>
      <c r="E1423">
        <v>816989600</v>
      </c>
      <c r="F1423">
        <v>730092800</v>
      </c>
      <c r="G1423" t="s">
        <v>11</v>
      </c>
      <c r="H1423">
        <v>3629618700</v>
      </c>
      <c r="I1423" t="s">
        <v>13</v>
      </c>
      <c r="J1423" t="s">
        <v>13</v>
      </c>
      <c r="K1423">
        <v>20.11</v>
      </c>
    </row>
    <row r="1425" spans="1:11" x14ac:dyDescent="0.25">
      <c r="A1425" t="s">
        <v>324</v>
      </c>
      <c r="B1425" t="str">
        <f>"49173"</f>
        <v>49173</v>
      </c>
      <c r="C1425" t="str">
        <f>"003"</f>
        <v>003</v>
      </c>
      <c r="D1425">
        <v>2003</v>
      </c>
      <c r="E1425">
        <v>17162500</v>
      </c>
      <c r="F1425">
        <v>16630400</v>
      </c>
      <c r="G1425" t="s">
        <v>11</v>
      </c>
      <c r="H1425" t="s">
        <v>38</v>
      </c>
      <c r="I1425" t="s">
        <v>13</v>
      </c>
      <c r="J1425" t="s">
        <v>13</v>
      </c>
    </row>
    <row r="1426" spans="1:11" x14ac:dyDescent="0.25">
      <c r="A1426" t="s">
        <v>5</v>
      </c>
      <c r="B1426" t="str">
        <f>"49173"</f>
        <v>49173</v>
      </c>
      <c r="C1426" t="str">
        <f>"004"</f>
        <v>004</v>
      </c>
      <c r="D1426">
        <v>2004</v>
      </c>
      <c r="E1426">
        <v>54611600</v>
      </c>
      <c r="F1426">
        <v>37831600</v>
      </c>
      <c r="G1426" t="s">
        <v>11</v>
      </c>
      <c r="H1426" t="s">
        <v>38</v>
      </c>
      <c r="I1426" t="s">
        <v>13</v>
      </c>
      <c r="J1426" t="s">
        <v>13</v>
      </c>
    </row>
    <row r="1427" spans="1:11" x14ac:dyDescent="0.25">
      <c r="A1427" t="s">
        <v>5</v>
      </c>
      <c r="B1427" t="str">
        <f>"49173"</f>
        <v>49173</v>
      </c>
      <c r="C1427" t="str">
        <f>"005"</f>
        <v>005</v>
      </c>
      <c r="D1427">
        <v>2005</v>
      </c>
      <c r="E1427">
        <v>9830400</v>
      </c>
      <c r="F1427">
        <v>6878900</v>
      </c>
      <c r="G1427" t="s">
        <v>11</v>
      </c>
      <c r="H1427" t="s">
        <v>38</v>
      </c>
      <c r="I1427" t="s">
        <v>13</v>
      </c>
      <c r="J1427" t="s">
        <v>13</v>
      </c>
    </row>
    <row r="1428" spans="1:11" x14ac:dyDescent="0.25">
      <c r="A1428" t="s">
        <v>5</v>
      </c>
      <c r="B1428" t="str">
        <f>"49173"</f>
        <v>49173</v>
      </c>
      <c r="C1428" t="str">
        <f>"006"</f>
        <v>006</v>
      </c>
      <c r="D1428">
        <v>2010</v>
      </c>
      <c r="E1428">
        <v>8562800</v>
      </c>
      <c r="F1428">
        <v>8559500</v>
      </c>
      <c r="G1428" t="s">
        <v>11</v>
      </c>
      <c r="H1428" t="s">
        <v>38</v>
      </c>
      <c r="I1428" t="s">
        <v>13</v>
      </c>
      <c r="J1428" t="s">
        <v>13</v>
      </c>
    </row>
    <row r="1429" spans="1:11" x14ac:dyDescent="0.25">
      <c r="A1429" t="s">
        <v>5</v>
      </c>
      <c r="B1429" t="str">
        <f>"49173"</f>
        <v>49173</v>
      </c>
      <c r="C1429" t="str">
        <f>"007"</f>
        <v>007</v>
      </c>
      <c r="D1429">
        <v>2013</v>
      </c>
      <c r="E1429">
        <v>4675100</v>
      </c>
      <c r="F1429">
        <v>2037800</v>
      </c>
      <c r="G1429" t="s">
        <v>11</v>
      </c>
      <c r="H1429" t="s">
        <v>38</v>
      </c>
      <c r="I1429" t="s">
        <v>13</v>
      </c>
      <c r="J1429" t="s">
        <v>13</v>
      </c>
    </row>
    <row r="1430" spans="1:11" x14ac:dyDescent="0.25">
      <c r="A1430" t="s">
        <v>39</v>
      </c>
      <c r="B1430" t="s">
        <v>13</v>
      </c>
      <c r="C1430" t="s">
        <v>7</v>
      </c>
      <c r="D1430" t="s">
        <v>8</v>
      </c>
      <c r="E1430">
        <v>94842400</v>
      </c>
      <c r="F1430">
        <v>71938200</v>
      </c>
      <c r="G1430" t="s">
        <v>11</v>
      </c>
      <c r="H1430">
        <v>1147374500</v>
      </c>
      <c r="I1430" t="s">
        <v>13</v>
      </c>
      <c r="J1430" t="s">
        <v>13</v>
      </c>
      <c r="K1430">
        <v>6.27</v>
      </c>
    </row>
    <row r="1432" spans="1:11" x14ac:dyDescent="0.25">
      <c r="A1432" t="s">
        <v>325</v>
      </c>
      <c r="B1432" t="str">
        <f>"59271"</f>
        <v>59271</v>
      </c>
      <c r="C1432" t="str">
        <f>"004"</f>
        <v>004</v>
      </c>
      <c r="D1432">
        <v>2001</v>
      </c>
      <c r="E1432">
        <v>121420700</v>
      </c>
      <c r="F1432">
        <v>103917400</v>
      </c>
      <c r="G1432" t="s">
        <v>11</v>
      </c>
      <c r="H1432" t="s">
        <v>38</v>
      </c>
      <c r="I1432" t="s">
        <v>13</v>
      </c>
      <c r="J1432" t="s">
        <v>13</v>
      </c>
    </row>
    <row r="1433" spans="1:11" x14ac:dyDescent="0.25">
      <c r="A1433" t="s">
        <v>5</v>
      </c>
      <c r="B1433" t="str">
        <f>"59271"</f>
        <v>59271</v>
      </c>
      <c r="C1433" t="str">
        <f>"005"</f>
        <v>005</v>
      </c>
      <c r="D1433">
        <v>2008</v>
      </c>
      <c r="E1433">
        <v>28195000</v>
      </c>
      <c r="F1433">
        <v>11594500</v>
      </c>
      <c r="G1433" t="s">
        <v>11</v>
      </c>
      <c r="H1433" t="s">
        <v>38</v>
      </c>
      <c r="I1433" t="s">
        <v>13</v>
      </c>
      <c r="J1433" t="s">
        <v>13</v>
      </c>
    </row>
    <row r="1434" spans="1:11" x14ac:dyDescent="0.25">
      <c r="A1434" t="s">
        <v>5</v>
      </c>
      <c r="B1434" t="str">
        <f>"59271"</f>
        <v>59271</v>
      </c>
      <c r="C1434" t="str">
        <f>"006"</f>
        <v>006</v>
      </c>
      <c r="D1434">
        <v>2011</v>
      </c>
      <c r="E1434">
        <v>8638500</v>
      </c>
      <c r="F1434">
        <v>8595900</v>
      </c>
      <c r="G1434" t="s">
        <v>11</v>
      </c>
      <c r="H1434" t="s">
        <v>38</v>
      </c>
      <c r="I1434" t="s">
        <v>13</v>
      </c>
      <c r="J1434" t="s">
        <v>13</v>
      </c>
    </row>
    <row r="1435" spans="1:11" x14ac:dyDescent="0.25">
      <c r="A1435" t="s">
        <v>39</v>
      </c>
      <c r="B1435" t="s">
        <v>13</v>
      </c>
      <c r="C1435" t="s">
        <v>7</v>
      </c>
      <c r="D1435" t="s">
        <v>8</v>
      </c>
      <c r="E1435">
        <v>158254200</v>
      </c>
      <c r="F1435">
        <v>124107800</v>
      </c>
      <c r="G1435" t="s">
        <v>11</v>
      </c>
      <c r="H1435">
        <v>777019900</v>
      </c>
      <c r="I1435" t="s">
        <v>13</v>
      </c>
      <c r="J1435" t="s">
        <v>13</v>
      </c>
      <c r="K1435">
        <v>15.97</v>
      </c>
    </row>
    <row r="1437" spans="1:11" x14ac:dyDescent="0.25">
      <c r="A1437" t="s">
        <v>326</v>
      </c>
      <c r="B1437" t="str">
        <f>"71171"</f>
        <v>71171</v>
      </c>
      <c r="C1437" t="str">
        <f>"002"</f>
        <v>002</v>
      </c>
      <c r="D1437">
        <v>2009</v>
      </c>
      <c r="E1437">
        <v>20512800</v>
      </c>
      <c r="F1437">
        <v>11023100</v>
      </c>
      <c r="G1437" t="s">
        <v>11</v>
      </c>
      <c r="H1437" t="s">
        <v>38</v>
      </c>
      <c r="I1437" t="s">
        <v>13</v>
      </c>
      <c r="J1437" t="s">
        <v>13</v>
      </c>
    </row>
    <row r="1438" spans="1:11" x14ac:dyDescent="0.25">
      <c r="A1438" t="s">
        <v>39</v>
      </c>
      <c r="B1438" t="s">
        <v>13</v>
      </c>
      <c r="C1438" t="s">
        <v>7</v>
      </c>
      <c r="D1438" t="s">
        <v>8</v>
      </c>
      <c r="E1438">
        <v>20512800</v>
      </c>
      <c r="F1438">
        <v>11023100</v>
      </c>
      <c r="G1438" t="s">
        <v>11</v>
      </c>
      <c r="H1438">
        <v>99536800</v>
      </c>
      <c r="I1438" t="s">
        <v>13</v>
      </c>
      <c r="J1438" t="s">
        <v>13</v>
      </c>
      <c r="K1438">
        <v>11.07</v>
      </c>
    </row>
    <row r="1440" spans="1:11" x14ac:dyDescent="0.25">
      <c r="A1440" t="s">
        <v>327</v>
      </c>
      <c r="B1440" t="str">
        <f>"45271"</f>
        <v>45271</v>
      </c>
      <c r="C1440" t="str">
        <f>"002"</f>
        <v>002</v>
      </c>
      <c r="D1440">
        <v>2010</v>
      </c>
      <c r="E1440">
        <v>27463000</v>
      </c>
      <c r="F1440">
        <v>12675200</v>
      </c>
      <c r="G1440" t="s">
        <v>11</v>
      </c>
      <c r="H1440" t="s">
        <v>38</v>
      </c>
      <c r="I1440" t="s">
        <v>13</v>
      </c>
      <c r="J1440" t="s">
        <v>13</v>
      </c>
    </row>
    <row r="1441" spans="1:11" x14ac:dyDescent="0.25">
      <c r="A1441" t="s">
        <v>5</v>
      </c>
      <c r="B1441" t="str">
        <f>"45271"</f>
        <v>45271</v>
      </c>
      <c r="C1441" t="str">
        <f>"003"</f>
        <v>003</v>
      </c>
      <c r="D1441">
        <v>2015</v>
      </c>
      <c r="E1441">
        <v>9787500</v>
      </c>
      <c r="F1441">
        <v>914800</v>
      </c>
      <c r="G1441" t="s">
        <v>11</v>
      </c>
      <c r="H1441" t="s">
        <v>38</v>
      </c>
      <c r="I1441" t="s">
        <v>13</v>
      </c>
      <c r="J1441" t="s">
        <v>13</v>
      </c>
    </row>
    <row r="1442" spans="1:11" x14ac:dyDescent="0.25">
      <c r="A1442" t="s">
        <v>39</v>
      </c>
      <c r="B1442" t="s">
        <v>13</v>
      </c>
      <c r="C1442" t="s">
        <v>7</v>
      </c>
      <c r="D1442" t="s">
        <v>8</v>
      </c>
      <c r="E1442">
        <v>37250500</v>
      </c>
      <c r="F1442">
        <v>13590000</v>
      </c>
      <c r="G1442" t="s">
        <v>11</v>
      </c>
      <c r="H1442">
        <v>1054033800</v>
      </c>
      <c r="I1442" t="s">
        <v>13</v>
      </c>
      <c r="J1442" t="s">
        <v>13</v>
      </c>
      <c r="K1442">
        <v>1.29</v>
      </c>
    </row>
    <row r="1444" spans="1:11" x14ac:dyDescent="0.25">
      <c r="A1444" t="s">
        <v>328</v>
      </c>
      <c r="B1444" t="str">
        <f t="shared" ref="B1444:B1449" si="26">"11271"</f>
        <v>11271</v>
      </c>
      <c r="C1444" t="str">
        <f>"004"</f>
        <v>004</v>
      </c>
      <c r="D1444">
        <v>2003</v>
      </c>
      <c r="E1444">
        <v>829200</v>
      </c>
      <c r="F1444">
        <v>617300</v>
      </c>
      <c r="G1444" t="s">
        <v>11</v>
      </c>
      <c r="H1444" t="s">
        <v>38</v>
      </c>
      <c r="I1444" t="s">
        <v>13</v>
      </c>
      <c r="J1444" t="s">
        <v>13</v>
      </c>
    </row>
    <row r="1445" spans="1:11" x14ac:dyDescent="0.25">
      <c r="A1445" t="s">
        <v>5</v>
      </c>
      <c r="B1445" t="str">
        <f t="shared" si="26"/>
        <v>11271</v>
      </c>
      <c r="C1445" t="str">
        <f>"005"</f>
        <v>005</v>
      </c>
      <c r="D1445">
        <v>2004</v>
      </c>
      <c r="E1445">
        <v>5839600</v>
      </c>
      <c r="F1445">
        <v>4578100</v>
      </c>
      <c r="G1445" t="s">
        <v>11</v>
      </c>
      <c r="H1445" t="s">
        <v>38</v>
      </c>
      <c r="I1445" t="s">
        <v>13</v>
      </c>
      <c r="J1445" t="s">
        <v>13</v>
      </c>
    </row>
    <row r="1446" spans="1:11" x14ac:dyDescent="0.25">
      <c r="A1446" t="s">
        <v>5</v>
      </c>
      <c r="B1446" t="str">
        <f t="shared" si="26"/>
        <v>11271</v>
      </c>
      <c r="C1446" t="str">
        <f>"006"</f>
        <v>006</v>
      </c>
      <c r="D1446">
        <v>2008</v>
      </c>
      <c r="E1446">
        <v>13106500</v>
      </c>
      <c r="F1446">
        <v>-679000</v>
      </c>
      <c r="G1446" t="s">
        <v>43</v>
      </c>
      <c r="H1446" t="s">
        <v>38</v>
      </c>
      <c r="I1446" t="s">
        <v>13</v>
      </c>
      <c r="J1446" t="s">
        <v>13</v>
      </c>
    </row>
    <row r="1447" spans="1:11" x14ac:dyDescent="0.25">
      <c r="A1447" t="s">
        <v>5</v>
      </c>
      <c r="B1447" t="str">
        <f t="shared" si="26"/>
        <v>11271</v>
      </c>
      <c r="C1447" t="str">
        <f>"007"</f>
        <v>007</v>
      </c>
      <c r="D1447">
        <v>2010</v>
      </c>
      <c r="E1447">
        <v>22827200</v>
      </c>
      <c r="F1447">
        <v>2237600</v>
      </c>
      <c r="G1447" t="s">
        <v>11</v>
      </c>
      <c r="H1447" t="s">
        <v>38</v>
      </c>
      <c r="I1447" t="s">
        <v>13</v>
      </c>
      <c r="J1447" t="s">
        <v>13</v>
      </c>
    </row>
    <row r="1448" spans="1:11" x14ac:dyDescent="0.25">
      <c r="A1448" t="s">
        <v>5</v>
      </c>
      <c r="B1448" t="str">
        <f t="shared" si="26"/>
        <v>11271</v>
      </c>
      <c r="C1448" t="str">
        <f>"008"</f>
        <v>008</v>
      </c>
      <c r="D1448">
        <v>2014</v>
      </c>
      <c r="E1448">
        <v>3234000</v>
      </c>
      <c r="F1448">
        <v>2579600</v>
      </c>
      <c r="G1448" t="s">
        <v>11</v>
      </c>
      <c r="H1448" t="s">
        <v>38</v>
      </c>
      <c r="I1448" t="s">
        <v>13</v>
      </c>
      <c r="J1448" t="s">
        <v>13</v>
      </c>
    </row>
    <row r="1449" spans="1:11" x14ac:dyDescent="0.25">
      <c r="A1449" t="s">
        <v>5</v>
      </c>
      <c r="B1449" t="str">
        <f t="shared" si="26"/>
        <v>11271</v>
      </c>
      <c r="C1449" t="str">
        <f>"009"</f>
        <v>009</v>
      </c>
      <c r="D1449">
        <v>2017</v>
      </c>
      <c r="E1449">
        <v>28100</v>
      </c>
      <c r="F1449">
        <v>-600</v>
      </c>
      <c r="G1449" t="s">
        <v>43</v>
      </c>
      <c r="H1449" t="s">
        <v>38</v>
      </c>
      <c r="I1449" t="s">
        <v>13</v>
      </c>
      <c r="J1449" t="s">
        <v>13</v>
      </c>
    </row>
    <row r="1450" spans="1:11" x14ac:dyDescent="0.25">
      <c r="A1450" t="s">
        <v>39</v>
      </c>
      <c r="B1450" t="s">
        <v>13</v>
      </c>
      <c r="C1450" t="s">
        <v>7</v>
      </c>
      <c r="D1450" t="s">
        <v>8</v>
      </c>
      <c r="E1450">
        <v>45864600</v>
      </c>
      <c r="F1450">
        <v>10012600</v>
      </c>
      <c r="G1450" t="s">
        <v>11</v>
      </c>
      <c r="H1450">
        <v>634193100</v>
      </c>
      <c r="I1450" t="s">
        <v>13</v>
      </c>
      <c r="J1450" t="s">
        <v>13</v>
      </c>
      <c r="K1450">
        <v>1.58</v>
      </c>
    </row>
    <row r="1452" spans="1:11" x14ac:dyDescent="0.25">
      <c r="A1452" t="s">
        <v>329</v>
      </c>
      <c r="B1452" t="str">
        <f>"38171"</f>
        <v>38171</v>
      </c>
      <c r="C1452" t="str">
        <f>"001"</f>
        <v>001</v>
      </c>
      <c r="D1452">
        <v>2015</v>
      </c>
      <c r="E1452">
        <v>538800</v>
      </c>
      <c r="F1452">
        <v>534700</v>
      </c>
      <c r="G1452" t="s">
        <v>11</v>
      </c>
      <c r="H1452" t="s">
        <v>38</v>
      </c>
      <c r="I1452" t="s">
        <v>13</v>
      </c>
      <c r="J1452" t="s">
        <v>13</v>
      </c>
    </row>
    <row r="1453" spans="1:11" x14ac:dyDescent="0.25">
      <c r="A1453" t="s">
        <v>39</v>
      </c>
      <c r="B1453" t="s">
        <v>13</v>
      </c>
      <c r="C1453" t="s">
        <v>7</v>
      </c>
      <c r="D1453" t="s">
        <v>8</v>
      </c>
      <c r="E1453">
        <v>538800</v>
      </c>
      <c r="F1453">
        <v>534700</v>
      </c>
      <c r="G1453" t="s">
        <v>11</v>
      </c>
      <c r="H1453">
        <v>13619900</v>
      </c>
      <c r="I1453" t="s">
        <v>13</v>
      </c>
      <c r="J1453" t="s">
        <v>13</v>
      </c>
      <c r="K1453">
        <v>3.93</v>
      </c>
    </row>
    <row r="1455" spans="1:11" x14ac:dyDescent="0.25">
      <c r="A1455" t="s">
        <v>330</v>
      </c>
      <c r="B1455" t="str">
        <f>"12271"</f>
        <v>12271</v>
      </c>
      <c r="C1455" t="str">
        <f>"004"</f>
        <v>004</v>
      </c>
      <c r="D1455">
        <v>1994</v>
      </c>
      <c r="E1455">
        <v>4469700</v>
      </c>
      <c r="F1455">
        <v>3650800</v>
      </c>
      <c r="G1455" t="s">
        <v>11</v>
      </c>
      <c r="H1455" t="s">
        <v>38</v>
      </c>
      <c r="I1455" t="s">
        <v>13</v>
      </c>
      <c r="J1455" t="s">
        <v>13</v>
      </c>
    </row>
    <row r="1456" spans="1:11" x14ac:dyDescent="0.25">
      <c r="A1456" t="s">
        <v>5</v>
      </c>
      <c r="B1456" t="str">
        <f>"12271"</f>
        <v>12271</v>
      </c>
      <c r="C1456" t="str">
        <f>"005"</f>
        <v>005</v>
      </c>
      <c r="D1456">
        <v>1994</v>
      </c>
      <c r="E1456">
        <v>6785800</v>
      </c>
      <c r="F1456">
        <v>6537000</v>
      </c>
      <c r="G1456" t="s">
        <v>11</v>
      </c>
      <c r="H1456" t="s">
        <v>38</v>
      </c>
      <c r="I1456" t="s">
        <v>13</v>
      </c>
      <c r="J1456" t="s">
        <v>13</v>
      </c>
    </row>
    <row r="1457" spans="1:11" x14ac:dyDescent="0.25">
      <c r="A1457" t="s">
        <v>5</v>
      </c>
      <c r="B1457" t="str">
        <f>"12271"</f>
        <v>12271</v>
      </c>
      <c r="C1457" t="str">
        <f>"006"</f>
        <v>006</v>
      </c>
      <c r="D1457">
        <v>1996</v>
      </c>
      <c r="E1457">
        <v>54797400</v>
      </c>
      <c r="F1457">
        <v>53867800</v>
      </c>
      <c r="G1457" t="s">
        <v>11</v>
      </c>
      <c r="H1457" t="s">
        <v>38</v>
      </c>
      <c r="I1457" t="s">
        <v>13</v>
      </c>
      <c r="J1457" t="s">
        <v>13</v>
      </c>
    </row>
    <row r="1458" spans="1:11" x14ac:dyDescent="0.25">
      <c r="A1458" t="s">
        <v>39</v>
      </c>
      <c r="B1458" t="s">
        <v>13</v>
      </c>
      <c r="C1458" t="s">
        <v>7</v>
      </c>
      <c r="D1458" t="s">
        <v>8</v>
      </c>
      <c r="E1458">
        <v>66052900</v>
      </c>
      <c r="F1458">
        <v>64055600</v>
      </c>
      <c r="G1458" t="s">
        <v>11</v>
      </c>
      <c r="H1458">
        <v>374747300</v>
      </c>
      <c r="I1458" t="s">
        <v>13</v>
      </c>
      <c r="J1458" t="s">
        <v>13</v>
      </c>
      <c r="K1458">
        <v>17.09</v>
      </c>
    </row>
    <row r="1460" spans="1:11" x14ac:dyDescent="0.25">
      <c r="A1460" t="s">
        <v>331</v>
      </c>
      <c r="B1460" t="str">
        <f>"56172"</f>
        <v>56172</v>
      </c>
      <c r="C1460" t="str">
        <f>"003"</f>
        <v>003</v>
      </c>
      <c r="D1460">
        <v>1996</v>
      </c>
      <c r="E1460">
        <v>18338300</v>
      </c>
      <c r="F1460">
        <v>13133500</v>
      </c>
      <c r="G1460" t="s">
        <v>11</v>
      </c>
      <c r="H1460" t="s">
        <v>38</v>
      </c>
      <c r="I1460" t="s">
        <v>13</v>
      </c>
      <c r="J1460" t="s">
        <v>13</v>
      </c>
    </row>
    <row r="1461" spans="1:11" x14ac:dyDescent="0.25">
      <c r="A1461" t="s">
        <v>5</v>
      </c>
      <c r="B1461" t="str">
        <f>"56172"</f>
        <v>56172</v>
      </c>
      <c r="C1461" t="str">
        <f>"004"</f>
        <v>004</v>
      </c>
      <c r="D1461">
        <v>2008</v>
      </c>
      <c r="E1461">
        <v>16345400</v>
      </c>
      <c r="F1461">
        <v>15862100</v>
      </c>
      <c r="G1461" t="s">
        <v>11</v>
      </c>
      <c r="H1461" t="s">
        <v>38</v>
      </c>
      <c r="I1461" t="s">
        <v>13</v>
      </c>
      <c r="J1461" t="s">
        <v>13</v>
      </c>
    </row>
    <row r="1462" spans="1:11" x14ac:dyDescent="0.25">
      <c r="A1462" t="s">
        <v>39</v>
      </c>
      <c r="B1462" t="s">
        <v>13</v>
      </c>
      <c r="C1462" t="s">
        <v>7</v>
      </c>
      <c r="D1462" t="s">
        <v>8</v>
      </c>
      <c r="E1462">
        <v>34683700</v>
      </c>
      <c r="F1462">
        <v>28995600</v>
      </c>
      <c r="G1462" t="s">
        <v>11</v>
      </c>
      <c r="H1462">
        <v>419813000</v>
      </c>
      <c r="I1462" t="s">
        <v>13</v>
      </c>
      <c r="J1462" t="s">
        <v>13</v>
      </c>
      <c r="K1462">
        <v>6.91</v>
      </c>
    </row>
    <row r="1464" spans="1:11" x14ac:dyDescent="0.25">
      <c r="A1464" t="s">
        <v>332</v>
      </c>
      <c r="B1464" t="str">
        <f>"03171"</f>
        <v>03171</v>
      </c>
      <c r="C1464" t="str">
        <f>"001"</f>
        <v>001</v>
      </c>
      <c r="D1464">
        <v>2002</v>
      </c>
      <c r="E1464">
        <v>4136300</v>
      </c>
      <c r="F1464">
        <v>877900</v>
      </c>
      <c r="G1464" t="s">
        <v>11</v>
      </c>
      <c r="H1464" t="s">
        <v>38</v>
      </c>
      <c r="I1464" t="s">
        <v>13</v>
      </c>
      <c r="J1464" t="s">
        <v>13</v>
      </c>
    </row>
    <row r="1465" spans="1:11" x14ac:dyDescent="0.25">
      <c r="A1465" t="s">
        <v>39</v>
      </c>
      <c r="B1465" t="s">
        <v>13</v>
      </c>
      <c r="C1465" t="s">
        <v>7</v>
      </c>
      <c r="D1465" t="s">
        <v>8</v>
      </c>
      <c r="E1465">
        <v>4136300</v>
      </c>
      <c r="F1465">
        <v>877900</v>
      </c>
      <c r="G1465" t="s">
        <v>11</v>
      </c>
      <c r="H1465">
        <v>17662000</v>
      </c>
      <c r="I1465" t="s">
        <v>13</v>
      </c>
      <c r="J1465" t="s">
        <v>13</v>
      </c>
      <c r="K1465">
        <v>4.97</v>
      </c>
    </row>
    <row r="1467" spans="1:11" x14ac:dyDescent="0.25">
      <c r="A1467" t="s">
        <v>333</v>
      </c>
      <c r="B1467" t="str">
        <f>"50171"</f>
        <v>50171</v>
      </c>
      <c r="C1467" t="str">
        <f>"003"</f>
        <v>003</v>
      </c>
      <c r="D1467">
        <v>2011</v>
      </c>
      <c r="E1467">
        <v>83200</v>
      </c>
      <c r="F1467">
        <v>21200</v>
      </c>
      <c r="G1467" t="s">
        <v>11</v>
      </c>
      <c r="H1467" t="s">
        <v>38</v>
      </c>
      <c r="I1467" t="s">
        <v>13</v>
      </c>
      <c r="J1467" t="s">
        <v>13</v>
      </c>
    </row>
    <row r="1468" spans="1:11" x14ac:dyDescent="0.25">
      <c r="A1468" t="s">
        <v>39</v>
      </c>
      <c r="B1468" t="s">
        <v>13</v>
      </c>
      <c r="C1468" t="s">
        <v>7</v>
      </c>
      <c r="D1468" t="s">
        <v>8</v>
      </c>
      <c r="E1468">
        <v>83200</v>
      </c>
      <c r="F1468">
        <v>21200</v>
      </c>
      <c r="G1468" t="s">
        <v>11</v>
      </c>
      <c r="H1468">
        <v>28570500</v>
      </c>
      <c r="I1468" t="s">
        <v>13</v>
      </c>
      <c r="J1468" t="s">
        <v>13</v>
      </c>
      <c r="K1468">
        <v>7.0000000000000007E-2</v>
      </c>
    </row>
    <row r="1470" spans="1:11" x14ac:dyDescent="0.25">
      <c r="A1470" t="s">
        <v>334</v>
      </c>
      <c r="B1470" t="str">
        <f>"47271"</f>
        <v>47271</v>
      </c>
      <c r="C1470" t="str">
        <f>"003"</f>
        <v>003</v>
      </c>
      <c r="D1470">
        <v>2000</v>
      </c>
      <c r="E1470">
        <v>15697600</v>
      </c>
      <c r="F1470">
        <v>12653200</v>
      </c>
      <c r="G1470" t="s">
        <v>11</v>
      </c>
      <c r="H1470" t="s">
        <v>38</v>
      </c>
      <c r="I1470" t="s">
        <v>13</v>
      </c>
      <c r="J1470" t="s">
        <v>13</v>
      </c>
    </row>
    <row r="1471" spans="1:11" x14ac:dyDescent="0.25">
      <c r="A1471" t="s">
        <v>5</v>
      </c>
      <c r="B1471" t="str">
        <f>"47271"</f>
        <v>47271</v>
      </c>
      <c r="C1471" t="str">
        <f>"004"</f>
        <v>004</v>
      </c>
      <c r="D1471">
        <v>2003</v>
      </c>
      <c r="E1471">
        <v>25709300</v>
      </c>
      <c r="F1471">
        <v>16128000</v>
      </c>
      <c r="G1471" t="s">
        <v>11</v>
      </c>
      <c r="H1471" t="s">
        <v>38</v>
      </c>
      <c r="I1471" t="s">
        <v>13</v>
      </c>
      <c r="J1471" t="s">
        <v>13</v>
      </c>
    </row>
    <row r="1472" spans="1:11" x14ac:dyDescent="0.25">
      <c r="A1472" t="s">
        <v>5</v>
      </c>
      <c r="B1472" t="str">
        <f>"47271"</f>
        <v>47271</v>
      </c>
      <c r="C1472" t="str">
        <f>"005"</f>
        <v>005</v>
      </c>
      <c r="D1472">
        <v>2006</v>
      </c>
      <c r="E1472">
        <v>35970400</v>
      </c>
      <c r="F1472">
        <v>33244600</v>
      </c>
      <c r="G1472" t="s">
        <v>11</v>
      </c>
      <c r="H1472" t="s">
        <v>38</v>
      </c>
      <c r="I1472" t="s">
        <v>13</v>
      </c>
      <c r="J1472" t="s">
        <v>13</v>
      </c>
    </row>
    <row r="1473" spans="1:11" x14ac:dyDescent="0.25">
      <c r="A1473" t="s">
        <v>39</v>
      </c>
      <c r="B1473" t="s">
        <v>13</v>
      </c>
      <c r="C1473" t="s">
        <v>7</v>
      </c>
      <c r="D1473" t="s">
        <v>8</v>
      </c>
      <c r="E1473">
        <v>77377300</v>
      </c>
      <c r="F1473">
        <v>62025800</v>
      </c>
      <c r="G1473" t="s">
        <v>11</v>
      </c>
      <c r="H1473">
        <v>366807000</v>
      </c>
      <c r="I1473" t="s">
        <v>13</v>
      </c>
      <c r="J1473" t="s">
        <v>13</v>
      </c>
      <c r="K1473">
        <v>16.91</v>
      </c>
    </row>
    <row r="1475" spans="1:11" x14ac:dyDescent="0.25">
      <c r="A1475" t="s">
        <v>335</v>
      </c>
      <c r="B1475" t="str">
        <f>"24271"</f>
        <v>24271</v>
      </c>
      <c r="C1475" t="str">
        <f>"002"</f>
        <v>002</v>
      </c>
      <c r="D1475">
        <v>2001</v>
      </c>
      <c r="E1475">
        <v>6857900</v>
      </c>
      <c r="F1475">
        <v>1747300</v>
      </c>
      <c r="G1475" t="s">
        <v>11</v>
      </c>
      <c r="H1475" t="s">
        <v>38</v>
      </c>
      <c r="I1475" t="s">
        <v>13</v>
      </c>
      <c r="J1475" t="s">
        <v>13</v>
      </c>
    </row>
    <row r="1476" spans="1:11" x14ac:dyDescent="0.25">
      <c r="A1476" t="s">
        <v>39</v>
      </c>
      <c r="B1476" t="s">
        <v>13</v>
      </c>
      <c r="C1476" t="s">
        <v>7</v>
      </c>
      <c r="D1476" t="s">
        <v>8</v>
      </c>
      <c r="E1476">
        <v>6857900</v>
      </c>
      <c r="F1476">
        <v>1747300</v>
      </c>
      <c r="G1476" t="s">
        <v>11</v>
      </c>
      <c r="H1476">
        <v>50220900</v>
      </c>
      <c r="I1476" t="s">
        <v>13</v>
      </c>
      <c r="J1476" t="s">
        <v>13</v>
      </c>
      <c r="K1476">
        <v>3.48</v>
      </c>
    </row>
    <row r="1478" spans="1:11" x14ac:dyDescent="0.25">
      <c r="A1478" t="s">
        <v>336</v>
      </c>
      <c r="B1478" t="str">
        <f>"05171"</f>
        <v>05171</v>
      </c>
      <c r="C1478" t="str">
        <f>"002"</f>
        <v>002</v>
      </c>
      <c r="D1478">
        <v>2005</v>
      </c>
      <c r="E1478">
        <v>17185800</v>
      </c>
      <c r="F1478">
        <v>6824700</v>
      </c>
      <c r="G1478" t="s">
        <v>11</v>
      </c>
      <c r="H1478" t="s">
        <v>38</v>
      </c>
      <c r="I1478" t="s">
        <v>13</v>
      </c>
      <c r="J1478" t="s">
        <v>13</v>
      </c>
    </row>
    <row r="1479" spans="1:11" x14ac:dyDescent="0.25">
      <c r="A1479" t="s">
        <v>5</v>
      </c>
      <c r="B1479" t="str">
        <f>"05171"</f>
        <v>05171</v>
      </c>
      <c r="C1479" t="str">
        <f>"003"</f>
        <v>003</v>
      </c>
      <c r="D1479">
        <v>2014</v>
      </c>
      <c r="E1479">
        <v>5198800</v>
      </c>
      <c r="F1479">
        <v>-801200</v>
      </c>
      <c r="G1479" t="s">
        <v>43</v>
      </c>
      <c r="H1479" t="s">
        <v>38</v>
      </c>
      <c r="I1479" t="s">
        <v>13</v>
      </c>
      <c r="J1479" t="s">
        <v>13</v>
      </c>
    </row>
    <row r="1480" spans="1:11" x14ac:dyDescent="0.25">
      <c r="A1480" t="s">
        <v>5</v>
      </c>
      <c r="B1480" t="str">
        <f>"05171"</f>
        <v>05171</v>
      </c>
      <c r="C1480" t="str">
        <f>"004"</f>
        <v>004</v>
      </c>
      <c r="D1480">
        <v>2015</v>
      </c>
      <c r="E1480">
        <v>11272800</v>
      </c>
      <c r="F1480">
        <v>9370500</v>
      </c>
      <c r="G1480" t="s">
        <v>11</v>
      </c>
      <c r="H1480" t="s">
        <v>38</v>
      </c>
      <c r="I1480" t="s">
        <v>13</v>
      </c>
      <c r="J1480" t="s">
        <v>13</v>
      </c>
    </row>
    <row r="1481" spans="1:11" x14ac:dyDescent="0.25">
      <c r="A1481" t="s">
        <v>39</v>
      </c>
      <c r="B1481" t="s">
        <v>13</v>
      </c>
      <c r="C1481" t="s">
        <v>7</v>
      </c>
      <c r="D1481" t="s">
        <v>8</v>
      </c>
      <c r="E1481">
        <v>33657400</v>
      </c>
      <c r="F1481">
        <v>16195200</v>
      </c>
      <c r="G1481" t="s">
        <v>11</v>
      </c>
      <c r="H1481">
        <v>213311500</v>
      </c>
      <c r="I1481" t="s">
        <v>13</v>
      </c>
      <c r="J1481" t="s">
        <v>13</v>
      </c>
      <c r="K1481">
        <v>7.59</v>
      </c>
    </row>
    <row r="1483" spans="1:11" x14ac:dyDescent="0.25">
      <c r="A1483" t="s">
        <v>337</v>
      </c>
      <c r="B1483" t="str">
        <f t="shared" ref="B1483:B1496" si="27">"51276"</f>
        <v>51276</v>
      </c>
      <c r="C1483" t="str">
        <f>"002"</f>
        <v>002</v>
      </c>
      <c r="D1483">
        <v>1983</v>
      </c>
      <c r="E1483">
        <v>26925600</v>
      </c>
      <c r="F1483">
        <v>24530900</v>
      </c>
      <c r="G1483" t="s">
        <v>11</v>
      </c>
      <c r="H1483" t="s">
        <v>38</v>
      </c>
      <c r="I1483" t="s">
        <v>13</v>
      </c>
      <c r="J1483" t="s">
        <v>13</v>
      </c>
    </row>
    <row r="1484" spans="1:11" x14ac:dyDescent="0.25">
      <c r="A1484" t="s">
        <v>5</v>
      </c>
      <c r="B1484" t="str">
        <f t="shared" si="27"/>
        <v>51276</v>
      </c>
      <c r="C1484" t="str">
        <f>"008"</f>
        <v>008</v>
      </c>
      <c r="D1484">
        <v>1990</v>
      </c>
      <c r="E1484">
        <v>33677300</v>
      </c>
      <c r="F1484">
        <v>22338950</v>
      </c>
      <c r="G1484" t="s">
        <v>11</v>
      </c>
      <c r="H1484" t="s">
        <v>38</v>
      </c>
      <c r="I1484" t="s">
        <v>13</v>
      </c>
      <c r="J1484" t="s">
        <v>13</v>
      </c>
    </row>
    <row r="1485" spans="1:11" x14ac:dyDescent="0.25">
      <c r="A1485" t="s">
        <v>5</v>
      </c>
      <c r="B1485" t="str">
        <f t="shared" si="27"/>
        <v>51276</v>
      </c>
      <c r="C1485" t="str">
        <f>"009"</f>
        <v>009</v>
      </c>
      <c r="D1485">
        <v>2000</v>
      </c>
      <c r="E1485">
        <v>30301500</v>
      </c>
      <c r="F1485">
        <v>29423900</v>
      </c>
      <c r="G1485" t="s">
        <v>11</v>
      </c>
      <c r="H1485" t="s">
        <v>38</v>
      </c>
      <c r="I1485" t="s">
        <v>13</v>
      </c>
      <c r="J1485" t="s">
        <v>13</v>
      </c>
    </row>
    <row r="1486" spans="1:11" x14ac:dyDescent="0.25">
      <c r="A1486" t="s">
        <v>5</v>
      </c>
      <c r="B1486" t="str">
        <f t="shared" si="27"/>
        <v>51276</v>
      </c>
      <c r="C1486" t="str">
        <f>"010"</f>
        <v>010</v>
      </c>
      <c r="D1486">
        <v>2003</v>
      </c>
      <c r="E1486">
        <v>932500</v>
      </c>
      <c r="F1486">
        <v>-247900</v>
      </c>
      <c r="G1486" t="s">
        <v>43</v>
      </c>
      <c r="H1486" t="s">
        <v>38</v>
      </c>
      <c r="I1486" t="s">
        <v>13</v>
      </c>
      <c r="J1486" t="s">
        <v>13</v>
      </c>
    </row>
    <row r="1487" spans="1:11" x14ac:dyDescent="0.25">
      <c r="A1487" t="s">
        <v>5</v>
      </c>
      <c r="B1487" t="str">
        <f t="shared" si="27"/>
        <v>51276</v>
      </c>
      <c r="C1487" t="str">
        <f>"011"</f>
        <v>011</v>
      </c>
      <c r="D1487">
        <v>2005</v>
      </c>
      <c r="E1487">
        <v>5523700</v>
      </c>
      <c r="F1487">
        <v>2344000</v>
      </c>
      <c r="G1487" t="s">
        <v>11</v>
      </c>
      <c r="H1487" t="s">
        <v>38</v>
      </c>
      <c r="I1487" t="s">
        <v>13</v>
      </c>
      <c r="J1487" t="s">
        <v>13</v>
      </c>
    </row>
    <row r="1488" spans="1:11" x14ac:dyDescent="0.25">
      <c r="A1488" t="s">
        <v>5</v>
      </c>
      <c r="B1488" t="str">
        <f t="shared" si="27"/>
        <v>51276</v>
      </c>
      <c r="C1488" t="str">
        <f>"012"</f>
        <v>012</v>
      </c>
      <c r="D1488">
        <v>2006</v>
      </c>
      <c r="E1488">
        <v>5982900</v>
      </c>
      <c r="F1488">
        <v>5604900</v>
      </c>
      <c r="G1488" t="s">
        <v>11</v>
      </c>
      <c r="H1488" t="s">
        <v>38</v>
      </c>
      <c r="I1488" t="s">
        <v>13</v>
      </c>
      <c r="J1488" t="s">
        <v>13</v>
      </c>
    </row>
    <row r="1489" spans="1:11" x14ac:dyDescent="0.25">
      <c r="A1489" t="s">
        <v>5</v>
      </c>
      <c r="B1489" t="str">
        <f t="shared" si="27"/>
        <v>51276</v>
      </c>
      <c r="C1489" t="str">
        <f>"013"</f>
        <v>013</v>
      </c>
      <c r="D1489">
        <v>2006</v>
      </c>
      <c r="E1489">
        <v>8471900</v>
      </c>
      <c r="F1489">
        <v>8159600</v>
      </c>
      <c r="G1489" t="s">
        <v>11</v>
      </c>
      <c r="H1489" t="s">
        <v>38</v>
      </c>
      <c r="I1489" t="s">
        <v>13</v>
      </c>
      <c r="J1489" t="s">
        <v>13</v>
      </c>
    </row>
    <row r="1490" spans="1:11" x14ac:dyDescent="0.25">
      <c r="A1490" t="s">
        <v>5</v>
      </c>
      <c r="B1490" t="str">
        <f t="shared" si="27"/>
        <v>51276</v>
      </c>
      <c r="C1490" t="str">
        <f>"014"</f>
        <v>014</v>
      </c>
      <c r="D1490">
        <v>2006</v>
      </c>
      <c r="E1490">
        <v>4157400</v>
      </c>
      <c r="F1490">
        <v>54200</v>
      </c>
      <c r="G1490" t="s">
        <v>11</v>
      </c>
      <c r="H1490" t="s">
        <v>38</v>
      </c>
      <c r="I1490" t="s">
        <v>13</v>
      </c>
      <c r="J1490" t="s">
        <v>13</v>
      </c>
    </row>
    <row r="1491" spans="1:11" x14ac:dyDescent="0.25">
      <c r="A1491" t="s">
        <v>5</v>
      </c>
      <c r="B1491" t="str">
        <f t="shared" si="27"/>
        <v>51276</v>
      </c>
      <c r="C1491" t="str">
        <f>"015"</f>
        <v>015</v>
      </c>
      <c r="D1491">
        <v>2006</v>
      </c>
      <c r="E1491">
        <v>0</v>
      </c>
      <c r="F1491">
        <v>0</v>
      </c>
      <c r="G1491" t="s">
        <v>11</v>
      </c>
      <c r="H1491" t="s">
        <v>38</v>
      </c>
      <c r="I1491" t="s">
        <v>13</v>
      </c>
      <c r="J1491" t="s">
        <v>13</v>
      </c>
    </row>
    <row r="1492" spans="1:11" x14ac:dyDescent="0.25">
      <c r="A1492" t="s">
        <v>5</v>
      </c>
      <c r="B1492" t="str">
        <f t="shared" si="27"/>
        <v>51276</v>
      </c>
      <c r="C1492" t="str">
        <f>"016"</f>
        <v>016</v>
      </c>
      <c r="D1492">
        <v>2009</v>
      </c>
      <c r="E1492">
        <v>35970700</v>
      </c>
      <c r="F1492">
        <v>-2246700</v>
      </c>
      <c r="G1492" t="s">
        <v>43</v>
      </c>
      <c r="H1492" t="s">
        <v>38</v>
      </c>
      <c r="I1492" t="s">
        <v>13</v>
      </c>
      <c r="J1492" t="s">
        <v>13</v>
      </c>
    </row>
    <row r="1493" spans="1:11" x14ac:dyDescent="0.25">
      <c r="A1493" t="s">
        <v>5</v>
      </c>
      <c r="B1493" t="str">
        <f t="shared" si="27"/>
        <v>51276</v>
      </c>
      <c r="C1493" t="str">
        <f>"017"</f>
        <v>017</v>
      </c>
      <c r="D1493">
        <v>2012</v>
      </c>
      <c r="E1493">
        <v>364900</v>
      </c>
      <c r="F1493">
        <v>-959700</v>
      </c>
      <c r="G1493" t="s">
        <v>43</v>
      </c>
      <c r="H1493" t="s">
        <v>38</v>
      </c>
      <c r="I1493" t="s">
        <v>13</v>
      </c>
      <c r="J1493" t="s">
        <v>13</v>
      </c>
    </row>
    <row r="1494" spans="1:11" x14ac:dyDescent="0.25">
      <c r="A1494" t="s">
        <v>5</v>
      </c>
      <c r="B1494" t="str">
        <f t="shared" si="27"/>
        <v>51276</v>
      </c>
      <c r="C1494" t="str">
        <f>"018"</f>
        <v>018</v>
      </c>
      <c r="D1494">
        <v>2014</v>
      </c>
      <c r="E1494">
        <v>3045500</v>
      </c>
      <c r="F1494">
        <v>-7204600</v>
      </c>
      <c r="G1494" t="s">
        <v>43</v>
      </c>
      <c r="H1494" t="s">
        <v>38</v>
      </c>
      <c r="I1494" t="s">
        <v>13</v>
      </c>
      <c r="J1494" t="s">
        <v>13</v>
      </c>
    </row>
    <row r="1495" spans="1:11" x14ac:dyDescent="0.25">
      <c r="A1495" t="s">
        <v>5</v>
      </c>
      <c r="B1495" t="str">
        <f t="shared" si="27"/>
        <v>51276</v>
      </c>
      <c r="C1495" t="str">
        <f>"019"</f>
        <v>019</v>
      </c>
      <c r="D1495">
        <v>2016</v>
      </c>
      <c r="E1495">
        <v>38953900</v>
      </c>
      <c r="F1495">
        <v>759500</v>
      </c>
      <c r="G1495" t="s">
        <v>11</v>
      </c>
      <c r="H1495" t="s">
        <v>38</v>
      </c>
      <c r="I1495" t="s">
        <v>13</v>
      </c>
      <c r="J1495" t="s">
        <v>13</v>
      </c>
    </row>
    <row r="1496" spans="1:11" x14ac:dyDescent="0.25">
      <c r="A1496" t="s">
        <v>5</v>
      </c>
      <c r="B1496" t="str">
        <f t="shared" si="27"/>
        <v>51276</v>
      </c>
      <c r="C1496" t="str">
        <f>"020"</f>
        <v>020</v>
      </c>
      <c r="D1496">
        <v>2017</v>
      </c>
      <c r="E1496">
        <v>56446400</v>
      </c>
      <c r="F1496">
        <v>-3523600</v>
      </c>
      <c r="G1496" t="s">
        <v>43</v>
      </c>
      <c r="H1496" t="s">
        <v>38</v>
      </c>
      <c r="I1496" t="s">
        <v>13</v>
      </c>
      <c r="J1496" t="s">
        <v>13</v>
      </c>
    </row>
    <row r="1497" spans="1:11" x14ac:dyDescent="0.25">
      <c r="A1497" t="s">
        <v>39</v>
      </c>
      <c r="B1497" t="s">
        <v>13</v>
      </c>
      <c r="C1497" t="s">
        <v>7</v>
      </c>
      <c r="D1497" t="s">
        <v>8</v>
      </c>
      <c r="E1497">
        <v>250754200</v>
      </c>
      <c r="F1497">
        <v>93215950</v>
      </c>
      <c r="G1497" t="s">
        <v>11</v>
      </c>
      <c r="H1497">
        <v>3435653100</v>
      </c>
      <c r="I1497" t="s">
        <v>13</v>
      </c>
      <c r="J1497" t="s">
        <v>13</v>
      </c>
      <c r="K1497">
        <v>2.71</v>
      </c>
    </row>
    <row r="1499" spans="1:11" x14ac:dyDescent="0.25">
      <c r="A1499" t="s">
        <v>338</v>
      </c>
      <c r="B1499" t="str">
        <f>"14176"</f>
        <v>14176</v>
      </c>
      <c r="C1499" t="str">
        <f>"001"</f>
        <v>001</v>
      </c>
      <c r="D1499">
        <v>1993</v>
      </c>
      <c r="E1499">
        <v>13339300</v>
      </c>
      <c r="F1499">
        <v>10918100</v>
      </c>
      <c r="G1499" t="s">
        <v>11</v>
      </c>
      <c r="H1499" t="s">
        <v>38</v>
      </c>
      <c r="I1499" t="s">
        <v>13</v>
      </c>
      <c r="J1499" t="s">
        <v>13</v>
      </c>
    </row>
    <row r="1500" spans="1:11" x14ac:dyDescent="0.25">
      <c r="A1500" t="s">
        <v>5</v>
      </c>
      <c r="B1500" t="str">
        <f>"11176"</f>
        <v>11176</v>
      </c>
      <c r="C1500" t="str">
        <f>"002"</f>
        <v>002</v>
      </c>
      <c r="D1500">
        <v>1995</v>
      </c>
      <c r="E1500">
        <v>3657600</v>
      </c>
      <c r="F1500">
        <v>1169100</v>
      </c>
      <c r="G1500" t="s">
        <v>11</v>
      </c>
      <c r="H1500" t="s">
        <v>38</v>
      </c>
      <c r="I1500" t="s">
        <v>13</v>
      </c>
      <c r="J1500" t="s">
        <v>13</v>
      </c>
    </row>
    <row r="1501" spans="1:11" x14ac:dyDescent="0.25">
      <c r="A1501" t="s">
        <v>5</v>
      </c>
      <c r="B1501" t="str">
        <f>"14176"</f>
        <v>14176</v>
      </c>
      <c r="C1501" t="str">
        <f>"002"</f>
        <v>002</v>
      </c>
      <c r="D1501">
        <v>1995</v>
      </c>
      <c r="E1501">
        <v>11426000</v>
      </c>
      <c r="F1501">
        <v>7226700</v>
      </c>
      <c r="G1501" t="s">
        <v>11</v>
      </c>
      <c r="H1501" t="s">
        <v>38</v>
      </c>
      <c r="I1501" t="s">
        <v>13</v>
      </c>
      <c r="J1501" t="s">
        <v>13</v>
      </c>
    </row>
    <row r="1502" spans="1:11" x14ac:dyDescent="0.25">
      <c r="A1502" t="s">
        <v>39</v>
      </c>
      <c r="B1502" t="s">
        <v>13</v>
      </c>
      <c r="C1502" t="s">
        <v>7</v>
      </c>
      <c r="D1502" t="s">
        <v>8</v>
      </c>
      <c r="E1502">
        <v>28422900</v>
      </c>
      <c r="F1502">
        <v>19313900</v>
      </c>
      <c r="G1502" t="s">
        <v>11</v>
      </c>
      <c r="H1502">
        <v>98860100</v>
      </c>
      <c r="I1502" t="s">
        <v>13</v>
      </c>
      <c r="J1502" t="s">
        <v>13</v>
      </c>
      <c r="K1502">
        <v>19.54</v>
      </c>
    </row>
    <row r="1504" spans="1:11" x14ac:dyDescent="0.25">
      <c r="A1504" t="s">
        <v>339</v>
      </c>
      <c r="B1504" t="str">
        <f>"59176"</f>
        <v>59176</v>
      </c>
      <c r="C1504" t="str">
        <f>"003"</f>
        <v>003</v>
      </c>
      <c r="D1504">
        <v>2014</v>
      </c>
      <c r="E1504">
        <v>2851500</v>
      </c>
      <c r="F1504">
        <v>1454400</v>
      </c>
      <c r="G1504" t="s">
        <v>11</v>
      </c>
      <c r="H1504" t="s">
        <v>38</v>
      </c>
      <c r="I1504" t="s">
        <v>13</v>
      </c>
      <c r="J1504" t="s">
        <v>13</v>
      </c>
    </row>
    <row r="1505" spans="1:11" x14ac:dyDescent="0.25">
      <c r="A1505" t="s">
        <v>39</v>
      </c>
      <c r="B1505" t="s">
        <v>13</v>
      </c>
      <c r="C1505" t="s">
        <v>7</v>
      </c>
      <c r="D1505" t="s">
        <v>8</v>
      </c>
      <c r="E1505">
        <v>2851500</v>
      </c>
      <c r="F1505">
        <v>1454400</v>
      </c>
      <c r="G1505" t="s">
        <v>11</v>
      </c>
      <c r="H1505">
        <v>152066500</v>
      </c>
      <c r="I1505" t="s">
        <v>13</v>
      </c>
      <c r="J1505" t="s">
        <v>13</v>
      </c>
      <c r="K1505">
        <v>0.96</v>
      </c>
    </row>
    <row r="1507" spans="1:11" x14ac:dyDescent="0.25">
      <c r="A1507" t="s">
        <v>340</v>
      </c>
      <c r="B1507" t="str">
        <f>"69176"</f>
        <v>69176</v>
      </c>
      <c r="C1507" t="str">
        <f>"001"</f>
        <v>001</v>
      </c>
      <c r="D1507">
        <v>1997</v>
      </c>
      <c r="E1507">
        <v>11423700</v>
      </c>
      <c r="F1507">
        <v>9964700</v>
      </c>
      <c r="G1507" t="s">
        <v>11</v>
      </c>
      <c r="H1507" t="s">
        <v>38</v>
      </c>
      <c r="I1507" t="s">
        <v>13</v>
      </c>
      <c r="J1507" t="s">
        <v>13</v>
      </c>
    </row>
    <row r="1508" spans="1:11" x14ac:dyDescent="0.25">
      <c r="A1508" t="s">
        <v>5</v>
      </c>
      <c r="B1508" t="str">
        <f>"69176"</f>
        <v>69176</v>
      </c>
      <c r="C1508" t="str">
        <f>"002"</f>
        <v>002</v>
      </c>
      <c r="D1508">
        <v>1997</v>
      </c>
      <c r="E1508">
        <v>438300</v>
      </c>
      <c r="F1508">
        <v>392100</v>
      </c>
      <c r="G1508" t="s">
        <v>11</v>
      </c>
      <c r="H1508" t="s">
        <v>38</v>
      </c>
      <c r="I1508" t="s">
        <v>13</v>
      </c>
      <c r="J1508" t="s">
        <v>13</v>
      </c>
    </row>
    <row r="1509" spans="1:11" x14ac:dyDescent="0.25">
      <c r="A1509" t="s">
        <v>39</v>
      </c>
      <c r="B1509" t="s">
        <v>13</v>
      </c>
      <c r="C1509" t="s">
        <v>7</v>
      </c>
      <c r="D1509" t="s">
        <v>8</v>
      </c>
      <c r="E1509">
        <v>11862000</v>
      </c>
      <c r="F1509">
        <v>10356800</v>
      </c>
      <c r="G1509" t="s">
        <v>11</v>
      </c>
      <c r="H1509">
        <v>48608800</v>
      </c>
      <c r="I1509" t="s">
        <v>13</v>
      </c>
      <c r="J1509" t="s">
        <v>13</v>
      </c>
      <c r="K1509">
        <v>21.31</v>
      </c>
    </row>
    <row r="1511" spans="1:11" x14ac:dyDescent="0.25">
      <c r="A1511" t="s">
        <v>341</v>
      </c>
      <c r="B1511" t="str">
        <f t="shared" ref="B1511:B1517" si="28">"56276"</f>
        <v>56276</v>
      </c>
      <c r="C1511" t="str">
        <f>"003"</f>
        <v>003</v>
      </c>
      <c r="D1511">
        <v>1998</v>
      </c>
      <c r="E1511">
        <v>4381200</v>
      </c>
      <c r="F1511">
        <v>3131800</v>
      </c>
      <c r="G1511" t="s">
        <v>11</v>
      </c>
      <c r="H1511" t="s">
        <v>38</v>
      </c>
      <c r="I1511" t="s">
        <v>13</v>
      </c>
      <c r="J1511" t="s">
        <v>13</v>
      </c>
    </row>
    <row r="1512" spans="1:11" x14ac:dyDescent="0.25">
      <c r="A1512" t="s">
        <v>5</v>
      </c>
      <c r="B1512" t="str">
        <f t="shared" si="28"/>
        <v>56276</v>
      </c>
      <c r="C1512" t="str">
        <f>"004"</f>
        <v>004</v>
      </c>
      <c r="D1512">
        <v>1998</v>
      </c>
      <c r="E1512">
        <v>18458000</v>
      </c>
      <c r="F1512">
        <v>14372100</v>
      </c>
      <c r="G1512" t="s">
        <v>11</v>
      </c>
      <c r="H1512" t="s">
        <v>38</v>
      </c>
      <c r="I1512" t="s">
        <v>13</v>
      </c>
      <c r="J1512" t="s">
        <v>13</v>
      </c>
    </row>
    <row r="1513" spans="1:11" x14ac:dyDescent="0.25">
      <c r="A1513" t="s">
        <v>5</v>
      </c>
      <c r="B1513" t="str">
        <f t="shared" si="28"/>
        <v>56276</v>
      </c>
      <c r="C1513" t="str">
        <f>"005"</f>
        <v>005</v>
      </c>
      <c r="D1513">
        <v>2000</v>
      </c>
      <c r="E1513">
        <v>4321300</v>
      </c>
      <c r="F1513">
        <v>3012300</v>
      </c>
      <c r="G1513" t="s">
        <v>11</v>
      </c>
      <c r="H1513" t="s">
        <v>38</v>
      </c>
      <c r="I1513" t="s">
        <v>13</v>
      </c>
      <c r="J1513" t="s">
        <v>13</v>
      </c>
    </row>
    <row r="1514" spans="1:11" x14ac:dyDescent="0.25">
      <c r="A1514" t="s">
        <v>5</v>
      </c>
      <c r="B1514" t="str">
        <f t="shared" si="28"/>
        <v>56276</v>
      </c>
      <c r="C1514" t="str">
        <f>"006"</f>
        <v>006</v>
      </c>
      <c r="D1514">
        <v>2000</v>
      </c>
      <c r="E1514">
        <v>11654600</v>
      </c>
      <c r="F1514">
        <v>1459300</v>
      </c>
      <c r="G1514" t="s">
        <v>11</v>
      </c>
      <c r="H1514" t="s">
        <v>38</v>
      </c>
      <c r="I1514" t="s">
        <v>13</v>
      </c>
      <c r="J1514" t="s">
        <v>13</v>
      </c>
    </row>
    <row r="1515" spans="1:11" x14ac:dyDescent="0.25">
      <c r="A1515" t="s">
        <v>5</v>
      </c>
      <c r="B1515" t="str">
        <f t="shared" si="28"/>
        <v>56276</v>
      </c>
      <c r="C1515" t="str">
        <f>"007"</f>
        <v>007</v>
      </c>
      <c r="D1515">
        <v>2001</v>
      </c>
      <c r="E1515">
        <v>877500</v>
      </c>
      <c r="F1515">
        <v>729900</v>
      </c>
      <c r="G1515" t="s">
        <v>11</v>
      </c>
      <c r="H1515" t="s">
        <v>38</v>
      </c>
      <c r="I1515" t="s">
        <v>13</v>
      </c>
      <c r="J1515" t="s">
        <v>13</v>
      </c>
    </row>
    <row r="1516" spans="1:11" x14ac:dyDescent="0.25">
      <c r="A1516" t="s">
        <v>5</v>
      </c>
      <c r="B1516" t="str">
        <f t="shared" si="28"/>
        <v>56276</v>
      </c>
      <c r="C1516" t="str">
        <f>"008"</f>
        <v>008</v>
      </c>
      <c r="D1516">
        <v>2008</v>
      </c>
      <c r="E1516">
        <v>4281200</v>
      </c>
      <c r="F1516">
        <v>2661500</v>
      </c>
      <c r="G1516" t="s">
        <v>11</v>
      </c>
      <c r="H1516" t="s">
        <v>38</v>
      </c>
      <c r="I1516" t="s">
        <v>13</v>
      </c>
      <c r="J1516" t="s">
        <v>13</v>
      </c>
    </row>
    <row r="1517" spans="1:11" x14ac:dyDescent="0.25">
      <c r="A1517" t="s">
        <v>5</v>
      </c>
      <c r="B1517" t="str">
        <f t="shared" si="28"/>
        <v>56276</v>
      </c>
      <c r="C1517" t="str">
        <f>"009"</f>
        <v>009</v>
      </c>
      <c r="D1517">
        <v>2016</v>
      </c>
      <c r="E1517">
        <v>31792000</v>
      </c>
      <c r="F1517">
        <v>-489100</v>
      </c>
      <c r="G1517" t="s">
        <v>43</v>
      </c>
      <c r="H1517" t="s">
        <v>38</v>
      </c>
      <c r="I1517" t="s">
        <v>13</v>
      </c>
      <c r="J1517" t="s">
        <v>13</v>
      </c>
    </row>
    <row r="1518" spans="1:11" x14ac:dyDescent="0.25">
      <c r="A1518" t="s">
        <v>39</v>
      </c>
      <c r="B1518" t="s">
        <v>13</v>
      </c>
      <c r="C1518" t="s">
        <v>7</v>
      </c>
      <c r="D1518" t="s">
        <v>8</v>
      </c>
      <c r="E1518">
        <v>75765800</v>
      </c>
      <c r="F1518">
        <v>25366900</v>
      </c>
      <c r="G1518" t="s">
        <v>11</v>
      </c>
      <c r="H1518">
        <v>600247600</v>
      </c>
      <c r="I1518" t="s">
        <v>13</v>
      </c>
      <c r="J1518" t="s">
        <v>13</v>
      </c>
      <c r="K1518">
        <v>4.2300000000000004</v>
      </c>
    </row>
    <row r="1520" spans="1:11" x14ac:dyDescent="0.25">
      <c r="A1520" t="s">
        <v>342</v>
      </c>
      <c r="B1520" t="str">
        <f>"14177"</f>
        <v>14177</v>
      </c>
      <c r="C1520" t="str">
        <f>"002"</f>
        <v>002</v>
      </c>
      <c r="D1520">
        <v>1998</v>
      </c>
      <c r="E1520">
        <v>8600</v>
      </c>
      <c r="F1520">
        <v>-18300</v>
      </c>
      <c r="G1520" t="s">
        <v>43</v>
      </c>
      <c r="H1520" t="s">
        <v>38</v>
      </c>
      <c r="I1520" t="s">
        <v>13</v>
      </c>
      <c r="J1520" t="s">
        <v>13</v>
      </c>
    </row>
    <row r="1521" spans="1:11" x14ac:dyDescent="0.25">
      <c r="A1521" t="s">
        <v>5</v>
      </c>
      <c r="B1521" t="str">
        <f>"14177"</f>
        <v>14177</v>
      </c>
      <c r="C1521" t="str">
        <f>"003"</f>
        <v>003</v>
      </c>
      <c r="D1521">
        <v>2011</v>
      </c>
      <c r="E1521">
        <v>6551200</v>
      </c>
      <c r="F1521">
        <v>5638500</v>
      </c>
      <c r="G1521" t="s">
        <v>11</v>
      </c>
      <c r="H1521" t="s">
        <v>38</v>
      </c>
      <c r="I1521" t="s">
        <v>13</v>
      </c>
      <c r="J1521" t="s">
        <v>13</v>
      </c>
    </row>
    <row r="1522" spans="1:11" x14ac:dyDescent="0.25">
      <c r="A1522" t="s">
        <v>39</v>
      </c>
      <c r="B1522" t="s">
        <v>13</v>
      </c>
      <c r="C1522" t="s">
        <v>7</v>
      </c>
      <c r="D1522" t="s">
        <v>8</v>
      </c>
      <c r="E1522">
        <v>6559800</v>
      </c>
      <c r="F1522">
        <v>5638500</v>
      </c>
      <c r="G1522" t="s">
        <v>11</v>
      </c>
      <c r="H1522">
        <v>34799400</v>
      </c>
      <c r="I1522" t="s">
        <v>13</v>
      </c>
      <c r="J1522" t="s">
        <v>13</v>
      </c>
      <c r="K1522">
        <v>16.2</v>
      </c>
    </row>
    <row r="1524" spans="1:11" x14ac:dyDescent="0.25">
      <c r="A1524" t="s">
        <v>343</v>
      </c>
      <c r="B1524" t="str">
        <f>"43276"</f>
        <v>43276</v>
      </c>
      <c r="C1524" t="str">
        <f>"005"</f>
        <v>005</v>
      </c>
      <c r="D1524">
        <v>2000</v>
      </c>
      <c r="E1524">
        <v>1583900</v>
      </c>
      <c r="F1524">
        <v>617100</v>
      </c>
      <c r="G1524" t="s">
        <v>11</v>
      </c>
      <c r="H1524" t="s">
        <v>38</v>
      </c>
      <c r="I1524" t="s">
        <v>13</v>
      </c>
      <c r="J1524" t="s">
        <v>13</v>
      </c>
    </row>
    <row r="1525" spans="1:11" x14ac:dyDescent="0.25">
      <c r="A1525" t="s">
        <v>5</v>
      </c>
      <c r="B1525" t="str">
        <f>"43276"</f>
        <v>43276</v>
      </c>
      <c r="C1525" t="str">
        <f>"006"</f>
        <v>006</v>
      </c>
      <c r="D1525">
        <v>2002</v>
      </c>
      <c r="E1525">
        <v>17549300</v>
      </c>
      <c r="F1525">
        <v>6565500</v>
      </c>
      <c r="G1525" t="s">
        <v>11</v>
      </c>
      <c r="H1525" t="s">
        <v>38</v>
      </c>
      <c r="I1525" t="s">
        <v>13</v>
      </c>
      <c r="J1525" t="s">
        <v>13</v>
      </c>
    </row>
    <row r="1526" spans="1:11" x14ac:dyDescent="0.25">
      <c r="A1526" t="s">
        <v>5</v>
      </c>
      <c r="B1526" t="str">
        <f>"43276"</f>
        <v>43276</v>
      </c>
      <c r="C1526" t="str">
        <f>"008"</f>
        <v>008</v>
      </c>
      <c r="D1526">
        <v>2010</v>
      </c>
      <c r="E1526">
        <v>44980000</v>
      </c>
      <c r="F1526">
        <v>-4212200</v>
      </c>
      <c r="G1526" t="s">
        <v>43</v>
      </c>
      <c r="H1526" t="s">
        <v>38</v>
      </c>
      <c r="I1526" t="s">
        <v>13</v>
      </c>
      <c r="J1526" t="s">
        <v>13</v>
      </c>
    </row>
    <row r="1527" spans="1:11" x14ac:dyDescent="0.25">
      <c r="A1527" t="s">
        <v>5</v>
      </c>
      <c r="B1527" t="str">
        <f>"43276"</f>
        <v>43276</v>
      </c>
      <c r="C1527" t="str">
        <f>"009"</f>
        <v>009</v>
      </c>
      <c r="D1527">
        <v>2012</v>
      </c>
      <c r="E1527">
        <v>24889800</v>
      </c>
      <c r="F1527">
        <v>24884900</v>
      </c>
      <c r="G1527" t="s">
        <v>11</v>
      </c>
      <c r="H1527" t="s">
        <v>38</v>
      </c>
      <c r="I1527" t="s">
        <v>13</v>
      </c>
      <c r="J1527" t="s">
        <v>13</v>
      </c>
    </row>
    <row r="1528" spans="1:11" x14ac:dyDescent="0.25">
      <c r="A1528" t="s">
        <v>5</v>
      </c>
      <c r="B1528" t="str">
        <f>"43276"</f>
        <v>43276</v>
      </c>
      <c r="C1528" t="str">
        <f>"010"</f>
        <v>010</v>
      </c>
      <c r="D1528">
        <v>2013</v>
      </c>
      <c r="E1528">
        <v>9938300</v>
      </c>
      <c r="F1528">
        <v>4147200</v>
      </c>
      <c r="G1528" t="s">
        <v>11</v>
      </c>
      <c r="H1528" t="s">
        <v>38</v>
      </c>
      <c r="I1528" t="s">
        <v>13</v>
      </c>
      <c r="J1528" t="s">
        <v>13</v>
      </c>
    </row>
    <row r="1529" spans="1:11" x14ac:dyDescent="0.25">
      <c r="A1529" t="s">
        <v>39</v>
      </c>
      <c r="B1529" t="s">
        <v>13</v>
      </c>
      <c r="C1529" t="s">
        <v>7</v>
      </c>
      <c r="D1529" t="s">
        <v>8</v>
      </c>
      <c r="E1529">
        <v>98941300</v>
      </c>
      <c r="F1529">
        <v>36214700</v>
      </c>
      <c r="G1529" t="s">
        <v>11</v>
      </c>
      <c r="H1529">
        <v>583095100</v>
      </c>
      <c r="I1529" t="s">
        <v>13</v>
      </c>
      <c r="J1529" t="s">
        <v>13</v>
      </c>
      <c r="K1529">
        <v>6.21</v>
      </c>
    </row>
    <row r="1531" spans="1:11" x14ac:dyDescent="0.25">
      <c r="A1531" t="s">
        <v>344</v>
      </c>
      <c r="B1531" t="str">
        <f>"60176"</f>
        <v>60176</v>
      </c>
      <c r="C1531" t="str">
        <f>"001"</f>
        <v>001</v>
      </c>
      <c r="D1531">
        <v>1995</v>
      </c>
      <c r="E1531">
        <v>1833300</v>
      </c>
      <c r="F1531">
        <v>1037100</v>
      </c>
      <c r="G1531" t="s">
        <v>11</v>
      </c>
      <c r="H1531" t="s">
        <v>38</v>
      </c>
      <c r="I1531" t="s">
        <v>13</v>
      </c>
      <c r="J1531" t="s">
        <v>13</v>
      </c>
    </row>
    <row r="1532" spans="1:11" x14ac:dyDescent="0.25">
      <c r="A1532" t="s">
        <v>39</v>
      </c>
      <c r="B1532" t="s">
        <v>13</v>
      </c>
      <c r="C1532" t="s">
        <v>7</v>
      </c>
      <c r="D1532" t="s">
        <v>8</v>
      </c>
      <c r="E1532">
        <v>1833300</v>
      </c>
      <c r="F1532">
        <v>1037100</v>
      </c>
      <c r="G1532" t="s">
        <v>11</v>
      </c>
      <c r="H1532">
        <v>33531200</v>
      </c>
      <c r="I1532" t="s">
        <v>13</v>
      </c>
      <c r="J1532" t="s">
        <v>13</v>
      </c>
      <c r="K1532">
        <v>3.09</v>
      </c>
    </row>
    <row r="1534" spans="1:11" x14ac:dyDescent="0.25">
      <c r="A1534" t="s">
        <v>345</v>
      </c>
      <c r="B1534" t="str">
        <f>"03276"</f>
        <v>03276</v>
      </c>
      <c r="C1534" t="str">
        <f>"003"</f>
        <v>003</v>
      </c>
      <c r="D1534">
        <v>2001</v>
      </c>
      <c r="E1534">
        <v>40176900</v>
      </c>
      <c r="F1534">
        <v>18818200</v>
      </c>
      <c r="G1534" t="s">
        <v>11</v>
      </c>
      <c r="H1534" t="s">
        <v>38</v>
      </c>
      <c r="I1534" t="s">
        <v>13</v>
      </c>
      <c r="J1534" t="s">
        <v>13</v>
      </c>
    </row>
    <row r="1535" spans="1:11" x14ac:dyDescent="0.25">
      <c r="A1535" t="s">
        <v>5</v>
      </c>
      <c r="B1535" t="str">
        <f>"03276"</f>
        <v>03276</v>
      </c>
      <c r="C1535" t="str">
        <f>"004"</f>
        <v>004</v>
      </c>
      <c r="D1535">
        <v>2007</v>
      </c>
      <c r="E1535">
        <v>21653800</v>
      </c>
      <c r="F1535">
        <v>17716700</v>
      </c>
      <c r="G1535" t="s">
        <v>11</v>
      </c>
      <c r="H1535" t="s">
        <v>38</v>
      </c>
      <c r="I1535" t="s">
        <v>13</v>
      </c>
      <c r="J1535" t="s">
        <v>13</v>
      </c>
    </row>
    <row r="1536" spans="1:11" x14ac:dyDescent="0.25">
      <c r="A1536" t="s">
        <v>39</v>
      </c>
      <c r="B1536" t="s">
        <v>13</v>
      </c>
      <c r="C1536" t="s">
        <v>7</v>
      </c>
      <c r="D1536" t="s">
        <v>8</v>
      </c>
      <c r="E1536">
        <v>61830700</v>
      </c>
      <c r="F1536">
        <v>36534900</v>
      </c>
      <c r="G1536" t="s">
        <v>11</v>
      </c>
      <c r="H1536">
        <v>706513400</v>
      </c>
      <c r="I1536" t="s">
        <v>13</v>
      </c>
      <c r="J1536" t="s">
        <v>13</v>
      </c>
      <c r="K1536">
        <v>5.17</v>
      </c>
    </row>
    <row r="1538" spans="1:11" x14ac:dyDescent="0.25">
      <c r="A1538" t="s">
        <v>346</v>
      </c>
      <c r="B1538" t="str">
        <f>"52276"</f>
        <v>52276</v>
      </c>
      <c r="C1538" t="str">
        <f>"004"</f>
        <v>004</v>
      </c>
      <c r="D1538">
        <v>1995</v>
      </c>
      <c r="E1538">
        <v>18036800</v>
      </c>
      <c r="F1538">
        <v>2945200</v>
      </c>
      <c r="G1538" t="s">
        <v>11</v>
      </c>
      <c r="H1538" t="s">
        <v>38</v>
      </c>
      <c r="I1538" t="s">
        <v>13</v>
      </c>
      <c r="J1538" t="s">
        <v>13</v>
      </c>
    </row>
    <row r="1539" spans="1:11" x14ac:dyDescent="0.25">
      <c r="A1539" t="s">
        <v>5</v>
      </c>
      <c r="B1539" t="str">
        <f>"52276"</f>
        <v>52276</v>
      </c>
      <c r="C1539" t="str">
        <f>"006"</f>
        <v>006</v>
      </c>
      <c r="D1539">
        <v>2017</v>
      </c>
      <c r="E1539">
        <v>91400</v>
      </c>
      <c r="F1539">
        <v>63100</v>
      </c>
      <c r="G1539" t="s">
        <v>11</v>
      </c>
      <c r="H1539" t="s">
        <v>38</v>
      </c>
      <c r="I1539" t="s">
        <v>13</v>
      </c>
      <c r="J1539" t="s">
        <v>13</v>
      </c>
    </row>
    <row r="1540" spans="1:11" x14ac:dyDescent="0.25">
      <c r="A1540" t="s">
        <v>39</v>
      </c>
      <c r="B1540" t="s">
        <v>13</v>
      </c>
      <c r="C1540" t="s">
        <v>7</v>
      </c>
      <c r="D1540" t="s">
        <v>8</v>
      </c>
      <c r="E1540">
        <v>18128200</v>
      </c>
      <c r="F1540">
        <v>3008300</v>
      </c>
      <c r="G1540" t="s">
        <v>11</v>
      </c>
      <c r="H1540">
        <v>282932000</v>
      </c>
      <c r="I1540" t="s">
        <v>13</v>
      </c>
      <c r="J1540" t="s">
        <v>13</v>
      </c>
      <c r="K1540">
        <v>1.06</v>
      </c>
    </row>
    <row r="1542" spans="1:11" x14ac:dyDescent="0.25">
      <c r="A1542" t="s">
        <v>347</v>
      </c>
      <c r="B1542" t="str">
        <f>"17176"</f>
        <v>17176</v>
      </c>
      <c r="C1542" t="str">
        <f>"001"</f>
        <v>001</v>
      </c>
      <c r="D1542">
        <v>2006</v>
      </c>
      <c r="E1542">
        <v>2518200</v>
      </c>
      <c r="F1542">
        <v>904200</v>
      </c>
      <c r="G1542" t="s">
        <v>11</v>
      </c>
      <c r="H1542" t="s">
        <v>38</v>
      </c>
      <c r="I1542" t="s">
        <v>13</v>
      </c>
      <c r="J1542" t="s">
        <v>13</v>
      </c>
    </row>
    <row r="1543" spans="1:11" x14ac:dyDescent="0.25">
      <c r="A1543" t="s">
        <v>39</v>
      </c>
      <c r="B1543" t="s">
        <v>13</v>
      </c>
      <c r="C1543" t="s">
        <v>7</v>
      </c>
      <c r="D1543" t="s">
        <v>8</v>
      </c>
      <c r="E1543">
        <v>2518200</v>
      </c>
      <c r="F1543">
        <v>904200</v>
      </c>
      <c r="G1543" t="s">
        <v>11</v>
      </c>
      <c r="H1543">
        <v>14044800</v>
      </c>
      <c r="I1543" t="s">
        <v>13</v>
      </c>
      <c r="J1543" t="s">
        <v>13</v>
      </c>
      <c r="K1543">
        <v>6.44</v>
      </c>
    </row>
    <row r="1545" spans="1:11" x14ac:dyDescent="0.25">
      <c r="A1545" t="s">
        <v>348</v>
      </c>
      <c r="B1545" t="str">
        <f>"25177"</f>
        <v>25177</v>
      </c>
      <c r="C1545" t="str">
        <f>"001"</f>
        <v>001</v>
      </c>
      <c r="D1545">
        <v>2007</v>
      </c>
      <c r="E1545">
        <v>3054700</v>
      </c>
      <c r="F1545">
        <v>152600</v>
      </c>
      <c r="G1545" t="s">
        <v>11</v>
      </c>
      <c r="H1545" t="s">
        <v>38</v>
      </c>
      <c r="I1545" t="s">
        <v>13</v>
      </c>
      <c r="J1545" t="s">
        <v>13</v>
      </c>
    </row>
    <row r="1546" spans="1:11" x14ac:dyDescent="0.25">
      <c r="A1546" t="s">
        <v>39</v>
      </c>
      <c r="B1546" t="s">
        <v>13</v>
      </c>
      <c r="C1546" t="s">
        <v>7</v>
      </c>
      <c r="D1546" t="s">
        <v>8</v>
      </c>
      <c r="E1546">
        <v>3054700</v>
      </c>
      <c r="F1546">
        <v>152600</v>
      </c>
      <c r="G1546" t="s">
        <v>11</v>
      </c>
      <c r="H1546">
        <v>34935000</v>
      </c>
      <c r="I1546" t="s">
        <v>13</v>
      </c>
      <c r="J1546" t="s">
        <v>13</v>
      </c>
      <c r="K1546">
        <v>0.44</v>
      </c>
    </row>
    <row r="1548" spans="1:11" x14ac:dyDescent="0.25">
      <c r="A1548" t="s">
        <v>349</v>
      </c>
      <c r="B1548" t="str">
        <f>"11177"</f>
        <v>11177</v>
      </c>
      <c r="C1548" t="str">
        <f>"001"</f>
        <v>001</v>
      </c>
      <c r="D1548">
        <v>1988</v>
      </c>
      <c r="E1548">
        <v>2900900</v>
      </c>
      <c r="F1548">
        <v>2349500</v>
      </c>
      <c r="G1548" t="s">
        <v>11</v>
      </c>
      <c r="H1548" t="s">
        <v>38</v>
      </c>
      <c r="I1548" t="s">
        <v>13</v>
      </c>
      <c r="J1548" t="s">
        <v>13</v>
      </c>
    </row>
    <row r="1549" spans="1:11" x14ac:dyDescent="0.25">
      <c r="A1549" t="s">
        <v>5</v>
      </c>
      <c r="B1549" t="str">
        <f>"11177"</f>
        <v>11177</v>
      </c>
      <c r="C1549" t="str">
        <f>"003"</f>
        <v>003</v>
      </c>
      <c r="D1549">
        <v>1996</v>
      </c>
      <c r="E1549">
        <v>8829600</v>
      </c>
      <c r="F1549">
        <v>7561500</v>
      </c>
      <c r="G1549" t="s">
        <v>11</v>
      </c>
      <c r="H1549" t="s">
        <v>38</v>
      </c>
      <c r="I1549" t="s">
        <v>13</v>
      </c>
      <c r="J1549" t="s">
        <v>13</v>
      </c>
    </row>
    <row r="1550" spans="1:11" x14ac:dyDescent="0.25">
      <c r="A1550" t="s">
        <v>39</v>
      </c>
      <c r="B1550" t="s">
        <v>13</v>
      </c>
      <c r="C1550" t="s">
        <v>7</v>
      </c>
      <c r="D1550" t="s">
        <v>8</v>
      </c>
      <c r="E1550">
        <v>11730500</v>
      </c>
      <c r="F1550">
        <v>9911000</v>
      </c>
      <c r="G1550" t="s">
        <v>11</v>
      </c>
      <c r="H1550">
        <v>63740200</v>
      </c>
      <c r="I1550" t="s">
        <v>13</v>
      </c>
      <c r="J1550" t="s">
        <v>13</v>
      </c>
      <c r="K1550">
        <v>15.55</v>
      </c>
    </row>
    <row r="1552" spans="1:11" x14ac:dyDescent="0.25">
      <c r="A1552" t="s">
        <v>350</v>
      </c>
      <c r="B1552" t="str">
        <f t="shared" ref="B1552:B1561" si="29">"20276"</f>
        <v>20276</v>
      </c>
      <c r="C1552" t="str">
        <f>"004"</f>
        <v>004</v>
      </c>
      <c r="D1552">
        <v>1994</v>
      </c>
      <c r="E1552">
        <v>18104400</v>
      </c>
      <c r="F1552">
        <v>11294200</v>
      </c>
      <c r="G1552" t="s">
        <v>11</v>
      </c>
      <c r="H1552" t="s">
        <v>38</v>
      </c>
      <c r="I1552" t="s">
        <v>13</v>
      </c>
      <c r="J1552" t="s">
        <v>13</v>
      </c>
    </row>
    <row r="1553" spans="1:11" x14ac:dyDescent="0.25">
      <c r="A1553" t="s">
        <v>5</v>
      </c>
      <c r="B1553" t="str">
        <f t="shared" si="29"/>
        <v>20276</v>
      </c>
      <c r="C1553" t="str">
        <f>"005"</f>
        <v>005</v>
      </c>
      <c r="D1553">
        <v>2000</v>
      </c>
      <c r="E1553">
        <v>6503400</v>
      </c>
      <c r="F1553">
        <v>6264100</v>
      </c>
      <c r="G1553" t="s">
        <v>11</v>
      </c>
      <c r="H1553" t="s">
        <v>38</v>
      </c>
      <c r="I1553" t="s">
        <v>13</v>
      </c>
      <c r="J1553" t="s">
        <v>13</v>
      </c>
    </row>
    <row r="1554" spans="1:11" x14ac:dyDescent="0.25">
      <c r="A1554" t="s">
        <v>5</v>
      </c>
      <c r="B1554" t="str">
        <f t="shared" si="29"/>
        <v>20276</v>
      </c>
      <c r="C1554" t="str">
        <f>"006"</f>
        <v>006</v>
      </c>
      <c r="D1554">
        <v>2005</v>
      </c>
      <c r="E1554">
        <v>33438700</v>
      </c>
      <c r="F1554">
        <v>8175400</v>
      </c>
      <c r="G1554" t="s">
        <v>11</v>
      </c>
      <c r="H1554" t="s">
        <v>38</v>
      </c>
      <c r="I1554" t="s">
        <v>13</v>
      </c>
      <c r="J1554" t="s">
        <v>13</v>
      </c>
    </row>
    <row r="1555" spans="1:11" x14ac:dyDescent="0.25">
      <c r="A1555" t="s">
        <v>5</v>
      </c>
      <c r="B1555" t="str">
        <f t="shared" si="29"/>
        <v>20276</v>
      </c>
      <c r="C1555" t="str">
        <f>"007"</f>
        <v>007</v>
      </c>
      <c r="D1555">
        <v>2007</v>
      </c>
      <c r="E1555">
        <v>4616800</v>
      </c>
      <c r="F1555">
        <v>3771200</v>
      </c>
      <c r="G1555" t="s">
        <v>11</v>
      </c>
      <c r="H1555" t="s">
        <v>38</v>
      </c>
      <c r="I1555" t="s">
        <v>13</v>
      </c>
      <c r="J1555" t="s">
        <v>13</v>
      </c>
    </row>
    <row r="1556" spans="1:11" x14ac:dyDescent="0.25">
      <c r="A1556" t="s">
        <v>5</v>
      </c>
      <c r="B1556" t="str">
        <f t="shared" si="29"/>
        <v>20276</v>
      </c>
      <c r="C1556" t="str">
        <f>"009"</f>
        <v>009</v>
      </c>
      <c r="D1556">
        <v>2009</v>
      </c>
      <c r="E1556">
        <v>4832900</v>
      </c>
      <c r="F1556">
        <v>4825800</v>
      </c>
      <c r="G1556" t="s">
        <v>11</v>
      </c>
      <c r="H1556" t="s">
        <v>38</v>
      </c>
      <c r="I1556" t="s">
        <v>13</v>
      </c>
      <c r="J1556" t="s">
        <v>13</v>
      </c>
    </row>
    <row r="1557" spans="1:11" x14ac:dyDescent="0.25">
      <c r="A1557" t="s">
        <v>5</v>
      </c>
      <c r="B1557" t="str">
        <f t="shared" si="29"/>
        <v>20276</v>
      </c>
      <c r="C1557" t="str">
        <f>"010"</f>
        <v>010</v>
      </c>
      <c r="D1557">
        <v>2009</v>
      </c>
      <c r="E1557">
        <v>8605600</v>
      </c>
      <c r="F1557">
        <v>8571200</v>
      </c>
      <c r="G1557" t="s">
        <v>11</v>
      </c>
      <c r="H1557" t="s">
        <v>38</v>
      </c>
      <c r="I1557" t="s">
        <v>13</v>
      </c>
      <c r="J1557" t="s">
        <v>13</v>
      </c>
    </row>
    <row r="1558" spans="1:11" x14ac:dyDescent="0.25">
      <c r="A1558" t="s">
        <v>5</v>
      </c>
      <c r="B1558" t="str">
        <f t="shared" si="29"/>
        <v>20276</v>
      </c>
      <c r="C1558" t="str">
        <f>"011"</f>
        <v>011</v>
      </c>
      <c r="D1558">
        <v>2009</v>
      </c>
      <c r="E1558">
        <v>8037900</v>
      </c>
      <c r="F1558">
        <v>1653600</v>
      </c>
      <c r="G1558" t="s">
        <v>11</v>
      </c>
      <c r="H1558" t="s">
        <v>38</v>
      </c>
      <c r="I1558" t="s">
        <v>13</v>
      </c>
      <c r="J1558" t="s">
        <v>13</v>
      </c>
    </row>
    <row r="1559" spans="1:11" x14ac:dyDescent="0.25">
      <c r="A1559" t="s">
        <v>5</v>
      </c>
      <c r="B1559" t="str">
        <f t="shared" si="29"/>
        <v>20276</v>
      </c>
      <c r="C1559" t="str">
        <f>"012"</f>
        <v>012</v>
      </c>
      <c r="D1559">
        <v>2014</v>
      </c>
      <c r="E1559">
        <v>4917700</v>
      </c>
      <c r="F1559">
        <v>4190600</v>
      </c>
      <c r="G1559" t="s">
        <v>11</v>
      </c>
      <c r="H1559" t="s">
        <v>38</v>
      </c>
      <c r="I1559" t="s">
        <v>13</v>
      </c>
      <c r="J1559" t="s">
        <v>13</v>
      </c>
    </row>
    <row r="1560" spans="1:11" x14ac:dyDescent="0.25">
      <c r="A1560" t="s">
        <v>5</v>
      </c>
      <c r="B1560" t="str">
        <f t="shared" si="29"/>
        <v>20276</v>
      </c>
      <c r="C1560" t="str">
        <f>"014"</f>
        <v>014</v>
      </c>
      <c r="D1560">
        <v>2016</v>
      </c>
      <c r="E1560">
        <v>5389900</v>
      </c>
      <c r="F1560">
        <v>5389900</v>
      </c>
      <c r="G1560" t="s">
        <v>11</v>
      </c>
      <c r="H1560" t="s">
        <v>38</v>
      </c>
      <c r="I1560" t="s">
        <v>13</v>
      </c>
      <c r="J1560" t="s">
        <v>13</v>
      </c>
    </row>
    <row r="1561" spans="1:11" x14ac:dyDescent="0.25">
      <c r="A1561" t="s">
        <v>5</v>
      </c>
      <c r="B1561" t="str">
        <f t="shared" si="29"/>
        <v>20276</v>
      </c>
      <c r="C1561" t="str">
        <f>"015"</f>
        <v>015</v>
      </c>
      <c r="D1561">
        <v>2017</v>
      </c>
      <c r="E1561">
        <v>300000</v>
      </c>
      <c r="F1561">
        <v>41000</v>
      </c>
      <c r="G1561" t="s">
        <v>11</v>
      </c>
      <c r="H1561" t="s">
        <v>38</v>
      </c>
      <c r="I1561" t="s">
        <v>13</v>
      </c>
      <c r="J1561" t="s">
        <v>13</v>
      </c>
    </row>
    <row r="1562" spans="1:11" x14ac:dyDescent="0.25">
      <c r="A1562" t="s">
        <v>39</v>
      </c>
      <c r="B1562" t="s">
        <v>13</v>
      </c>
      <c r="C1562" t="s">
        <v>7</v>
      </c>
      <c r="D1562" t="s">
        <v>8</v>
      </c>
      <c r="E1562">
        <v>94747300</v>
      </c>
      <c r="F1562">
        <v>54177000</v>
      </c>
      <c r="G1562" t="s">
        <v>11</v>
      </c>
      <c r="H1562">
        <v>468246200</v>
      </c>
      <c r="I1562" t="s">
        <v>13</v>
      </c>
      <c r="J1562" t="s">
        <v>13</v>
      </c>
      <c r="K1562">
        <v>11.57</v>
      </c>
    </row>
    <row r="1564" spans="1:11" x14ac:dyDescent="0.25">
      <c r="A1564" t="s">
        <v>351</v>
      </c>
      <c r="B1564" t="str">
        <f>"55276"</f>
        <v>55276</v>
      </c>
      <c r="C1564" t="str">
        <f>"005"</f>
        <v>005</v>
      </c>
      <c r="D1564">
        <v>1994</v>
      </c>
      <c r="E1564">
        <v>26036800</v>
      </c>
      <c r="F1564">
        <v>25569400</v>
      </c>
      <c r="G1564" t="s">
        <v>11</v>
      </c>
      <c r="H1564" t="s">
        <v>38</v>
      </c>
      <c r="I1564" t="s">
        <v>13</v>
      </c>
      <c r="J1564" t="s">
        <v>13</v>
      </c>
    </row>
    <row r="1565" spans="1:11" x14ac:dyDescent="0.25">
      <c r="A1565" t="s">
        <v>5</v>
      </c>
      <c r="B1565" t="str">
        <f>"47276"</f>
        <v>47276</v>
      </c>
      <c r="C1565" t="str">
        <f>"006"</f>
        <v>006</v>
      </c>
      <c r="D1565">
        <v>2005</v>
      </c>
      <c r="E1565">
        <v>9325900</v>
      </c>
      <c r="F1565">
        <v>8351300</v>
      </c>
      <c r="G1565" t="s">
        <v>11</v>
      </c>
      <c r="H1565" t="s">
        <v>38</v>
      </c>
      <c r="I1565" t="s">
        <v>13</v>
      </c>
      <c r="J1565" t="s">
        <v>13</v>
      </c>
    </row>
    <row r="1566" spans="1:11" x14ac:dyDescent="0.25">
      <c r="A1566" t="s">
        <v>5</v>
      </c>
      <c r="B1566" t="str">
        <f>"47276"</f>
        <v>47276</v>
      </c>
      <c r="C1566" t="str">
        <f>"007"</f>
        <v>007</v>
      </c>
      <c r="D1566">
        <v>2009</v>
      </c>
      <c r="E1566">
        <v>961600</v>
      </c>
      <c r="F1566">
        <v>-196600</v>
      </c>
      <c r="G1566" t="s">
        <v>43</v>
      </c>
      <c r="H1566" t="s">
        <v>38</v>
      </c>
      <c r="I1566" t="s">
        <v>13</v>
      </c>
      <c r="J1566" t="s">
        <v>13</v>
      </c>
    </row>
    <row r="1567" spans="1:11" x14ac:dyDescent="0.25">
      <c r="A1567" t="s">
        <v>5</v>
      </c>
      <c r="B1567" t="str">
        <f>"47276"</f>
        <v>47276</v>
      </c>
      <c r="C1567" t="str">
        <f>"008"</f>
        <v>008</v>
      </c>
      <c r="D1567">
        <v>2010</v>
      </c>
      <c r="E1567">
        <v>4474000</v>
      </c>
      <c r="F1567">
        <v>3147500</v>
      </c>
      <c r="G1567" t="s">
        <v>11</v>
      </c>
      <c r="H1567" t="s">
        <v>38</v>
      </c>
      <c r="I1567" t="s">
        <v>13</v>
      </c>
      <c r="J1567" t="s">
        <v>13</v>
      </c>
    </row>
    <row r="1568" spans="1:11" x14ac:dyDescent="0.25">
      <c r="A1568" t="s">
        <v>5</v>
      </c>
      <c r="B1568" t="str">
        <f>"47276"</f>
        <v>47276</v>
      </c>
      <c r="C1568" t="str">
        <f>"009"</f>
        <v>009</v>
      </c>
      <c r="D1568">
        <v>2012</v>
      </c>
      <c r="E1568">
        <v>7518000</v>
      </c>
      <c r="F1568">
        <v>2805700</v>
      </c>
      <c r="G1568" t="s">
        <v>11</v>
      </c>
      <c r="H1568" t="s">
        <v>38</v>
      </c>
      <c r="I1568" t="s">
        <v>13</v>
      </c>
      <c r="J1568" t="s">
        <v>13</v>
      </c>
    </row>
    <row r="1569" spans="1:11" x14ac:dyDescent="0.25">
      <c r="A1569" t="s">
        <v>5</v>
      </c>
      <c r="B1569" t="str">
        <f>"55276"</f>
        <v>55276</v>
      </c>
      <c r="C1569" t="str">
        <f>"010"</f>
        <v>010</v>
      </c>
      <c r="D1569">
        <v>2014</v>
      </c>
      <c r="E1569">
        <v>20937800</v>
      </c>
      <c r="F1569">
        <v>20804500</v>
      </c>
      <c r="G1569" t="s">
        <v>11</v>
      </c>
      <c r="H1569" t="s">
        <v>38</v>
      </c>
      <c r="I1569" t="s">
        <v>13</v>
      </c>
      <c r="J1569" t="s">
        <v>13</v>
      </c>
    </row>
    <row r="1570" spans="1:11" x14ac:dyDescent="0.25">
      <c r="A1570" t="s">
        <v>5</v>
      </c>
      <c r="B1570" t="str">
        <f>"55276"</f>
        <v>55276</v>
      </c>
      <c r="C1570" t="str">
        <f>"011"</f>
        <v>011</v>
      </c>
      <c r="D1570">
        <v>2016</v>
      </c>
      <c r="E1570">
        <v>8346300</v>
      </c>
      <c r="F1570">
        <v>485800</v>
      </c>
      <c r="G1570" t="s">
        <v>11</v>
      </c>
      <c r="H1570" t="s">
        <v>38</v>
      </c>
      <c r="I1570" t="s">
        <v>13</v>
      </c>
      <c r="J1570" t="s">
        <v>13</v>
      </c>
    </row>
    <row r="1571" spans="1:11" x14ac:dyDescent="0.25">
      <c r="A1571" t="s">
        <v>5</v>
      </c>
      <c r="B1571" t="str">
        <f>"55276"</f>
        <v>55276</v>
      </c>
      <c r="C1571" t="str">
        <f>"012"</f>
        <v>012</v>
      </c>
      <c r="D1571">
        <v>2016</v>
      </c>
      <c r="E1571">
        <v>2019900</v>
      </c>
      <c r="F1571">
        <v>2019900</v>
      </c>
      <c r="G1571" t="s">
        <v>11</v>
      </c>
      <c r="H1571" t="s">
        <v>38</v>
      </c>
      <c r="I1571" t="s">
        <v>13</v>
      </c>
      <c r="J1571" t="s">
        <v>13</v>
      </c>
    </row>
    <row r="1572" spans="1:11" x14ac:dyDescent="0.25">
      <c r="A1572" t="s">
        <v>39</v>
      </c>
      <c r="B1572" t="s">
        <v>13</v>
      </c>
      <c r="C1572" t="s">
        <v>7</v>
      </c>
      <c r="D1572" t="s">
        <v>8</v>
      </c>
      <c r="E1572">
        <v>79620300</v>
      </c>
      <c r="F1572">
        <v>63184100</v>
      </c>
      <c r="G1572" t="s">
        <v>11</v>
      </c>
      <c r="H1572">
        <v>1050124600</v>
      </c>
      <c r="I1572" t="s">
        <v>13</v>
      </c>
      <c r="J1572" t="s">
        <v>13</v>
      </c>
      <c r="K1572">
        <v>6.02</v>
      </c>
    </row>
    <row r="1574" spans="1:11" x14ac:dyDescent="0.25">
      <c r="A1574" t="s">
        <v>352</v>
      </c>
      <c r="B1574" t="str">
        <f>"55176"</f>
        <v>55176</v>
      </c>
      <c r="C1574" t="str">
        <f>"001"</f>
        <v>001</v>
      </c>
      <c r="D1574">
        <v>1997</v>
      </c>
      <c r="E1574">
        <v>25225000</v>
      </c>
      <c r="F1574">
        <v>20789900</v>
      </c>
      <c r="G1574" t="s">
        <v>11</v>
      </c>
      <c r="H1574" t="s">
        <v>38</v>
      </c>
      <c r="I1574" t="s">
        <v>13</v>
      </c>
      <c r="J1574" t="s">
        <v>13</v>
      </c>
    </row>
    <row r="1575" spans="1:11" x14ac:dyDescent="0.25">
      <c r="A1575" t="s">
        <v>39</v>
      </c>
      <c r="B1575" t="s">
        <v>13</v>
      </c>
      <c r="C1575" t="s">
        <v>7</v>
      </c>
      <c r="D1575" t="s">
        <v>8</v>
      </c>
      <c r="E1575">
        <v>25225000</v>
      </c>
      <c r="F1575">
        <v>20789900</v>
      </c>
      <c r="G1575" t="s">
        <v>11</v>
      </c>
      <c r="H1575">
        <v>149205500</v>
      </c>
      <c r="I1575" t="s">
        <v>13</v>
      </c>
      <c r="J1575" t="s">
        <v>13</v>
      </c>
      <c r="K1575">
        <v>13.93</v>
      </c>
    </row>
    <row r="1577" spans="1:11" x14ac:dyDescent="0.25">
      <c r="A1577" t="s">
        <v>353</v>
      </c>
      <c r="B1577" t="str">
        <f>"41176"</f>
        <v>41176</v>
      </c>
      <c r="C1577" t="str">
        <f>"001"</f>
        <v>001</v>
      </c>
      <c r="D1577">
        <v>2010</v>
      </c>
      <c r="E1577">
        <v>3856500</v>
      </c>
      <c r="F1577">
        <v>2019100</v>
      </c>
      <c r="G1577" t="s">
        <v>11</v>
      </c>
      <c r="H1577" t="s">
        <v>38</v>
      </c>
      <c r="I1577" t="s">
        <v>13</v>
      </c>
      <c r="J1577" t="s">
        <v>13</v>
      </c>
    </row>
    <row r="1578" spans="1:11" x14ac:dyDescent="0.25">
      <c r="A1578" t="s">
        <v>5</v>
      </c>
      <c r="B1578" t="str">
        <f>"32176"</f>
        <v>32176</v>
      </c>
      <c r="C1578" t="str">
        <f>"001"</f>
        <v>001</v>
      </c>
      <c r="D1578">
        <v>2010</v>
      </c>
      <c r="E1578">
        <v>5523500</v>
      </c>
      <c r="F1578">
        <v>4347200</v>
      </c>
      <c r="G1578" t="s">
        <v>11</v>
      </c>
      <c r="H1578" t="s">
        <v>38</v>
      </c>
      <c r="I1578" t="s">
        <v>13</v>
      </c>
      <c r="J1578" t="s">
        <v>13</v>
      </c>
    </row>
    <row r="1579" spans="1:11" x14ac:dyDescent="0.25">
      <c r="A1579" t="s">
        <v>39</v>
      </c>
      <c r="B1579" t="s">
        <v>13</v>
      </c>
      <c r="C1579" t="s">
        <v>7</v>
      </c>
      <c r="D1579" t="s">
        <v>8</v>
      </c>
      <c r="E1579">
        <v>9380000</v>
      </c>
      <c r="F1579">
        <v>6366300</v>
      </c>
      <c r="G1579" t="s">
        <v>11</v>
      </c>
      <c r="H1579">
        <v>40745300</v>
      </c>
      <c r="I1579" t="s">
        <v>13</v>
      </c>
      <c r="J1579" t="s">
        <v>13</v>
      </c>
      <c r="K1579">
        <v>15.62</v>
      </c>
    </row>
    <row r="1581" spans="1:11" x14ac:dyDescent="0.25">
      <c r="A1581" t="s">
        <v>354</v>
      </c>
      <c r="B1581" t="str">
        <f>"01030"</f>
        <v>01030</v>
      </c>
      <c r="C1581" t="str">
        <f>"001T"</f>
        <v>001T</v>
      </c>
      <c r="D1581">
        <v>2015</v>
      </c>
      <c r="E1581">
        <v>32513100</v>
      </c>
      <c r="F1581">
        <v>31263700</v>
      </c>
      <c r="G1581" t="s">
        <v>11</v>
      </c>
      <c r="H1581" t="s">
        <v>38</v>
      </c>
      <c r="I1581" t="s">
        <v>13</v>
      </c>
      <c r="J1581" t="s">
        <v>13</v>
      </c>
    </row>
    <row r="1582" spans="1:11" x14ac:dyDescent="0.25">
      <c r="A1582" t="s">
        <v>39</v>
      </c>
      <c r="B1582" t="s">
        <v>13</v>
      </c>
      <c r="C1582" t="s">
        <v>7</v>
      </c>
      <c r="D1582" t="s">
        <v>8</v>
      </c>
      <c r="E1582">
        <v>32513100</v>
      </c>
      <c r="F1582">
        <v>31263700</v>
      </c>
      <c r="G1582" t="s">
        <v>11</v>
      </c>
      <c r="H1582">
        <v>680582400</v>
      </c>
      <c r="I1582">
        <v>4.59</v>
      </c>
      <c r="J1582">
        <v>4.78</v>
      </c>
    </row>
    <row r="1584" spans="1:11" x14ac:dyDescent="0.25">
      <c r="A1584" t="s">
        <v>355</v>
      </c>
      <c r="B1584" t="str">
        <f>"20176"</f>
        <v>20176</v>
      </c>
      <c r="C1584" t="str">
        <f>"001"</f>
        <v>001</v>
      </c>
      <c r="D1584">
        <v>2011</v>
      </c>
      <c r="E1584">
        <v>3874000</v>
      </c>
      <c r="F1584">
        <v>409600</v>
      </c>
      <c r="G1584" t="s">
        <v>11</v>
      </c>
      <c r="H1584" t="s">
        <v>38</v>
      </c>
      <c r="I1584" t="s">
        <v>13</v>
      </c>
      <c r="J1584" t="s">
        <v>13</v>
      </c>
    </row>
    <row r="1585" spans="1:11" x14ac:dyDescent="0.25">
      <c r="A1585" t="s">
        <v>39</v>
      </c>
      <c r="B1585" t="s">
        <v>13</v>
      </c>
      <c r="C1585" t="s">
        <v>7</v>
      </c>
      <c r="D1585" t="s">
        <v>8</v>
      </c>
      <c r="E1585">
        <v>3874000</v>
      </c>
      <c r="F1585">
        <v>409600</v>
      </c>
      <c r="G1585" t="s">
        <v>11</v>
      </c>
      <c r="H1585">
        <v>64416700</v>
      </c>
      <c r="I1585" t="s">
        <v>13</v>
      </c>
      <c r="J1585" t="s">
        <v>13</v>
      </c>
      <c r="K1585">
        <v>0.64</v>
      </c>
    </row>
    <row r="1587" spans="1:11" x14ac:dyDescent="0.25">
      <c r="A1587" t="s">
        <v>356</v>
      </c>
      <c r="B1587" t="str">
        <f>"37176"</f>
        <v>37176</v>
      </c>
      <c r="C1587" t="str">
        <f>"002"</f>
        <v>002</v>
      </c>
      <c r="D1587">
        <v>2013</v>
      </c>
      <c r="E1587">
        <v>54822800</v>
      </c>
      <c r="F1587">
        <v>9958400</v>
      </c>
      <c r="G1587" t="s">
        <v>11</v>
      </c>
      <c r="H1587" t="s">
        <v>38</v>
      </c>
      <c r="I1587" t="s">
        <v>13</v>
      </c>
      <c r="J1587" t="s">
        <v>13</v>
      </c>
    </row>
    <row r="1588" spans="1:11" x14ac:dyDescent="0.25">
      <c r="A1588" t="s">
        <v>39</v>
      </c>
      <c r="B1588" t="s">
        <v>13</v>
      </c>
      <c r="C1588" t="s">
        <v>7</v>
      </c>
      <c r="D1588" t="s">
        <v>8</v>
      </c>
      <c r="E1588">
        <v>54822800</v>
      </c>
      <c r="F1588">
        <v>9958400</v>
      </c>
      <c r="G1588" t="s">
        <v>11</v>
      </c>
      <c r="H1588">
        <v>458288300</v>
      </c>
      <c r="I1588" t="s">
        <v>13</v>
      </c>
      <c r="J1588" t="s">
        <v>13</v>
      </c>
      <c r="K1588">
        <v>2.17</v>
      </c>
    </row>
    <row r="1590" spans="1:11" x14ac:dyDescent="0.25">
      <c r="A1590" t="s">
        <v>357</v>
      </c>
      <c r="B1590" t="str">
        <f>"48281"</f>
        <v>48281</v>
      </c>
      <c r="C1590" t="str">
        <f>"001"</f>
        <v>001</v>
      </c>
      <c r="D1590">
        <v>1993</v>
      </c>
      <c r="E1590">
        <v>78019600</v>
      </c>
      <c r="F1590">
        <v>60380900</v>
      </c>
      <c r="G1590" t="s">
        <v>11</v>
      </c>
      <c r="H1590" t="s">
        <v>38</v>
      </c>
      <c r="I1590" t="s">
        <v>13</v>
      </c>
      <c r="J1590" t="s">
        <v>13</v>
      </c>
    </row>
    <row r="1591" spans="1:11" x14ac:dyDescent="0.25">
      <c r="A1591" t="s">
        <v>39</v>
      </c>
      <c r="B1591" t="s">
        <v>13</v>
      </c>
      <c r="C1591" t="s">
        <v>7</v>
      </c>
      <c r="D1591" t="s">
        <v>8</v>
      </c>
      <c r="E1591">
        <v>78019600</v>
      </c>
      <c r="F1591">
        <v>60380900</v>
      </c>
      <c r="G1591" t="s">
        <v>11</v>
      </c>
      <c r="H1591">
        <v>213568100</v>
      </c>
      <c r="I1591" t="s">
        <v>13</v>
      </c>
      <c r="J1591" t="s">
        <v>13</v>
      </c>
      <c r="K1591">
        <v>28.27</v>
      </c>
    </row>
    <row r="1593" spans="1:11" x14ac:dyDescent="0.25">
      <c r="A1593" t="s">
        <v>358</v>
      </c>
      <c r="B1593" t="str">
        <f>"40281"</f>
        <v>40281</v>
      </c>
      <c r="C1593" t="str">
        <f>"003"</f>
        <v>003</v>
      </c>
      <c r="D1593">
        <v>2006</v>
      </c>
      <c r="E1593">
        <v>68018300</v>
      </c>
      <c r="F1593">
        <v>11887000</v>
      </c>
      <c r="G1593" t="s">
        <v>11</v>
      </c>
      <c r="H1593" t="s">
        <v>38</v>
      </c>
      <c r="I1593" t="s">
        <v>13</v>
      </c>
      <c r="J1593" t="s">
        <v>13</v>
      </c>
    </row>
    <row r="1594" spans="1:11" x14ac:dyDescent="0.25">
      <c r="A1594" t="s">
        <v>5</v>
      </c>
      <c r="B1594" t="str">
        <f>"40281"</f>
        <v>40281</v>
      </c>
      <c r="C1594" t="str">
        <f>"004"</f>
        <v>004</v>
      </c>
      <c r="D1594">
        <v>2012</v>
      </c>
      <c r="E1594">
        <v>51241800</v>
      </c>
      <c r="F1594">
        <v>2784700</v>
      </c>
      <c r="G1594" t="s">
        <v>11</v>
      </c>
      <c r="H1594" t="s">
        <v>38</v>
      </c>
      <c r="I1594" t="s">
        <v>13</v>
      </c>
      <c r="J1594" t="s">
        <v>13</v>
      </c>
    </row>
    <row r="1595" spans="1:11" x14ac:dyDescent="0.25">
      <c r="A1595" t="s">
        <v>5</v>
      </c>
      <c r="B1595" t="str">
        <f>"40281"</f>
        <v>40281</v>
      </c>
      <c r="C1595" t="str">
        <f>"005"</f>
        <v>005</v>
      </c>
      <c r="D1595">
        <v>2015</v>
      </c>
      <c r="E1595">
        <v>91238800</v>
      </c>
      <c r="F1595">
        <v>9862600</v>
      </c>
      <c r="G1595" t="s">
        <v>11</v>
      </c>
      <c r="H1595" t="s">
        <v>38</v>
      </c>
      <c r="I1595" t="s">
        <v>13</v>
      </c>
      <c r="J1595" t="s">
        <v>13</v>
      </c>
    </row>
    <row r="1596" spans="1:11" x14ac:dyDescent="0.25">
      <c r="A1596" t="s">
        <v>39</v>
      </c>
      <c r="B1596" t="s">
        <v>13</v>
      </c>
      <c r="C1596" t="s">
        <v>7</v>
      </c>
      <c r="D1596" t="s">
        <v>8</v>
      </c>
      <c r="E1596">
        <v>210498900</v>
      </c>
      <c r="F1596">
        <v>24534300</v>
      </c>
      <c r="G1596" t="s">
        <v>11</v>
      </c>
      <c r="H1596">
        <v>607386500</v>
      </c>
      <c r="I1596" t="s">
        <v>13</v>
      </c>
      <c r="J1596" t="s">
        <v>13</v>
      </c>
      <c r="K1596">
        <v>4.04</v>
      </c>
    </row>
    <row r="1598" spans="1:11" x14ac:dyDescent="0.25">
      <c r="A1598" t="s">
        <v>359</v>
      </c>
      <c r="B1598" t="str">
        <f>"30179"</f>
        <v>30179</v>
      </c>
      <c r="C1598" t="str">
        <f>"001"</f>
        <v>001</v>
      </c>
      <c r="D1598">
        <v>2015</v>
      </c>
      <c r="E1598">
        <v>8223400</v>
      </c>
      <c r="F1598">
        <v>8193900</v>
      </c>
      <c r="G1598" t="s">
        <v>11</v>
      </c>
      <c r="H1598" t="s">
        <v>38</v>
      </c>
      <c r="I1598" t="s">
        <v>13</v>
      </c>
      <c r="J1598" t="s">
        <v>13</v>
      </c>
    </row>
    <row r="1599" spans="1:11" x14ac:dyDescent="0.25">
      <c r="A1599" t="s">
        <v>39</v>
      </c>
      <c r="B1599" t="s">
        <v>13</v>
      </c>
      <c r="C1599" t="s">
        <v>7</v>
      </c>
      <c r="D1599" t="s">
        <v>8</v>
      </c>
      <c r="E1599">
        <v>8223400</v>
      </c>
      <c r="F1599">
        <v>8193900</v>
      </c>
      <c r="G1599" t="s">
        <v>11</v>
      </c>
      <c r="H1599">
        <v>1380779400</v>
      </c>
      <c r="I1599" t="s">
        <v>13</v>
      </c>
      <c r="J1599" t="s">
        <v>13</v>
      </c>
      <c r="K1599">
        <v>0.59</v>
      </c>
    </row>
    <row r="1601" spans="1:11" x14ac:dyDescent="0.25">
      <c r="A1601" t="s">
        <v>360</v>
      </c>
      <c r="B1601" t="str">
        <f>"56181"</f>
        <v>56181</v>
      </c>
      <c r="C1601" t="str">
        <f>"006"</f>
        <v>006</v>
      </c>
      <c r="D1601">
        <v>2002</v>
      </c>
      <c r="E1601">
        <v>7582600</v>
      </c>
      <c r="F1601">
        <v>6376300</v>
      </c>
      <c r="G1601" t="s">
        <v>11</v>
      </c>
      <c r="H1601" t="s">
        <v>38</v>
      </c>
      <c r="I1601" t="s">
        <v>13</v>
      </c>
      <c r="J1601" t="s">
        <v>13</v>
      </c>
    </row>
    <row r="1602" spans="1:11" x14ac:dyDescent="0.25">
      <c r="A1602" t="s">
        <v>5</v>
      </c>
      <c r="B1602" t="str">
        <f>"56181"</f>
        <v>56181</v>
      </c>
      <c r="C1602" t="str">
        <f>"007"</f>
        <v>007</v>
      </c>
      <c r="D1602">
        <v>2005</v>
      </c>
      <c r="E1602">
        <v>3409400</v>
      </c>
      <c r="F1602">
        <v>2703200</v>
      </c>
      <c r="G1602" t="s">
        <v>11</v>
      </c>
      <c r="H1602" t="s">
        <v>38</v>
      </c>
      <c r="I1602" t="s">
        <v>13</v>
      </c>
      <c r="J1602" t="s">
        <v>13</v>
      </c>
    </row>
    <row r="1603" spans="1:11" x14ac:dyDescent="0.25">
      <c r="A1603" t="s">
        <v>5</v>
      </c>
      <c r="B1603" t="str">
        <f>"56181"</f>
        <v>56181</v>
      </c>
      <c r="C1603" t="str">
        <f>"008"</f>
        <v>008</v>
      </c>
      <c r="D1603">
        <v>2005</v>
      </c>
      <c r="E1603">
        <v>22299900</v>
      </c>
      <c r="F1603">
        <v>7406400</v>
      </c>
      <c r="G1603" t="s">
        <v>11</v>
      </c>
      <c r="H1603" t="s">
        <v>38</v>
      </c>
      <c r="I1603" t="s">
        <v>13</v>
      </c>
      <c r="J1603" t="s">
        <v>13</v>
      </c>
    </row>
    <row r="1604" spans="1:11" x14ac:dyDescent="0.25">
      <c r="A1604" t="s">
        <v>5</v>
      </c>
      <c r="B1604" t="str">
        <f>"56181"</f>
        <v>56181</v>
      </c>
      <c r="C1604" t="str">
        <f>"009"</f>
        <v>009</v>
      </c>
      <c r="D1604">
        <v>2015</v>
      </c>
      <c r="E1604">
        <v>2884300</v>
      </c>
      <c r="F1604">
        <v>-447600</v>
      </c>
      <c r="G1604" t="s">
        <v>43</v>
      </c>
      <c r="H1604" t="s">
        <v>38</v>
      </c>
      <c r="I1604" t="s">
        <v>13</v>
      </c>
      <c r="J1604" t="s">
        <v>13</v>
      </c>
    </row>
    <row r="1605" spans="1:11" x14ac:dyDescent="0.25">
      <c r="A1605" t="s">
        <v>39</v>
      </c>
      <c r="B1605" t="s">
        <v>13</v>
      </c>
      <c r="C1605" t="s">
        <v>7</v>
      </c>
      <c r="D1605" t="s">
        <v>8</v>
      </c>
      <c r="E1605">
        <v>36176200</v>
      </c>
      <c r="F1605">
        <v>16485900</v>
      </c>
      <c r="G1605" t="s">
        <v>11</v>
      </c>
      <c r="H1605">
        <v>349044300</v>
      </c>
      <c r="I1605" t="s">
        <v>13</v>
      </c>
      <c r="J1605" t="s">
        <v>13</v>
      </c>
      <c r="K1605">
        <v>4.72</v>
      </c>
    </row>
    <row r="1607" spans="1:11" x14ac:dyDescent="0.25">
      <c r="A1607" t="s">
        <v>361</v>
      </c>
      <c r="B1607" t="str">
        <f>"45181"</f>
        <v>45181</v>
      </c>
      <c r="C1607" t="str">
        <f>"002"</f>
        <v>002</v>
      </c>
      <c r="D1607">
        <v>2001</v>
      </c>
      <c r="E1607">
        <v>8860400</v>
      </c>
      <c r="F1607">
        <v>8510400</v>
      </c>
      <c r="G1607" t="s">
        <v>11</v>
      </c>
      <c r="H1607" t="s">
        <v>38</v>
      </c>
      <c r="I1607" t="s">
        <v>13</v>
      </c>
      <c r="J1607" t="s">
        <v>13</v>
      </c>
    </row>
    <row r="1608" spans="1:11" x14ac:dyDescent="0.25">
      <c r="A1608" t="s">
        <v>5</v>
      </c>
      <c r="B1608" t="str">
        <f>"45181"</f>
        <v>45181</v>
      </c>
      <c r="C1608" t="str">
        <f>"004"</f>
        <v>004</v>
      </c>
      <c r="D1608">
        <v>2006</v>
      </c>
      <c r="E1608">
        <v>8079000</v>
      </c>
      <c r="F1608">
        <v>6478900</v>
      </c>
      <c r="G1608" t="s">
        <v>11</v>
      </c>
      <c r="H1608" t="s">
        <v>38</v>
      </c>
      <c r="I1608" t="s">
        <v>13</v>
      </c>
      <c r="J1608" t="s">
        <v>13</v>
      </c>
    </row>
    <row r="1609" spans="1:11" x14ac:dyDescent="0.25">
      <c r="A1609" t="s">
        <v>39</v>
      </c>
      <c r="B1609" t="s">
        <v>13</v>
      </c>
      <c r="C1609" t="s">
        <v>7</v>
      </c>
      <c r="D1609" t="s">
        <v>8</v>
      </c>
      <c r="E1609">
        <v>16939400</v>
      </c>
      <c r="F1609">
        <v>14989300</v>
      </c>
      <c r="G1609" t="s">
        <v>11</v>
      </c>
      <c r="H1609">
        <v>441204800</v>
      </c>
      <c r="I1609" t="s">
        <v>13</v>
      </c>
      <c r="J1609" t="s">
        <v>13</v>
      </c>
      <c r="K1609">
        <v>3.4</v>
      </c>
    </row>
    <row r="1611" spans="1:11" x14ac:dyDescent="0.25">
      <c r="A1611" t="s">
        <v>362</v>
      </c>
      <c r="B1611" t="str">
        <f>"37281"</f>
        <v>37281</v>
      </c>
      <c r="C1611" t="str">
        <f>"002"</f>
        <v>002</v>
      </c>
      <c r="D1611">
        <v>1994</v>
      </c>
      <c r="E1611">
        <v>18831700</v>
      </c>
      <c r="F1611">
        <v>15558200</v>
      </c>
      <c r="G1611" t="s">
        <v>11</v>
      </c>
      <c r="H1611" t="s">
        <v>38</v>
      </c>
      <c r="I1611" t="s">
        <v>13</v>
      </c>
      <c r="J1611" t="s">
        <v>13</v>
      </c>
    </row>
    <row r="1612" spans="1:11" x14ac:dyDescent="0.25">
      <c r="A1612" t="s">
        <v>5</v>
      </c>
      <c r="B1612" t="str">
        <f>"37281"</f>
        <v>37281</v>
      </c>
      <c r="C1612" t="str">
        <f>"003"</f>
        <v>003</v>
      </c>
      <c r="D1612">
        <v>1997</v>
      </c>
      <c r="E1612">
        <v>12647600</v>
      </c>
      <c r="F1612">
        <v>7808600</v>
      </c>
      <c r="G1612" t="s">
        <v>11</v>
      </c>
      <c r="H1612" t="s">
        <v>38</v>
      </c>
      <c r="I1612" t="s">
        <v>13</v>
      </c>
      <c r="J1612" t="s">
        <v>13</v>
      </c>
    </row>
    <row r="1613" spans="1:11" x14ac:dyDescent="0.25">
      <c r="A1613" t="s">
        <v>5</v>
      </c>
      <c r="B1613" t="str">
        <f>"37281"</f>
        <v>37281</v>
      </c>
      <c r="C1613" t="str">
        <f>"004"</f>
        <v>004</v>
      </c>
      <c r="D1613">
        <v>2017</v>
      </c>
      <c r="E1613">
        <v>5720400</v>
      </c>
      <c r="F1613">
        <v>1186200</v>
      </c>
      <c r="G1613" t="s">
        <v>11</v>
      </c>
      <c r="H1613" t="s">
        <v>38</v>
      </c>
      <c r="I1613" t="s">
        <v>13</v>
      </c>
      <c r="J1613" t="s">
        <v>13</v>
      </c>
    </row>
    <row r="1614" spans="1:11" x14ac:dyDescent="0.25">
      <c r="A1614" t="s">
        <v>39</v>
      </c>
      <c r="B1614" t="s">
        <v>13</v>
      </c>
      <c r="C1614" t="s">
        <v>7</v>
      </c>
      <c r="D1614" t="s">
        <v>8</v>
      </c>
      <c r="E1614">
        <v>37199700</v>
      </c>
      <c r="F1614">
        <v>24553000</v>
      </c>
      <c r="G1614" t="s">
        <v>11</v>
      </c>
      <c r="H1614">
        <v>234209200</v>
      </c>
      <c r="I1614" t="s">
        <v>13</v>
      </c>
      <c r="J1614" t="s">
        <v>13</v>
      </c>
      <c r="K1614">
        <v>10.48</v>
      </c>
    </row>
    <row r="1616" spans="1:11" x14ac:dyDescent="0.25">
      <c r="A1616" t="s">
        <v>363</v>
      </c>
      <c r="B1616" t="str">
        <f>"44281"</f>
        <v>44281</v>
      </c>
      <c r="C1616" t="str">
        <f>"003"</f>
        <v>003</v>
      </c>
      <c r="D1616">
        <v>2001</v>
      </c>
      <c r="E1616">
        <v>22821300</v>
      </c>
      <c r="F1616">
        <v>17991400</v>
      </c>
      <c r="G1616" t="s">
        <v>11</v>
      </c>
      <c r="H1616" t="s">
        <v>38</v>
      </c>
      <c r="I1616" t="s">
        <v>13</v>
      </c>
      <c r="J1616" t="s">
        <v>13</v>
      </c>
    </row>
    <row r="1617" spans="1:11" x14ac:dyDescent="0.25">
      <c r="A1617" t="s">
        <v>5</v>
      </c>
      <c r="B1617" t="str">
        <f>"44281"</f>
        <v>44281</v>
      </c>
      <c r="C1617" t="str">
        <f>"004"</f>
        <v>004</v>
      </c>
      <c r="D1617">
        <v>2011</v>
      </c>
      <c r="E1617">
        <v>10502900</v>
      </c>
      <c r="F1617">
        <v>4845800</v>
      </c>
      <c r="G1617" t="s">
        <v>11</v>
      </c>
      <c r="H1617" t="s">
        <v>38</v>
      </c>
      <c r="I1617" t="s">
        <v>13</v>
      </c>
      <c r="J1617" t="s">
        <v>13</v>
      </c>
    </row>
    <row r="1618" spans="1:11" x14ac:dyDescent="0.25">
      <c r="A1618" t="s">
        <v>39</v>
      </c>
      <c r="B1618" t="s">
        <v>13</v>
      </c>
      <c r="C1618" t="s">
        <v>7</v>
      </c>
      <c r="D1618" t="s">
        <v>8</v>
      </c>
      <c r="E1618">
        <v>33324200</v>
      </c>
      <c r="F1618">
        <v>22837200</v>
      </c>
      <c r="G1618" t="s">
        <v>11</v>
      </c>
      <c r="H1618">
        <v>210167300</v>
      </c>
      <c r="I1618" t="s">
        <v>13</v>
      </c>
      <c r="J1618" t="s">
        <v>13</v>
      </c>
      <c r="K1618">
        <v>10.87</v>
      </c>
    </row>
    <row r="1620" spans="1:11" x14ac:dyDescent="0.25">
      <c r="A1620" t="s">
        <v>364</v>
      </c>
      <c r="B1620" t="str">
        <f>"64181"</f>
        <v>64181</v>
      </c>
      <c r="C1620" t="str">
        <f>"004"</f>
        <v>004</v>
      </c>
      <c r="D1620">
        <v>2007</v>
      </c>
      <c r="E1620">
        <v>952900</v>
      </c>
      <c r="F1620">
        <v>-114200</v>
      </c>
      <c r="G1620" t="s">
        <v>43</v>
      </c>
      <c r="H1620" t="s">
        <v>38</v>
      </c>
      <c r="I1620" t="s">
        <v>13</v>
      </c>
      <c r="J1620" t="s">
        <v>13</v>
      </c>
    </row>
    <row r="1621" spans="1:11" x14ac:dyDescent="0.25">
      <c r="A1621" t="s">
        <v>39</v>
      </c>
      <c r="B1621" t="s">
        <v>13</v>
      </c>
      <c r="C1621" t="s">
        <v>7</v>
      </c>
      <c r="D1621" t="s">
        <v>8</v>
      </c>
      <c r="E1621">
        <v>952900</v>
      </c>
      <c r="F1621">
        <v>0</v>
      </c>
      <c r="G1621" t="s">
        <v>11</v>
      </c>
      <c r="H1621">
        <v>76766700</v>
      </c>
      <c r="I1621" t="s">
        <v>13</v>
      </c>
      <c r="J1621" t="s">
        <v>13</v>
      </c>
      <c r="K1621">
        <v>0</v>
      </c>
    </row>
    <row r="1623" spans="1:11" x14ac:dyDescent="0.25">
      <c r="A1623" t="s">
        <v>365</v>
      </c>
      <c r="B1623" t="str">
        <f t="shared" ref="B1623:B1628" si="30">"58281"</f>
        <v>58281</v>
      </c>
      <c r="C1623" t="str">
        <f>"002"</f>
        <v>002</v>
      </c>
      <c r="D1623">
        <v>1992</v>
      </c>
      <c r="E1623">
        <v>13364600</v>
      </c>
      <c r="F1623">
        <v>13064100</v>
      </c>
      <c r="G1623" t="s">
        <v>11</v>
      </c>
      <c r="H1623" t="s">
        <v>38</v>
      </c>
      <c r="I1623" t="s">
        <v>13</v>
      </c>
      <c r="J1623" t="s">
        <v>13</v>
      </c>
    </row>
    <row r="1624" spans="1:11" x14ac:dyDescent="0.25">
      <c r="A1624" t="s">
        <v>5</v>
      </c>
      <c r="B1624" t="str">
        <f t="shared" si="30"/>
        <v>58281</v>
      </c>
      <c r="C1624" t="str">
        <f>"003"</f>
        <v>003</v>
      </c>
      <c r="D1624">
        <v>1995</v>
      </c>
      <c r="E1624">
        <v>5729200</v>
      </c>
      <c r="F1624">
        <v>3378200</v>
      </c>
      <c r="G1624" t="s">
        <v>11</v>
      </c>
      <c r="H1624" t="s">
        <v>38</v>
      </c>
      <c r="I1624" t="s">
        <v>13</v>
      </c>
      <c r="J1624" t="s">
        <v>13</v>
      </c>
    </row>
    <row r="1625" spans="1:11" x14ac:dyDescent="0.25">
      <c r="A1625" t="s">
        <v>5</v>
      </c>
      <c r="B1625" t="str">
        <f t="shared" si="30"/>
        <v>58281</v>
      </c>
      <c r="C1625" t="str">
        <f>"004"</f>
        <v>004</v>
      </c>
      <c r="D1625">
        <v>2000</v>
      </c>
      <c r="E1625">
        <v>25496400</v>
      </c>
      <c r="F1625">
        <v>12391300</v>
      </c>
      <c r="G1625" t="s">
        <v>11</v>
      </c>
      <c r="H1625" t="s">
        <v>38</v>
      </c>
      <c r="I1625" t="s">
        <v>13</v>
      </c>
      <c r="J1625" t="s">
        <v>13</v>
      </c>
    </row>
    <row r="1626" spans="1:11" x14ac:dyDescent="0.25">
      <c r="A1626" t="s">
        <v>5</v>
      </c>
      <c r="B1626" t="str">
        <f t="shared" si="30"/>
        <v>58281</v>
      </c>
      <c r="C1626" t="str">
        <f>"005"</f>
        <v>005</v>
      </c>
      <c r="D1626">
        <v>2001</v>
      </c>
      <c r="E1626">
        <v>4634500</v>
      </c>
      <c r="F1626">
        <v>4320200</v>
      </c>
      <c r="G1626" t="s">
        <v>11</v>
      </c>
      <c r="H1626" t="s">
        <v>38</v>
      </c>
      <c r="I1626" t="s">
        <v>13</v>
      </c>
      <c r="J1626" t="s">
        <v>13</v>
      </c>
    </row>
    <row r="1627" spans="1:11" x14ac:dyDescent="0.25">
      <c r="A1627" t="s">
        <v>5</v>
      </c>
      <c r="B1627" t="str">
        <f t="shared" si="30"/>
        <v>58281</v>
      </c>
      <c r="C1627" t="str">
        <f>"006"</f>
        <v>006</v>
      </c>
      <c r="D1627">
        <v>2014</v>
      </c>
      <c r="E1627">
        <v>42986400</v>
      </c>
      <c r="F1627">
        <v>8089100</v>
      </c>
      <c r="G1627" t="s">
        <v>11</v>
      </c>
      <c r="H1627" t="s">
        <v>38</v>
      </c>
      <c r="I1627" t="s">
        <v>13</v>
      </c>
      <c r="J1627" t="s">
        <v>13</v>
      </c>
    </row>
    <row r="1628" spans="1:11" x14ac:dyDescent="0.25">
      <c r="A1628" t="s">
        <v>5</v>
      </c>
      <c r="B1628" t="str">
        <f t="shared" si="30"/>
        <v>58281</v>
      </c>
      <c r="C1628" t="str">
        <f>"007"</f>
        <v>007</v>
      </c>
      <c r="D1628">
        <v>2016</v>
      </c>
      <c r="E1628">
        <v>8571700</v>
      </c>
      <c r="F1628">
        <v>7990600</v>
      </c>
      <c r="G1628" t="s">
        <v>11</v>
      </c>
      <c r="H1628" t="s">
        <v>38</v>
      </c>
      <c r="I1628" t="s">
        <v>13</v>
      </c>
      <c r="J1628" t="s">
        <v>13</v>
      </c>
    </row>
    <row r="1629" spans="1:11" x14ac:dyDescent="0.25">
      <c r="A1629" t="s">
        <v>39</v>
      </c>
      <c r="B1629" t="s">
        <v>13</v>
      </c>
      <c r="C1629" t="s">
        <v>7</v>
      </c>
      <c r="D1629" t="s">
        <v>8</v>
      </c>
      <c r="E1629">
        <v>100782800</v>
      </c>
      <c r="F1629">
        <v>49233500</v>
      </c>
      <c r="G1629" t="s">
        <v>11</v>
      </c>
      <c r="H1629">
        <v>531928300</v>
      </c>
      <c r="I1629" t="s">
        <v>13</v>
      </c>
      <c r="J1629" t="s">
        <v>13</v>
      </c>
      <c r="K1629">
        <v>9.26</v>
      </c>
    </row>
    <row r="1631" spans="1:11" x14ac:dyDescent="0.25">
      <c r="A1631" t="s">
        <v>366</v>
      </c>
      <c r="B1631" t="str">
        <f t="shared" ref="B1631:B1638" si="31">"59281"</f>
        <v>59281</v>
      </c>
      <c r="C1631" t="str">
        <f>"006"</f>
        <v>006</v>
      </c>
      <c r="D1631">
        <v>1992</v>
      </c>
      <c r="E1631">
        <v>78098400</v>
      </c>
      <c r="F1631">
        <v>58519400</v>
      </c>
      <c r="G1631" t="s">
        <v>11</v>
      </c>
      <c r="H1631" t="s">
        <v>38</v>
      </c>
      <c r="I1631" t="s">
        <v>13</v>
      </c>
      <c r="J1631" t="s">
        <v>13</v>
      </c>
    </row>
    <row r="1632" spans="1:11" x14ac:dyDescent="0.25">
      <c r="A1632" t="s">
        <v>5</v>
      </c>
      <c r="B1632" t="str">
        <f t="shared" si="31"/>
        <v>59281</v>
      </c>
      <c r="C1632" t="str">
        <f>"010"</f>
        <v>010</v>
      </c>
      <c r="D1632">
        <v>1997</v>
      </c>
      <c r="E1632">
        <v>14112100</v>
      </c>
      <c r="F1632">
        <v>10861500</v>
      </c>
      <c r="G1632" t="s">
        <v>11</v>
      </c>
      <c r="H1632" t="s">
        <v>38</v>
      </c>
      <c r="I1632" t="s">
        <v>13</v>
      </c>
      <c r="J1632" t="s">
        <v>13</v>
      </c>
    </row>
    <row r="1633" spans="1:11" x14ac:dyDescent="0.25">
      <c r="A1633" t="s">
        <v>5</v>
      </c>
      <c r="B1633" t="str">
        <f t="shared" si="31"/>
        <v>59281</v>
      </c>
      <c r="C1633" t="str">
        <f>"011"</f>
        <v>011</v>
      </c>
      <c r="D1633">
        <v>1998</v>
      </c>
      <c r="E1633">
        <v>29029600</v>
      </c>
      <c r="F1633">
        <v>25643400</v>
      </c>
      <c r="G1633" t="s">
        <v>11</v>
      </c>
      <c r="H1633" t="s">
        <v>38</v>
      </c>
      <c r="I1633" t="s">
        <v>13</v>
      </c>
      <c r="J1633" t="s">
        <v>13</v>
      </c>
    </row>
    <row r="1634" spans="1:11" x14ac:dyDescent="0.25">
      <c r="A1634" t="s">
        <v>5</v>
      </c>
      <c r="B1634" t="str">
        <f t="shared" si="31"/>
        <v>59281</v>
      </c>
      <c r="C1634" t="str">
        <f>"012"</f>
        <v>012</v>
      </c>
      <c r="D1634">
        <v>2000</v>
      </c>
      <c r="E1634">
        <v>10840600</v>
      </c>
      <c r="F1634">
        <v>7014900</v>
      </c>
      <c r="G1634" t="s">
        <v>11</v>
      </c>
      <c r="H1634" t="s">
        <v>38</v>
      </c>
      <c r="I1634" t="s">
        <v>13</v>
      </c>
      <c r="J1634" t="s">
        <v>13</v>
      </c>
    </row>
    <row r="1635" spans="1:11" x14ac:dyDescent="0.25">
      <c r="A1635" t="s">
        <v>5</v>
      </c>
      <c r="B1635" t="str">
        <f t="shared" si="31"/>
        <v>59281</v>
      </c>
      <c r="C1635" t="str">
        <f>"013"</f>
        <v>013</v>
      </c>
      <c r="D1635">
        <v>2006</v>
      </c>
      <c r="E1635">
        <v>15895400</v>
      </c>
      <c r="F1635">
        <v>15601000</v>
      </c>
      <c r="G1635" t="s">
        <v>11</v>
      </c>
      <c r="H1635" t="s">
        <v>38</v>
      </c>
      <c r="I1635" t="s">
        <v>13</v>
      </c>
      <c r="J1635" t="s">
        <v>13</v>
      </c>
    </row>
    <row r="1636" spans="1:11" x14ac:dyDescent="0.25">
      <c r="A1636" t="s">
        <v>5</v>
      </c>
      <c r="B1636" t="str">
        <f t="shared" si="31"/>
        <v>59281</v>
      </c>
      <c r="C1636" t="str">
        <f>"014"</f>
        <v>014</v>
      </c>
      <c r="D1636">
        <v>2011</v>
      </c>
      <c r="E1636">
        <v>40470400</v>
      </c>
      <c r="F1636">
        <v>19276600</v>
      </c>
      <c r="G1636" t="s">
        <v>11</v>
      </c>
      <c r="H1636" t="s">
        <v>38</v>
      </c>
      <c r="I1636" t="s">
        <v>13</v>
      </c>
      <c r="J1636" t="s">
        <v>13</v>
      </c>
    </row>
    <row r="1637" spans="1:11" x14ac:dyDescent="0.25">
      <c r="A1637" t="s">
        <v>5</v>
      </c>
      <c r="B1637" t="str">
        <f t="shared" si="31"/>
        <v>59281</v>
      </c>
      <c r="C1637" t="str">
        <f>"015"</f>
        <v>015</v>
      </c>
      <c r="D1637">
        <v>2011</v>
      </c>
      <c r="E1637">
        <v>19208500</v>
      </c>
      <c r="F1637">
        <v>6773600</v>
      </c>
      <c r="G1637" t="s">
        <v>11</v>
      </c>
      <c r="H1637" t="s">
        <v>38</v>
      </c>
      <c r="I1637" t="s">
        <v>13</v>
      </c>
      <c r="J1637" t="s">
        <v>13</v>
      </c>
    </row>
    <row r="1638" spans="1:11" x14ac:dyDescent="0.25">
      <c r="A1638" t="s">
        <v>5</v>
      </c>
      <c r="B1638" t="str">
        <f t="shared" si="31"/>
        <v>59281</v>
      </c>
      <c r="C1638" t="str">
        <f>"016"</f>
        <v>016</v>
      </c>
      <c r="D1638">
        <v>2015</v>
      </c>
      <c r="E1638">
        <v>33009000</v>
      </c>
      <c r="F1638">
        <v>10549800</v>
      </c>
      <c r="G1638" t="s">
        <v>11</v>
      </c>
      <c r="H1638" t="s">
        <v>38</v>
      </c>
      <c r="I1638" t="s">
        <v>13</v>
      </c>
      <c r="J1638" t="s">
        <v>13</v>
      </c>
    </row>
    <row r="1639" spans="1:11" x14ac:dyDescent="0.25">
      <c r="A1639" t="s">
        <v>39</v>
      </c>
      <c r="B1639" t="s">
        <v>13</v>
      </c>
      <c r="C1639" t="s">
        <v>7</v>
      </c>
      <c r="D1639" t="s">
        <v>8</v>
      </c>
      <c r="E1639">
        <v>240664000</v>
      </c>
      <c r="F1639">
        <v>154240200</v>
      </c>
      <c r="G1639" t="s">
        <v>11</v>
      </c>
      <c r="H1639">
        <v>2809902500</v>
      </c>
      <c r="I1639" t="s">
        <v>13</v>
      </c>
      <c r="J1639" t="s">
        <v>13</v>
      </c>
      <c r="K1639">
        <v>5.49</v>
      </c>
    </row>
    <row r="1641" spans="1:11" x14ac:dyDescent="0.25">
      <c r="A1641" t="s">
        <v>367</v>
      </c>
      <c r="B1641" t="str">
        <f>"59282"</f>
        <v>59282</v>
      </c>
      <c r="C1641" t="str">
        <f>"003"</f>
        <v>003</v>
      </c>
      <c r="D1641">
        <v>1994</v>
      </c>
      <c r="E1641">
        <v>28058100</v>
      </c>
      <c r="F1641">
        <v>21869800</v>
      </c>
      <c r="G1641" t="s">
        <v>11</v>
      </c>
      <c r="H1641" t="s">
        <v>38</v>
      </c>
      <c r="I1641" t="s">
        <v>13</v>
      </c>
      <c r="J1641" t="s">
        <v>13</v>
      </c>
    </row>
    <row r="1642" spans="1:11" x14ac:dyDescent="0.25">
      <c r="A1642" t="s">
        <v>5</v>
      </c>
      <c r="B1642" t="str">
        <f>"59282"</f>
        <v>59282</v>
      </c>
      <c r="C1642" t="str">
        <f>"004"</f>
        <v>004</v>
      </c>
      <c r="D1642">
        <v>2016</v>
      </c>
      <c r="E1642">
        <v>7084100</v>
      </c>
      <c r="F1642">
        <v>5192600</v>
      </c>
      <c r="G1642" t="s">
        <v>11</v>
      </c>
      <c r="H1642" t="s">
        <v>38</v>
      </c>
      <c r="I1642" t="s">
        <v>13</v>
      </c>
      <c r="J1642" t="s">
        <v>13</v>
      </c>
    </row>
    <row r="1643" spans="1:11" x14ac:dyDescent="0.25">
      <c r="A1643" t="s">
        <v>39</v>
      </c>
      <c r="B1643" t="s">
        <v>13</v>
      </c>
      <c r="C1643" t="s">
        <v>7</v>
      </c>
      <c r="D1643" t="s">
        <v>8</v>
      </c>
      <c r="E1643">
        <v>35142200</v>
      </c>
      <c r="F1643">
        <v>27062400</v>
      </c>
      <c r="G1643" t="s">
        <v>11</v>
      </c>
      <c r="H1643">
        <v>638324500</v>
      </c>
      <c r="I1643" t="s">
        <v>13</v>
      </c>
      <c r="J1643" t="s">
        <v>13</v>
      </c>
      <c r="K1643">
        <v>4.24</v>
      </c>
    </row>
    <row r="1645" spans="1:11" x14ac:dyDescent="0.25">
      <c r="A1645" t="s">
        <v>368</v>
      </c>
      <c r="B1645" t="str">
        <f>"65282"</f>
        <v>65282</v>
      </c>
      <c r="C1645" t="str">
        <f>"002"</f>
        <v>002</v>
      </c>
      <c r="D1645">
        <v>1996</v>
      </c>
      <c r="E1645">
        <v>28320700</v>
      </c>
      <c r="F1645">
        <v>22725000</v>
      </c>
      <c r="G1645" t="s">
        <v>11</v>
      </c>
      <c r="H1645" t="s">
        <v>38</v>
      </c>
      <c r="I1645" t="s">
        <v>13</v>
      </c>
      <c r="J1645" t="s">
        <v>13</v>
      </c>
    </row>
    <row r="1646" spans="1:11" x14ac:dyDescent="0.25">
      <c r="A1646" t="s">
        <v>39</v>
      </c>
      <c r="B1646" t="s">
        <v>13</v>
      </c>
      <c r="C1646" t="s">
        <v>7</v>
      </c>
      <c r="D1646" t="s">
        <v>8</v>
      </c>
      <c r="E1646">
        <v>28320700</v>
      </c>
      <c r="F1646">
        <v>22725000</v>
      </c>
      <c r="G1646" t="s">
        <v>11</v>
      </c>
      <c r="H1646">
        <v>189642500</v>
      </c>
      <c r="I1646" t="s">
        <v>13</v>
      </c>
      <c r="J1646" t="s">
        <v>13</v>
      </c>
      <c r="K1646">
        <v>11.98</v>
      </c>
    </row>
    <row r="1648" spans="1:11" x14ac:dyDescent="0.25">
      <c r="A1648" t="s">
        <v>369</v>
      </c>
      <c r="B1648" t="str">
        <f>"08179"</f>
        <v>08179</v>
      </c>
      <c r="C1648" t="str">
        <f>"001"</f>
        <v>001</v>
      </c>
      <c r="D1648">
        <v>1992</v>
      </c>
      <c r="E1648">
        <v>13213900</v>
      </c>
      <c r="F1648">
        <v>13132300</v>
      </c>
      <c r="G1648" t="s">
        <v>11</v>
      </c>
      <c r="H1648" t="s">
        <v>38</v>
      </c>
      <c r="I1648" t="s">
        <v>13</v>
      </c>
      <c r="J1648" t="s">
        <v>13</v>
      </c>
    </row>
    <row r="1649" spans="1:11" x14ac:dyDescent="0.25">
      <c r="A1649" t="s">
        <v>5</v>
      </c>
      <c r="B1649" t="str">
        <f>"08179"</f>
        <v>08179</v>
      </c>
      <c r="C1649" t="str">
        <f>"002"</f>
        <v>002</v>
      </c>
      <c r="D1649">
        <v>2013</v>
      </c>
      <c r="E1649">
        <v>4560300</v>
      </c>
      <c r="F1649">
        <v>1732800</v>
      </c>
      <c r="G1649" t="s">
        <v>11</v>
      </c>
      <c r="H1649" t="s">
        <v>38</v>
      </c>
      <c r="I1649" t="s">
        <v>13</v>
      </c>
      <c r="J1649" t="s">
        <v>13</v>
      </c>
    </row>
    <row r="1650" spans="1:11" x14ac:dyDescent="0.25">
      <c r="A1650" t="s">
        <v>5</v>
      </c>
      <c r="B1650" t="str">
        <f>"08179"</f>
        <v>08179</v>
      </c>
      <c r="C1650" t="str">
        <f>"003"</f>
        <v>003</v>
      </c>
      <c r="D1650">
        <v>2013</v>
      </c>
      <c r="E1650">
        <v>8948900</v>
      </c>
      <c r="F1650">
        <v>280300</v>
      </c>
      <c r="G1650" t="s">
        <v>11</v>
      </c>
      <c r="H1650" t="s">
        <v>38</v>
      </c>
      <c r="I1650" t="s">
        <v>13</v>
      </c>
      <c r="J1650" t="s">
        <v>13</v>
      </c>
    </row>
    <row r="1651" spans="1:11" x14ac:dyDescent="0.25">
      <c r="A1651" t="s">
        <v>39</v>
      </c>
      <c r="B1651" t="s">
        <v>13</v>
      </c>
      <c r="C1651" t="s">
        <v>7</v>
      </c>
      <c r="D1651" t="s">
        <v>8</v>
      </c>
      <c r="E1651">
        <v>26723100</v>
      </c>
      <c r="F1651">
        <v>15145400</v>
      </c>
      <c r="G1651" t="s">
        <v>11</v>
      </c>
      <c r="H1651">
        <v>300182200</v>
      </c>
      <c r="I1651" t="s">
        <v>13</v>
      </c>
      <c r="J1651" t="s">
        <v>13</v>
      </c>
      <c r="K1651">
        <v>5.05</v>
      </c>
    </row>
    <row r="1653" spans="1:11" x14ac:dyDescent="0.25">
      <c r="A1653" t="s">
        <v>370</v>
      </c>
      <c r="B1653" t="str">
        <f>"40181"</f>
        <v>40181</v>
      </c>
      <c r="C1653" t="str">
        <f>"001"</f>
        <v>001</v>
      </c>
      <c r="D1653">
        <v>1995</v>
      </c>
      <c r="E1653">
        <v>205900700</v>
      </c>
      <c r="F1653">
        <v>66769400</v>
      </c>
      <c r="G1653" t="s">
        <v>11</v>
      </c>
      <c r="H1653" t="s">
        <v>38</v>
      </c>
      <c r="I1653" t="s">
        <v>13</v>
      </c>
      <c r="J1653" t="s">
        <v>13</v>
      </c>
    </row>
    <row r="1654" spans="1:11" x14ac:dyDescent="0.25">
      <c r="A1654" t="s">
        <v>5</v>
      </c>
      <c r="B1654" t="str">
        <f>"40181"</f>
        <v>40181</v>
      </c>
      <c r="C1654" t="str">
        <f>"003"</f>
        <v>003</v>
      </c>
      <c r="D1654">
        <v>2008</v>
      </c>
      <c r="E1654">
        <v>31108900</v>
      </c>
      <c r="F1654">
        <v>23360500</v>
      </c>
      <c r="G1654" t="s">
        <v>11</v>
      </c>
      <c r="H1654" t="s">
        <v>38</v>
      </c>
      <c r="I1654" t="s">
        <v>13</v>
      </c>
      <c r="J1654" t="s">
        <v>13</v>
      </c>
    </row>
    <row r="1655" spans="1:11" x14ac:dyDescent="0.25">
      <c r="A1655" t="s">
        <v>5</v>
      </c>
      <c r="B1655" t="str">
        <f>"40181"</f>
        <v>40181</v>
      </c>
      <c r="C1655" t="str">
        <f>"004"</f>
        <v>004</v>
      </c>
      <c r="D1655">
        <v>2011</v>
      </c>
      <c r="E1655">
        <v>19603200</v>
      </c>
      <c r="F1655">
        <v>18407800</v>
      </c>
      <c r="G1655" t="s">
        <v>11</v>
      </c>
      <c r="H1655" t="s">
        <v>38</v>
      </c>
      <c r="I1655" t="s">
        <v>13</v>
      </c>
      <c r="J1655" t="s">
        <v>13</v>
      </c>
    </row>
    <row r="1656" spans="1:11" x14ac:dyDescent="0.25">
      <c r="A1656" t="s">
        <v>5</v>
      </c>
      <c r="B1656" t="str">
        <f>"40181"</f>
        <v>40181</v>
      </c>
      <c r="C1656" t="str">
        <f>"005"</f>
        <v>005</v>
      </c>
      <c r="D1656">
        <v>2014</v>
      </c>
      <c r="E1656">
        <v>52831900</v>
      </c>
      <c r="F1656">
        <v>44746100</v>
      </c>
      <c r="G1656" t="s">
        <v>11</v>
      </c>
      <c r="H1656" t="s">
        <v>38</v>
      </c>
      <c r="I1656" t="s">
        <v>13</v>
      </c>
      <c r="J1656" t="s">
        <v>13</v>
      </c>
    </row>
    <row r="1657" spans="1:11" x14ac:dyDescent="0.25">
      <c r="A1657" t="s">
        <v>39</v>
      </c>
      <c r="B1657" t="s">
        <v>13</v>
      </c>
      <c r="C1657" t="s">
        <v>7</v>
      </c>
      <c r="D1657" t="s">
        <v>8</v>
      </c>
      <c r="E1657">
        <v>309444700</v>
      </c>
      <c r="F1657">
        <v>153283800</v>
      </c>
      <c r="G1657" t="s">
        <v>11</v>
      </c>
      <c r="H1657">
        <v>1714159900</v>
      </c>
      <c r="I1657" t="s">
        <v>13</v>
      </c>
      <c r="J1657" t="s">
        <v>13</v>
      </c>
      <c r="K1657">
        <v>8.94</v>
      </c>
    </row>
    <row r="1659" spans="1:11" x14ac:dyDescent="0.25">
      <c r="A1659" t="s">
        <v>371</v>
      </c>
      <c r="B1659" t="str">
        <f>"13181"</f>
        <v>13181</v>
      </c>
      <c r="C1659" t="str">
        <f>"003"</f>
        <v>003</v>
      </c>
      <c r="D1659">
        <v>2008</v>
      </c>
      <c r="E1659">
        <v>67732100</v>
      </c>
      <c r="F1659">
        <v>46506700</v>
      </c>
      <c r="G1659" t="s">
        <v>11</v>
      </c>
      <c r="H1659" t="s">
        <v>38</v>
      </c>
      <c r="I1659" t="s">
        <v>13</v>
      </c>
      <c r="J1659" t="s">
        <v>13</v>
      </c>
    </row>
    <row r="1660" spans="1:11" x14ac:dyDescent="0.25">
      <c r="A1660" t="s">
        <v>5</v>
      </c>
      <c r="B1660" t="str">
        <f>"13181"</f>
        <v>13181</v>
      </c>
      <c r="C1660" t="str">
        <f>"004"</f>
        <v>004</v>
      </c>
      <c r="D1660">
        <v>2010</v>
      </c>
      <c r="E1660">
        <v>19320600</v>
      </c>
      <c r="F1660">
        <v>11054800</v>
      </c>
      <c r="G1660" t="s">
        <v>11</v>
      </c>
      <c r="H1660" t="s">
        <v>38</v>
      </c>
      <c r="I1660" t="s">
        <v>13</v>
      </c>
      <c r="J1660" t="s">
        <v>13</v>
      </c>
    </row>
    <row r="1661" spans="1:11" x14ac:dyDescent="0.25">
      <c r="A1661" t="s">
        <v>5</v>
      </c>
      <c r="B1661" t="str">
        <f>"13181"</f>
        <v>13181</v>
      </c>
      <c r="C1661" t="str">
        <f>"005"</f>
        <v>005</v>
      </c>
      <c r="D1661">
        <v>2016</v>
      </c>
      <c r="E1661">
        <v>13162500</v>
      </c>
      <c r="F1661">
        <v>8909900</v>
      </c>
      <c r="G1661" t="s">
        <v>11</v>
      </c>
      <c r="H1661" t="s">
        <v>38</v>
      </c>
      <c r="I1661" t="s">
        <v>13</v>
      </c>
      <c r="J1661" t="s">
        <v>13</v>
      </c>
    </row>
    <row r="1662" spans="1:11" x14ac:dyDescent="0.25">
      <c r="A1662" t="s">
        <v>39</v>
      </c>
      <c r="B1662" t="s">
        <v>13</v>
      </c>
      <c r="C1662" t="s">
        <v>7</v>
      </c>
      <c r="D1662" t="s">
        <v>8</v>
      </c>
      <c r="E1662">
        <v>100215200</v>
      </c>
      <c r="F1662">
        <v>66471400</v>
      </c>
      <c r="G1662" t="s">
        <v>11</v>
      </c>
      <c r="H1662">
        <v>608673100</v>
      </c>
      <c r="I1662" t="s">
        <v>13</v>
      </c>
      <c r="J1662" t="s">
        <v>13</v>
      </c>
      <c r="K1662">
        <v>10.92</v>
      </c>
    </row>
    <row r="1664" spans="1:11" x14ac:dyDescent="0.25">
      <c r="A1664" t="s">
        <v>372</v>
      </c>
      <c r="B1664" t="str">
        <f>"33281"</f>
        <v>33281</v>
      </c>
      <c r="C1664" t="str">
        <f>"003"</f>
        <v>003</v>
      </c>
      <c r="D1664">
        <v>1997</v>
      </c>
      <c r="E1664">
        <v>5569000</v>
      </c>
      <c r="F1664">
        <v>4089000</v>
      </c>
      <c r="G1664" t="s">
        <v>11</v>
      </c>
      <c r="H1664" t="s">
        <v>38</v>
      </c>
      <c r="I1664" t="s">
        <v>13</v>
      </c>
      <c r="J1664" t="s">
        <v>13</v>
      </c>
    </row>
    <row r="1665" spans="1:11" x14ac:dyDescent="0.25">
      <c r="A1665" t="s">
        <v>5</v>
      </c>
      <c r="B1665" t="str">
        <f>"33281"</f>
        <v>33281</v>
      </c>
      <c r="C1665" t="str">
        <f>"004"</f>
        <v>004</v>
      </c>
      <c r="D1665">
        <v>1997</v>
      </c>
      <c r="E1665">
        <v>1134700</v>
      </c>
      <c r="F1665">
        <v>1119700</v>
      </c>
      <c r="G1665" t="s">
        <v>11</v>
      </c>
      <c r="H1665" t="s">
        <v>38</v>
      </c>
      <c r="I1665" t="s">
        <v>13</v>
      </c>
      <c r="J1665" t="s">
        <v>13</v>
      </c>
    </row>
    <row r="1666" spans="1:11" x14ac:dyDescent="0.25">
      <c r="A1666" t="s">
        <v>5</v>
      </c>
      <c r="B1666" t="str">
        <f>"33281"</f>
        <v>33281</v>
      </c>
      <c r="C1666" t="str">
        <f>"005"</f>
        <v>005</v>
      </c>
      <c r="D1666">
        <v>2005</v>
      </c>
      <c r="E1666">
        <v>537100</v>
      </c>
      <c r="F1666">
        <v>375600</v>
      </c>
      <c r="G1666" t="s">
        <v>11</v>
      </c>
      <c r="H1666" t="s">
        <v>38</v>
      </c>
      <c r="I1666" t="s">
        <v>13</v>
      </c>
      <c r="J1666" t="s">
        <v>13</v>
      </c>
    </row>
    <row r="1667" spans="1:11" x14ac:dyDescent="0.25">
      <c r="A1667" t="s">
        <v>5</v>
      </c>
      <c r="B1667" t="str">
        <f>"33281"</f>
        <v>33281</v>
      </c>
      <c r="C1667" t="str">
        <f>"006"</f>
        <v>006</v>
      </c>
      <c r="D1667">
        <v>2010</v>
      </c>
      <c r="E1667">
        <v>3052400</v>
      </c>
      <c r="F1667">
        <v>3040000</v>
      </c>
      <c r="G1667" t="s">
        <v>11</v>
      </c>
      <c r="H1667" t="s">
        <v>38</v>
      </c>
      <c r="I1667" t="s">
        <v>13</v>
      </c>
      <c r="J1667" t="s">
        <v>13</v>
      </c>
    </row>
    <row r="1668" spans="1:11" x14ac:dyDescent="0.25">
      <c r="A1668" t="s">
        <v>5</v>
      </c>
      <c r="B1668" t="str">
        <f>"33281"</f>
        <v>33281</v>
      </c>
      <c r="C1668" t="str">
        <f>"007"</f>
        <v>007</v>
      </c>
      <c r="D1668">
        <v>2010</v>
      </c>
      <c r="E1668">
        <v>3076500</v>
      </c>
      <c r="F1668">
        <v>2006200</v>
      </c>
      <c r="G1668" t="s">
        <v>11</v>
      </c>
      <c r="H1668" t="s">
        <v>38</v>
      </c>
      <c r="I1668" t="s">
        <v>13</v>
      </c>
      <c r="J1668" t="s">
        <v>13</v>
      </c>
    </row>
    <row r="1669" spans="1:11" x14ac:dyDescent="0.25">
      <c r="A1669" t="s">
        <v>39</v>
      </c>
      <c r="B1669" t="s">
        <v>13</v>
      </c>
      <c r="C1669" t="s">
        <v>7</v>
      </c>
      <c r="D1669" t="s">
        <v>8</v>
      </c>
      <c r="E1669">
        <v>13369700</v>
      </c>
      <c r="F1669">
        <v>10630500</v>
      </c>
      <c r="G1669" t="s">
        <v>11</v>
      </c>
      <c r="H1669">
        <v>65322300</v>
      </c>
      <c r="I1669" t="s">
        <v>13</v>
      </c>
      <c r="J1669" t="s">
        <v>13</v>
      </c>
      <c r="K1669">
        <v>16.27</v>
      </c>
    </row>
    <row r="1671" spans="1:11" x14ac:dyDescent="0.25">
      <c r="A1671" t="s">
        <v>373</v>
      </c>
      <c r="B1671" t="str">
        <f>"07181"</f>
        <v>07181</v>
      </c>
      <c r="C1671" t="str">
        <f>"001"</f>
        <v>001</v>
      </c>
      <c r="D1671">
        <v>1994</v>
      </c>
      <c r="E1671">
        <v>1374300</v>
      </c>
      <c r="F1671">
        <v>1315600</v>
      </c>
      <c r="G1671" t="s">
        <v>11</v>
      </c>
      <c r="H1671" t="s">
        <v>38</v>
      </c>
      <c r="I1671" t="s">
        <v>13</v>
      </c>
      <c r="J1671" t="s">
        <v>13</v>
      </c>
    </row>
    <row r="1672" spans="1:11" x14ac:dyDescent="0.25">
      <c r="A1672" t="s">
        <v>5</v>
      </c>
      <c r="B1672" t="str">
        <f>"07181"</f>
        <v>07181</v>
      </c>
      <c r="C1672" t="str">
        <f>"002"</f>
        <v>002</v>
      </c>
      <c r="D1672">
        <v>2003</v>
      </c>
      <c r="E1672">
        <v>24544200</v>
      </c>
      <c r="F1672">
        <v>5781600</v>
      </c>
      <c r="G1672" t="s">
        <v>11</v>
      </c>
      <c r="H1672" t="s">
        <v>38</v>
      </c>
      <c r="I1672" t="s">
        <v>13</v>
      </c>
      <c r="J1672" t="s">
        <v>13</v>
      </c>
    </row>
    <row r="1673" spans="1:11" x14ac:dyDescent="0.25">
      <c r="A1673" t="s">
        <v>39</v>
      </c>
      <c r="B1673" t="s">
        <v>13</v>
      </c>
      <c r="C1673" t="s">
        <v>7</v>
      </c>
      <c r="D1673" t="s">
        <v>8</v>
      </c>
      <c r="E1673">
        <v>25918500</v>
      </c>
      <c r="F1673">
        <v>7097200</v>
      </c>
      <c r="G1673" t="s">
        <v>11</v>
      </c>
      <c r="H1673">
        <v>72176400</v>
      </c>
      <c r="I1673" t="s">
        <v>13</v>
      </c>
      <c r="J1673" t="s">
        <v>13</v>
      </c>
      <c r="K1673">
        <v>9.83</v>
      </c>
    </row>
    <row r="1675" spans="1:11" x14ac:dyDescent="0.25">
      <c r="A1675" t="s">
        <v>374</v>
      </c>
      <c r="B1675" t="str">
        <f>"15181"</f>
        <v>15181</v>
      </c>
      <c r="C1675" t="str">
        <f>"001"</f>
        <v>001</v>
      </c>
      <c r="D1675">
        <v>2008</v>
      </c>
      <c r="E1675">
        <v>56335200</v>
      </c>
      <c r="F1675">
        <v>11616900</v>
      </c>
      <c r="G1675" t="s">
        <v>11</v>
      </c>
      <c r="H1675" t="s">
        <v>38</v>
      </c>
      <c r="I1675" t="s">
        <v>13</v>
      </c>
      <c r="J1675" t="s">
        <v>13</v>
      </c>
    </row>
    <row r="1676" spans="1:11" x14ac:dyDescent="0.25">
      <c r="A1676" t="s">
        <v>39</v>
      </c>
      <c r="B1676" t="s">
        <v>13</v>
      </c>
      <c r="C1676" t="s">
        <v>7</v>
      </c>
      <c r="D1676" t="s">
        <v>8</v>
      </c>
      <c r="E1676">
        <v>56335200</v>
      </c>
      <c r="F1676">
        <v>11616900</v>
      </c>
      <c r="G1676" t="s">
        <v>11</v>
      </c>
      <c r="H1676">
        <v>418118700</v>
      </c>
      <c r="I1676" t="s">
        <v>13</v>
      </c>
      <c r="J1676" t="s">
        <v>13</v>
      </c>
      <c r="K1676">
        <v>2.78</v>
      </c>
    </row>
    <row r="1678" spans="1:11" x14ac:dyDescent="0.25">
      <c r="A1678" t="s">
        <v>375</v>
      </c>
      <c r="B1678" t="str">
        <f>"66181"</f>
        <v>66181</v>
      </c>
      <c r="C1678" t="str">
        <f>"004"</f>
        <v>004</v>
      </c>
      <c r="D1678">
        <v>2015</v>
      </c>
      <c r="E1678">
        <v>10754500</v>
      </c>
      <c r="F1678">
        <v>7208300</v>
      </c>
      <c r="G1678" t="s">
        <v>11</v>
      </c>
      <c r="H1678" t="s">
        <v>38</v>
      </c>
      <c r="I1678" t="s">
        <v>13</v>
      </c>
      <c r="J1678" t="s">
        <v>13</v>
      </c>
    </row>
    <row r="1679" spans="1:11" x14ac:dyDescent="0.25">
      <c r="A1679" t="s">
        <v>5</v>
      </c>
      <c r="B1679" t="str">
        <f>"66181"</f>
        <v>66181</v>
      </c>
      <c r="C1679" t="str">
        <f>"005"</f>
        <v>005</v>
      </c>
      <c r="D1679">
        <v>2016</v>
      </c>
      <c r="E1679">
        <v>4206900</v>
      </c>
      <c r="F1679">
        <v>3422500</v>
      </c>
      <c r="G1679" t="s">
        <v>11</v>
      </c>
      <c r="H1679" t="s">
        <v>38</v>
      </c>
      <c r="I1679" t="s">
        <v>13</v>
      </c>
      <c r="J1679" t="s">
        <v>13</v>
      </c>
    </row>
    <row r="1680" spans="1:11" x14ac:dyDescent="0.25">
      <c r="A1680" t="s">
        <v>39</v>
      </c>
      <c r="B1680" t="s">
        <v>13</v>
      </c>
      <c r="C1680" t="s">
        <v>7</v>
      </c>
      <c r="D1680" t="s">
        <v>8</v>
      </c>
      <c r="E1680">
        <v>14961400</v>
      </c>
      <c r="F1680">
        <v>10630800</v>
      </c>
      <c r="G1680" t="s">
        <v>11</v>
      </c>
      <c r="H1680">
        <v>573650600</v>
      </c>
      <c r="I1680" t="s">
        <v>13</v>
      </c>
      <c r="J1680" t="s">
        <v>13</v>
      </c>
      <c r="K1680">
        <v>1.85</v>
      </c>
    </row>
    <row r="1682" spans="1:11" x14ac:dyDescent="0.25">
      <c r="A1682" t="s">
        <v>376</v>
      </c>
      <c r="B1682" t="str">
        <f>"16181"</f>
        <v>16181</v>
      </c>
      <c r="C1682" t="str">
        <f>"002"</f>
        <v>002</v>
      </c>
      <c r="D1682">
        <v>1999</v>
      </c>
      <c r="E1682">
        <v>2467200</v>
      </c>
      <c r="F1682">
        <v>2154300</v>
      </c>
      <c r="G1682" t="s">
        <v>11</v>
      </c>
      <c r="H1682" t="s">
        <v>38</v>
      </c>
      <c r="I1682" t="s">
        <v>13</v>
      </c>
      <c r="J1682" t="s">
        <v>13</v>
      </c>
    </row>
    <row r="1683" spans="1:11" x14ac:dyDescent="0.25">
      <c r="A1683" t="s">
        <v>5</v>
      </c>
      <c r="B1683" t="str">
        <f>"16181"</f>
        <v>16181</v>
      </c>
      <c r="C1683" t="str">
        <f>"003"</f>
        <v>003</v>
      </c>
      <c r="D1683">
        <v>2011</v>
      </c>
      <c r="E1683">
        <v>1040700</v>
      </c>
      <c r="F1683">
        <v>986800</v>
      </c>
      <c r="G1683" t="s">
        <v>11</v>
      </c>
      <c r="H1683" t="s">
        <v>38</v>
      </c>
      <c r="I1683" t="s">
        <v>13</v>
      </c>
      <c r="J1683" t="s">
        <v>13</v>
      </c>
    </row>
    <row r="1684" spans="1:11" x14ac:dyDescent="0.25">
      <c r="A1684" t="s">
        <v>39</v>
      </c>
      <c r="B1684" t="s">
        <v>13</v>
      </c>
      <c r="C1684" t="s">
        <v>7</v>
      </c>
      <c r="D1684" t="s">
        <v>8</v>
      </c>
      <c r="E1684">
        <v>3507900</v>
      </c>
      <c r="F1684">
        <v>3141100</v>
      </c>
      <c r="G1684" t="s">
        <v>11</v>
      </c>
      <c r="H1684">
        <v>47310500</v>
      </c>
      <c r="I1684" t="s">
        <v>13</v>
      </c>
      <c r="J1684" t="s">
        <v>13</v>
      </c>
      <c r="K1684">
        <v>6.64</v>
      </c>
    </row>
    <row r="1686" spans="1:11" x14ac:dyDescent="0.25">
      <c r="A1686" t="s">
        <v>377</v>
      </c>
      <c r="B1686" t="str">
        <f>"30182"</f>
        <v>30182</v>
      </c>
      <c r="C1686" t="str">
        <f>"001"</f>
        <v>001</v>
      </c>
      <c r="D1686">
        <v>2015</v>
      </c>
      <c r="E1686">
        <v>51666300</v>
      </c>
      <c r="F1686">
        <v>51190000</v>
      </c>
      <c r="G1686" t="s">
        <v>11</v>
      </c>
      <c r="H1686" t="s">
        <v>38</v>
      </c>
      <c r="I1686" t="s">
        <v>13</v>
      </c>
      <c r="J1686" t="s">
        <v>13</v>
      </c>
    </row>
    <row r="1687" spans="1:11" x14ac:dyDescent="0.25">
      <c r="A1687" t="s">
        <v>5</v>
      </c>
      <c r="B1687" t="str">
        <f>"30182"</f>
        <v>30182</v>
      </c>
      <c r="C1687" t="str">
        <f>"002"</f>
        <v>002</v>
      </c>
      <c r="D1687">
        <v>2015</v>
      </c>
      <c r="E1687">
        <v>51999600</v>
      </c>
      <c r="F1687">
        <v>46188800</v>
      </c>
      <c r="G1687" t="s">
        <v>11</v>
      </c>
      <c r="H1687" t="s">
        <v>38</v>
      </c>
      <c r="I1687" t="s">
        <v>13</v>
      </c>
      <c r="J1687" t="s">
        <v>13</v>
      </c>
    </row>
    <row r="1688" spans="1:11" x14ac:dyDescent="0.25">
      <c r="A1688" t="s">
        <v>39</v>
      </c>
      <c r="B1688" t="s">
        <v>13</v>
      </c>
      <c r="C1688" t="s">
        <v>7</v>
      </c>
      <c r="D1688" t="s">
        <v>8</v>
      </c>
      <c r="E1688">
        <v>103665900</v>
      </c>
      <c r="F1688">
        <v>97378800</v>
      </c>
      <c r="G1688" t="s">
        <v>11</v>
      </c>
      <c r="H1688">
        <v>834543000</v>
      </c>
      <c r="I1688" t="s">
        <v>13</v>
      </c>
      <c r="J1688" t="s">
        <v>13</v>
      </c>
      <c r="K1688">
        <v>11.67</v>
      </c>
    </row>
    <row r="1690" spans="1:11" x14ac:dyDescent="0.25">
      <c r="A1690" t="s">
        <v>378</v>
      </c>
      <c r="B1690" t="str">
        <f>"55181"</f>
        <v>55181</v>
      </c>
      <c r="C1690" t="str">
        <f>"002"</f>
        <v>002</v>
      </c>
      <c r="D1690">
        <v>1996</v>
      </c>
      <c r="E1690">
        <v>36476600</v>
      </c>
      <c r="F1690">
        <v>34586000</v>
      </c>
      <c r="G1690" t="s">
        <v>11</v>
      </c>
      <c r="H1690" t="s">
        <v>38</v>
      </c>
      <c r="I1690" t="s">
        <v>13</v>
      </c>
      <c r="J1690" t="s">
        <v>13</v>
      </c>
    </row>
    <row r="1691" spans="1:11" x14ac:dyDescent="0.25">
      <c r="A1691" t="s">
        <v>5</v>
      </c>
      <c r="B1691" t="str">
        <f>"55181"</f>
        <v>55181</v>
      </c>
      <c r="C1691" t="str">
        <f>"003"</f>
        <v>003</v>
      </c>
      <c r="D1691">
        <v>2005</v>
      </c>
      <c r="E1691">
        <v>1247900</v>
      </c>
      <c r="F1691">
        <v>112400</v>
      </c>
      <c r="G1691" t="s">
        <v>11</v>
      </c>
      <c r="H1691" t="s">
        <v>38</v>
      </c>
      <c r="I1691" t="s">
        <v>13</v>
      </c>
      <c r="J1691" t="s">
        <v>13</v>
      </c>
    </row>
    <row r="1692" spans="1:11" x14ac:dyDescent="0.25">
      <c r="A1692" t="s">
        <v>5</v>
      </c>
      <c r="B1692" t="str">
        <f>"55181"</f>
        <v>55181</v>
      </c>
      <c r="C1692" t="str">
        <f>"004"</f>
        <v>004</v>
      </c>
      <c r="D1692">
        <v>2008</v>
      </c>
      <c r="E1692">
        <v>166800</v>
      </c>
      <c r="F1692">
        <v>-918900</v>
      </c>
      <c r="G1692" t="s">
        <v>43</v>
      </c>
      <c r="H1692" t="s">
        <v>38</v>
      </c>
      <c r="I1692" t="s">
        <v>13</v>
      </c>
      <c r="J1692" t="s">
        <v>13</v>
      </c>
    </row>
    <row r="1693" spans="1:11" x14ac:dyDescent="0.25">
      <c r="A1693" t="s">
        <v>39</v>
      </c>
      <c r="B1693" t="s">
        <v>13</v>
      </c>
      <c r="C1693" t="s">
        <v>7</v>
      </c>
      <c r="D1693" t="s">
        <v>8</v>
      </c>
      <c r="E1693">
        <v>37891300</v>
      </c>
      <c r="F1693">
        <v>34698400</v>
      </c>
      <c r="G1693" t="s">
        <v>11</v>
      </c>
      <c r="H1693">
        <v>239311700</v>
      </c>
      <c r="I1693" t="s">
        <v>13</v>
      </c>
      <c r="J1693" t="s">
        <v>13</v>
      </c>
      <c r="K1693">
        <v>14.5</v>
      </c>
    </row>
    <row r="1695" spans="1:11" x14ac:dyDescent="0.25">
      <c r="A1695" t="s">
        <v>379</v>
      </c>
      <c r="B1695" t="str">
        <f>"40282"</f>
        <v>40282</v>
      </c>
      <c r="C1695" t="str">
        <f>"001"</f>
        <v>001</v>
      </c>
      <c r="D1695">
        <v>2000</v>
      </c>
      <c r="E1695">
        <v>19594500</v>
      </c>
      <c r="F1695">
        <v>11196800</v>
      </c>
      <c r="G1695" t="s">
        <v>11</v>
      </c>
      <c r="H1695" t="s">
        <v>38</v>
      </c>
      <c r="I1695" t="s">
        <v>13</v>
      </c>
      <c r="J1695" t="s">
        <v>13</v>
      </c>
    </row>
    <row r="1696" spans="1:11" x14ac:dyDescent="0.25">
      <c r="A1696" t="s">
        <v>5</v>
      </c>
      <c r="B1696" t="str">
        <f>"40282"</f>
        <v>40282</v>
      </c>
      <c r="C1696" t="str">
        <f>"002"</f>
        <v>002</v>
      </c>
      <c r="D1696">
        <v>2000</v>
      </c>
      <c r="E1696">
        <v>33463600</v>
      </c>
      <c r="F1696">
        <v>27069200</v>
      </c>
      <c r="G1696" t="s">
        <v>11</v>
      </c>
      <c r="H1696" t="s">
        <v>38</v>
      </c>
      <c r="I1696" t="s">
        <v>13</v>
      </c>
      <c r="J1696" t="s">
        <v>13</v>
      </c>
    </row>
    <row r="1697" spans="1:11" x14ac:dyDescent="0.25">
      <c r="A1697" t="s">
        <v>5</v>
      </c>
      <c r="B1697" t="str">
        <f>"40282"</f>
        <v>40282</v>
      </c>
      <c r="C1697" t="str">
        <f>"003"</f>
        <v>003</v>
      </c>
      <c r="D1697">
        <v>2005</v>
      </c>
      <c r="E1697">
        <v>37063800</v>
      </c>
      <c r="F1697">
        <v>20603300</v>
      </c>
      <c r="G1697" t="s">
        <v>11</v>
      </c>
      <c r="H1697" t="s">
        <v>38</v>
      </c>
      <c r="I1697" t="s">
        <v>13</v>
      </c>
      <c r="J1697" t="s">
        <v>13</v>
      </c>
    </row>
    <row r="1698" spans="1:11" x14ac:dyDescent="0.25">
      <c r="A1698" t="s">
        <v>5</v>
      </c>
      <c r="B1698" t="str">
        <f>"40282"</f>
        <v>40282</v>
      </c>
      <c r="C1698" t="str">
        <f>"004"</f>
        <v>004</v>
      </c>
      <c r="D1698">
        <v>2006</v>
      </c>
      <c r="E1698">
        <v>10059300</v>
      </c>
      <c r="F1698">
        <v>9396800</v>
      </c>
      <c r="G1698" t="s">
        <v>11</v>
      </c>
      <c r="H1698" t="s">
        <v>38</v>
      </c>
      <c r="I1698" t="s">
        <v>13</v>
      </c>
      <c r="J1698" t="s">
        <v>13</v>
      </c>
    </row>
    <row r="1699" spans="1:11" x14ac:dyDescent="0.25">
      <c r="A1699" t="s">
        <v>39</v>
      </c>
      <c r="B1699" t="s">
        <v>13</v>
      </c>
      <c r="C1699" t="s">
        <v>7</v>
      </c>
      <c r="D1699" t="s">
        <v>8</v>
      </c>
      <c r="E1699">
        <v>100181200</v>
      </c>
      <c r="F1699">
        <v>68266100</v>
      </c>
      <c r="G1699" t="s">
        <v>11</v>
      </c>
      <c r="H1699">
        <v>1241915600</v>
      </c>
      <c r="I1699" t="s">
        <v>13</v>
      </c>
      <c r="J1699" t="s">
        <v>13</v>
      </c>
      <c r="K1699">
        <v>5.5</v>
      </c>
    </row>
    <row r="1701" spans="1:11" x14ac:dyDescent="0.25">
      <c r="A1701" t="s">
        <v>380</v>
      </c>
      <c r="B1701" t="str">
        <f>"41281"</f>
        <v>41281</v>
      </c>
      <c r="C1701" t="str">
        <f>"003"</f>
        <v>003</v>
      </c>
      <c r="D1701">
        <v>1992</v>
      </c>
      <c r="E1701">
        <v>4568700</v>
      </c>
      <c r="F1701">
        <v>4545400</v>
      </c>
      <c r="G1701" t="s">
        <v>11</v>
      </c>
      <c r="H1701" t="s">
        <v>38</v>
      </c>
      <c r="I1701" t="s">
        <v>13</v>
      </c>
      <c r="J1701" t="s">
        <v>13</v>
      </c>
    </row>
    <row r="1702" spans="1:11" x14ac:dyDescent="0.25">
      <c r="A1702" t="s">
        <v>5</v>
      </c>
      <c r="B1702" t="str">
        <f>"41281"</f>
        <v>41281</v>
      </c>
      <c r="C1702" t="str">
        <f>"005"</f>
        <v>005</v>
      </c>
      <c r="D1702">
        <v>1996</v>
      </c>
      <c r="E1702">
        <v>37563600</v>
      </c>
      <c r="F1702">
        <v>37205600</v>
      </c>
      <c r="G1702" t="s">
        <v>11</v>
      </c>
      <c r="H1702" t="s">
        <v>38</v>
      </c>
      <c r="I1702" t="s">
        <v>13</v>
      </c>
      <c r="J1702" t="s">
        <v>13</v>
      </c>
    </row>
    <row r="1703" spans="1:11" x14ac:dyDescent="0.25">
      <c r="A1703" t="s">
        <v>5</v>
      </c>
      <c r="B1703" t="str">
        <f>"41281"</f>
        <v>41281</v>
      </c>
      <c r="C1703" t="str">
        <f>"006"</f>
        <v>006</v>
      </c>
      <c r="D1703">
        <v>2005</v>
      </c>
      <c r="E1703">
        <v>11261400</v>
      </c>
      <c r="F1703">
        <v>11015900</v>
      </c>
      <c r="G1703" t="s">
        <v>11</v>
      </c>
      <c r="H1703" t="s">
        <v>38</v>
      </c>
      <c r="I1703" t="s">
        <v>13</v>
      </c>
      <c r="J1703" t="s">
        <v>13</v>
      </c>
    </row>
    <row r="1704" spans="1:11" x14ac:dyDescent="0.25">
      <c r="A1704" t="s">
        <v>5</v>
      </c>
      <c r="B1704" t="str">
        <f>"41281"</f>
        <v>41281</v>
      </c>
      <c r="C1704" t="str">
        <f>"008"</f>
        <v>008</v>
      </c>
      <c r="D1704">
        <v>2010</v>
      </c>
      <c r="E1704">
        <v>1659000</v>
      </c>
      <c r="F1704">
        <v>627300</v>
      </c>
      <c r="G1704" t="s">
        <v>11</v>
      </c>
      <c r="H1704" t="s">
        <v>38</v>
      </c>
      <c r="I1704" t="s">
        <v>13</v>
      </c>
      <c r="J1704" t="s">
        <v>13</v>
      </c>
    </row>
    <row r="1705" spans="1:11" x14ac:dyDescent="0.25">
      <c r="A1705" t="s">
        <v>39</v>
      </c>
      <c r="B1705" t="s">
        <v>13</v>
      </c>
      <c r="C1705" t="s">
        <v>7</v>
      </c>
      <c r="D1705" t="s">
        <v>8</v>
      </c>
      <c r="E1705">
        <v>55052700</v>
      </c>
      <c r="F1705">
        <v>53394200</v>
      </c>
      <c r="G1705" t="s">
        <v>11</v>
      </c>
      <c r="H1705">
        <v>631258100</v>
      </c>
      <c r="I1705" t="s">
        <v>13</v>
      </c>
      <c r="J1705" t="s">
        <v>13</v>
      </c>
      <c r="K1705">
        <v>8.4600000000000009</v>
      </c>
    </row>
    <row r="1707" spans="1:11" x14ac:dyDescent="0.25">
      <c r="A1707" t="s">
        <v>381</v>
      </c>
      <c r="B1707" t="str">
        <f>"37181"</f>
        <v>37181</v>
      </c>
      <c r="C1707" t="str">
        <f>"002"</f>
        <v>002</v>
      </c>
      <c r="D1707">
        <v>1999</v>
      </c>
      <c r="E1707">
        <v>7685900</v>
      </c>
      <c r="F1707">
        <v>4731300</v>
      </c>
      <c r="G1707" t="s">
        <v>11</v>
      </c>
      <c r="H1707" t="s">
        <v>38</v>
      </c>
      <c r="I1707" t="s">
        <v>13</v>
      </c>
      <c r="J1707" t="s">
        <v>13</v>
      </c>
    </row>
    <row r="1708" spans="1:11" x14ac:dyDescent="0.25">
      <c r="A1708" t="s">
        <v>5</v>
      </c>
      <c r="B1708" t="str">
        <f>"37181"</f>
        <v>37181</v>
      </c>
      <c r="C1708" t="str">
        <f>"003"</f>
        <v>003</v>
      </c>
      <c r="D1708">
        <v>2013</v>
      </c>
      <c r="E1708">
        <v>2241500</v>
      </c>
      <c r="F1708">
        <v>1722000</v>
      </c>
      <c r="G1708" t="s">
        <v>11</v>
      </c>
      <c r="H1708" t="s">
        <v>38</v>
      </c>
      <c r="I1708" t="s">
        <v>13</v>
      </c>
      <c r="J1708" t="s">
        <v>13</v>
      </c>
    </row>
    <row r="1709" spans="1:11" x14ac:dyDescent="0.25">
      <c r="A1709" t="s">
        <v>5</v>
      </c>
      <c r="B1709" t="str">
        <f>"37181"</f>
        <v>37181</v>
      </c>
      <c r="C1709" t="str">
        <f>"004"</f>
        <v>004</v>
      </c>
      <c r="D1709">
        <v>2016</v>
      </c>
      <c r="E1709">
        <v>6602500</v>
      </c>
      <c r="F1709">
        <v>-228600</v>
      </c>
      <c r="G1709" t="s">
        <v>43</v>
      </c>
      <c r="H1709" t="s">
        <v>38</v>
      </c>
      <c r="I1709" t="s">
        <v>13</v>
      </c>
      <c r="J1709" t="s">
        <v>13</v>
      </c>
    </row>
    <row r="1710" spans="1:11" x14ac:dyDescent="0.25">
      <c r="A1710" t="s">
        <v>39</v>
      </c>
      <c r="B1710" t="s">
        <v>13</v>
      </c>
      <c r="C1710" t="s">
        <v>7</v>
      </c>
      <c r="D1710" t="s">
        <v>8</v>
      </c>
      <c r="E1710">
        <v>16529900</v>
      </c>
      <c r="F1710">
        <v>6453300</v>
      </c>
      <c r="G1710" t="s">
        <v>11</v>
      </c>
      <c r="H1710">
        <v>102907000</v>
      </c>
      <c r="I1710" t="s">
        <v>13</v>
      </c>
      <c r="J1710" t="s">
        <v>13</v>
      </c>
      <c r="K1710">
        <v>6.27</v>
      </c>
    </row>
    <row r="1712" spans="1:11" x14ac:dyDescent="0.25">
      <c r="A1712" t="s">
        <v>382</v>
      </c>
      <c r="B1712" t="str">
        <f>"65281"</f>
        <v>65281</v>
      </c>
      <c r="C1712" t="str">
        <f>"003"</f>
        <v>003</v>
      </c>
      <c r="D1712">
        <v>1996</v>
      </c>
      <c r="E1712">
        <v>14284900</v>
      </c>
      <c r="F1712">
        <v>13666200</v>
      </c>
      <c r="G1712" t="s">
        <v>11</v>
      </c>
      <c r="H1712" t="s">
        <v>38</v>
      </c>
      <c r="I1712" t="s">
        <v>13</v>
      </c>
      <c r="J1712" t="s">
        <v>13</v>
      </c>
    </row>
    <row r="1713" spans="1:11" x14ac:dyDescent="0.25">
      <c r="A1713" t="s">
        <v>5</v>
      </c>
      <c r="B1713" t="str">
        <f>"65281"</f>
        <v>65281</v>
      </c>
      <c r="C1713" t="str">
        <f>"004"</f>
        <v>004</v>
      </c>
      <c r="D1713">
        <v>2003</v>
      </c>
      <c r="E1713">
        <v>9750000</v>
      </c>
      <c r="F1713">
        <v>9572000</v>
      </c>
      <c r="G1713" t="s">
        <v>11</v>
      </c>
      <c r="H1713" t="s">
        <v>38</v>
      </c>
      <c r="I1713" t="s">
        <v>13</v>
      </c>
      <c r="J1713" t="s">
        <v>13</v>
      </c>
    </row>
    <row r="1714" spans="1:11" x14ac:dyDescent="0.25">
      <c r="A1714" t="s">
        <v>39</v>
      </c>
      <c r="B1714" t="s">
        <v>13</v>
      </c>
      <c r="C1714" t="s">
        <v>7</v>
      </c>
      <c r="D1714" t="s">
        <v>8</v>
      </c>
      <c r="E1714">
        <v>24034900</v>
      </c>
      <c r="F1714">
        <v>23238200</v>
      </c>
      <c r="G1714" t="s">
        <v>11</v>
      </c>
      <c r="H1714">
        <v>154734500</v>
      </c>
      <c r="I1714" t="s">
        <v>13</v>
      </c>
      <c r="J1714" t="s">
        <v>13</v>
      </c>
      <c r="K1714">
        <v>15.02</v>
      </c>
    </row>
    <row r="1716" spans="1:11" x14ac:dyDescent="0.25">
      <c r="A1716" t="s">
        <v>383</v>
      </c>
      <c r="B1716" t="str">
        <f>"56182"</f>
        <v>56182</v>
      </c>
      <c r="C1716" t="str">
        <f>"006"</f>
        <v>006</v>
      </c>
      <c r="D1716">
        <v>2017</v>
      </c>
      <c r="E1716">
        <v>19869200</v>
      </c>
      <c r="F1716">
        <v>1530700</v>
      </c>
      <c r="G1716" t="s">
        <v>11</v>
      </c>
      <c r="H1716" t="s">
        <v>38</v>
      </c>
      <c r="I1716" t="s">
        <v>13</v>
      </c>
      <c r="J1716" t="s">
        <v>13</v>
      </c>
    </row>
    <row r="1717" spans="1:11" x14ac:dyDescent="0.25">
      <c r="A1717" t="s">
        <v>39</v>
      </c>
      <c r="B1717" t="s">
        <v>13</v>
      </c>
      <c r="C1717" t="s">
        <v>7</v>
      </c>
      <c r="D1717" t="s">
        <v>8</v>
      </c>
      <c r="E1717">
        <v>19869200</v>
      </c>
      <c r="F1717">
        <v>1530700</v>
      </c>
      <c r="G1717" t="s">
        <v>11</v>
      </c>
      <c r="H1717">
        <v>166790100</v>
      </c>
      <c r="I1717" t="s">
        <v>13</v>
      </c>
      <c r="J1717" t="s">
        <v>13</v>
      </c>
      <c r="K1717">
        <v>0.92</v>
      </c>
    </row>
    <row r="1719" spans="1:11" x14ac:dyDescent="0.25">
      <c r="A1719" t="s">
        <v>384</v>
      </c>
      <c r="B1719" t="str">
        <f>"47181"</f>
        <v>47181</v>
      </c>
      <c r="C1719" t="str">
        <f>"002"</f>
        <v>002</v>
      </c>
      <c r="D1719">
        <v>1995</v>
      </c>
      <c r="E1719">
        <v>6964100</v>
      </c>
      <c r="F1719">
        <v>6880800</v>
      </c>
      <c r="G1719" t="s">
        <v>11</v>
      </c>
      <c r="H1719" t="s">
        <v>38</v>
      </c>
      <c r="I1719" t="s">
        <v>13</v>
      </c>
      <c r="J1719" t="s">
        <v>13</v>
      </c>
    </row>
    <row r="1720" spans="1:11" x14ac:dyDescent="0.25">
      <c r="A1720" t="s">
        <v>5</v>
      </c>
      <c r="B1720" t="str">
        <f>"47181"</f>
        <v>47181</v>
      </c>
      <c r="C1720" t="str">
        <f>"003"</f>
        <v>003</v>
      </c>
      <c r="D1720">
        <v>2007</v>
      </c>
      <c r="E1720">
        <v>3663200</v>
      </c>
      <c r="F1720">
        <v>1160500</v>
      </c>
      <c r="G1720" t="s">
        <v>11</v>
      </c>
      <c r="H1720" t="s">
        <v>38</v>
      </c>
      <c r="I1720" t="s">
        <v>13</v>
      </c>
      <c r="J1720" t="s">
        <v>13</v>
      </c>
    </row>
    <row r="1721" spans="1:11" x14ac:dyDescent="0.25">
      <c r="A1721" t="s">
        <v>39</v>
      </c>
      <c r="B1721" t="s">
        <v>13</v>
      </c>
      <c r="C1721" t="s">
        <v>7</v>
      </c>
      <c r="D1721" t="s">
        <v>8</v>
      </c>
      <c r="E1721">
        <v>10627300</v>
      </c>
      <c r="F1721">
        <v>8041300</v>
      </c>
      <c r="G1721" t="s">
        <v>11</v>
      </c>
      <c r="H1721">
        <v>73520300</v>
      </c>
      <c r="I1721" t="s">
        <v>13</v>
      </c>
      <c r="J1721" t="s">
        <v>13</v>
      </c>
      <c r="K1721">
        <v>10.94</v>
      </c>
    </row>
    <row r="1723" spans="1:11" x14ac:dyDescent="0.25">
      <c r="A1723" t="s">
        <v>385</v>
      </c>
      <c r="B1723" t="str">
        <f>"09281"</f>
        <v>09281</v>
      </c>
      <c r="C1723" t="str">
        <f>"003"</f>
        <v>003</v>
      </c>
      <c r="D1723">
        <v>2001</v>
      </c>
      <c r="E1723">
        <v>22293700</v>
      </c>
      <c r="F1723">
        <v>18088500</v>
      </c>
      <c r="G1723" t="s">
        <v>11</v>
      </c>
      <c r="H1723" t="s">
        <v>38</v>
      </c>
      <c r="I1723" t="s">
        <v>13</v>
      </c>
      <c r="J1723" t="s">
        <v>13</v>
      </c>
    </row>
    <row r="1724" spans="1:11" x14ac:dyDescent="0.25">
      <c r="A1724" t="s">
        <v>39</v>
      </c>
      <c r="B1724" t="s">
        <v>13</v>
      </c>
      <c r="C1724" t="s">
        <v>7</v>
      </c>
      <c r="D1724" t="s">
        <v>8</v>
      </c>
      <c r="E1724">
        <v>22293700</v>
      </c>
      <c r="F1724">
        <v>18088500</v>
      </c>
      <c r="G1724" t="s">
        <v>11</v>
      </c>
      <c r="H1724">
        <v>117694500</v>
      </c>
      <c r="I1724" t="s">
        <v>13</v>
      </c>
      <c r="J1724" t="s">
        <v>13</v>
      </c>
      <c r="K1724">
        <v>15.37</v>
      </c>
    </row>
    <row r="1726" spans="1:11" x14ac:dyDescent="0.25">
      <c r="A1726" t="s">
        <v>386</v>
      </c>
      <c r="B1726" t="str">
        <f>"60181"</f>
        <v>60181</v>
      </c>
      <c r="C1726" t="str">
        <f>"001"</f>
        <v>001</v>
      </c>
      <c r="D1726">
        <v>2013</v>
      </c>
      <c r="E1726">
        <v>1069500</v>
      </c>
      <c r="F1726">
        <v>66500</v>
      </c>
      <c r="G1726" t="s">
        <v>11</v>
      </c>
      <c r="H1726" t="s">
        <v>38</v>
      </c>
      <c r="I1726" t="s">
        <v>13</v>
      </c>
      <c r="J1726" t="s">
        <v>13</v>
      </c>
    </row>
    <row r="1727" spans="1:11" x14ac:dyDescent="0.25">
      <c r="A1727" t="s">
        <v>39</v>
      </c>
      <c r="B1727" t="s">
        <v>13</v>
      </c>
      <c r="C1727" t="s">
        <v>7</v>
      </c>
      <c r="D1727" t="s">
        <v>8</v>
      </c>
      <c r="E1727">
        <v>1069500</v>
      </c>
      <c r="F1727">
        <v>66500</v>
      </c>
      <c r="G1727" t="s">
        <v>11</v>
      </c>
      <c r="H1727">
        <v>23755800</v>
      </c>
      <c r="I1727" t="s">
        <v>13</v>
      </c>
      <c r="J1727" t="s">
        <v>13</v>
      </c>
      <c r="K1727">
        <v>0.28000000000000003</v>
      </c>
    </row>
    <row r="1729" spans="1:11" x14ac:dyDescent="0.25">
      <c r="A1729" t="s">
        <v>387</v>
      </c>
      <c r="B1729" t="str">
        <f>"49281"</f>
        <v>49281</v>
      </c>
      <c r="C1729" t="str">
        <f>"005"</f>
        <v>005</v>
      </c>
      <c r="D1729">
        <v>2005</v>
      </c>
      <c r="E1729">
        <v>63590300</v>
      </c>
      <c r="F1729">
        <v>25649600</v>
      </c>
      <c r="G1729" t="s">
        <v>11</v>
      </c>
      <c r="H1729" t="s">
        <v>38</v>
      </c>
      <c r="I1729" t="s">
        <v>13</v>
      </c>
      <c r="J1729" t="s">
        <v>13</v>
      </c>
    </row>
    <row r="1730" spans="1:11" x14ac:dyDescent="0.25">
      <c r="A1730" t="s">
        <v>5</v>
      </c>
      <c r="B1730" t="str">
        <f>"49281"</f>
        <v>49281</v>
      </c>
      <c r="C1730" t="str">
        <f>"006"</f>
        <v>006</v>
      </c>
      <c r="D1730">
        <v>2006</v>
      </c>
      <c r="E1730">
        <v>55945600</v>
      </c>
      <c r="F1730">
        <v>9640000</v>
      </c>
      <c r="G1730" t="s">
        <v>11</v>
      </c>
      <c r="H1730" t="s">
        <v>38</v>
      </c>
      <c r="I1730" t="s">
        <v>13</v>
      </c>
      <c r="J1730" t="s">
        <v>13</v>
      </c>
    </row>
    <row r="1731" spans="1:11" x14ac:dyDescent="0.25">
      <c r="A1731" t="s">
        <v>5</v>
      </c>
      <c r="B1731" t="str">
        <f>"49281"</f>
        <v>49281</v>
      </c>
      <c r="C1731" t="str">
        <f>"007"</f>
        <v>007</v>
      </c>
      <c r="D1731">
        <v>2008</v>
      </c>
      <c r="E1731">
        <v>41058200</v>
      </c>
      <c r="F1731">
        <v>30144300</v>
      </c>
      <c r="G1731" t="s">
        <v>11</v>
      </c>
      <c r="H1731" t="s">
        <v>38</v>
      </c>
      <c r="I1731" t="s">
        <v>13</v>
      </c>
      <c r="J1731" t="s">
        <v>13</v>
      </c>
    </row>
    <row r="1732" spans="1:11" x14ac:dyDescent="0.25">
      <c r="A1732" t="s">
        <v>5</v>
      </c>
      <c r="B1732" t="str">
        <f>"49281"</f>
        <v>49281</v>
      </c>
      <c r="C1732" t="str">
        <f>"008"</f>
        <v>008</v>
      </c>
      <c r="D1732">
        <v>2010</v>
      </c>
      <c r="E1732">
        <v>23153900</v>
      </c>
      <c r="F1732">
        <v>3368600</v>
      </c>
      <c r="G1732" t="s">
        <v>11</v>
      </c>
      <c r="H1732" t="s">
        <v>38</v>
      </c>
      <c r="I1732" t="s">
        <v>13</v>
      </c>
      <c r="J1732" t="s">
        <v>13</v>
      </c>
    </row>
    <row r="1733" spans="1:11" x14ac:dyDescent="0.25">
      <c r="A1733" t="s">
        <v>5</v>
      </c>
      <c r="B1733" t="str">
        <f>"49281"</f>
        <v>49281</v>
      </c>
      <c r="C1733" t="str">
        <f>"009"</f>
        <v>009</v>
      </c>
      <c r="D1733">
        <v>2013</v>
      </c>
      <c r="E1733">
        <v>134756200</v>
      </c>
      <c r="F1733">
        <v>76526800</v>
      </c>
      <c r="G1733" t="s">
        <v>11</v>
      </c>
      <c r="H1733" t="s">
        <v>38</v>
      </c>
      <c r="I1733" t="s">
        <v>13</v>
      </c>
      <c r="J1733" t="s">
        <v>13</v>
      </c>
    </row>
    <row r="1734" spans="1:11" x14ac:dyDescent="0.25">
      <c r="A1734" t="s">
        <v>39</v>
      </c>
      <c r="B1734" t="s">
        <v>13</v>
      </c>
      <c r="C1734" t="s">
        <v>7</v>
      </c>
      <c r="D1734" t="s">
        <v>8</v>
      </c>
      <c r="E1734">
        <v>318504200</v>
      </c>
      <c r="F1734">
        <v>145329300</v>
      </c>
      <c r="G1734" t="s">
        <v>11</v>
      </c>
      <c r="H1734">
        <v>1926218900</v>
      </c>
      <c r="I1734" t="s">
        <v>13</v>
      </c>
      <c r="J1734" t="s">
        <v>13</v>
      </c>
      <c r="K1734">
        <v>7.54</v>
      </c>
    </row>
    <row r="1736" spans="1:11" x14ac:dyDescent="0.25">
      <c r="A1736" t="s">
        <v>388</v>
      </c>
      <c r="B1736" t="str">
        <f>"13281"</f>
        <v>13281</v>
      </c>
      <c r="C1736" t="str">
        <f>"003"</f>
        <v>003</v>
      </c>
      <c r="D1736">
        <v>1993</v>
      </c>
      <c r="E1736">
        <v>20811900</v>
      </c>
      <c r="F1736">
        <v>20717900</v>
      </c>
      <c r="G1736" t="s">
        <v>11</v>
      </c>
      <c r="H1736" t="s">
        <v>38</v>
      </c>
      <c r="I1736" t="s">
        <v>13</v>
      </c>
      <c r="J1736" t="s">
        <v>13</v>
      </c>
    </row>
    <row r="1737" spans="1:11" x14ac:dyDescent="0.25">
      <c r="A1737" t="s">
        <v>5</v>
      </c>
      <c r="B1737" t="str">
        <f>"13281"</f>
        <v>13281</v>
      </c>
      <c r="C1737" t="str">
        <f>"004"</f>
        <v>004</v>
      </c>
      <c r="D1737">
        <v>1999</v>
      </c>
      <c r="E1737">
        <v>17373200</v>
      </c>
      <c r="F1737">
        <v>7607900</v>
      </c>
      <c r="G1737" t="s">
        <v>11</v>
      </c>
      <c r="H1737" t="s">
        <v>38</v>
      </c>
      <c r="I1737" t="s">
        <v>13</v>
      </c>
      <c r="J1737" t="s">
        <v>13</v>
      </c>
    </row>
    <row r="1738" spans="1:11" x14ac:dyDescent="0.25">
      <c r="A1738" t="s">
        <v>5</v>
      </c>
      <c r="B1738" t="str">
        <f>"13281"</f>
        <v>13281</v>
      </c>
      <c r="C1738" t="str">
        <f>"005"</f>
        <v>005</v>
      </c>
      <c r="D1738">
        <v>2010</v>
      </c>
      <c r="E1738">
        <v>18121600</v>
      </c>
      <c r="F1738">
        <v>-1128900</v>
      </c>
      <c r="G1738" t="s">
        <v>43</v>
      </c>
      <c r="H1738" t="s">
        <v>38</v>
      </c>
      <c r="I1738" t="s">
        <v>13</v>
      </c>
      <c r="J1738" t="s">
        <v>13</v>
      </c>
    </row>
    <row r="1739" spans="1:11" x14ac:dyDescent="0.25">
      <c r="A1739" t="s">
        <v>5</v>
      </c>
      <c r="B1739" t="str">
        <f>"13281"</f>
        <v>13281</v>
      </c>
      <c r="C1739" t="str">
        <f>"006"</f>
        <v>006</v>
      </c>
      <c r="D1739">
        <v>2015</v>
      </c>
      <c r="E1739">
        <v>1078600</v>
      </c>
      <c r="F1739">
        <v>1068600</v>
      </c>
      <c r="G1739" t="s">
        <v>11</v>
      </c>
      <c r="H1739" t="s">
        <v>38</v>
      </c>
      <c r="I1739" t="s">
        <v>13</v>
      </c>
      <c r="J1739" t="s">
        <v>13</v>
      </c>
    </row>
    <row r="1740" spans="1:11" x14ac:dyDescent="0.25">
      <c r="A1740" t="s">
        <v>5</v>
      </c>
      <c r="B1740" t="str">
        <f>"13281"</f>
        <v>13281</v>
      </c>
      <c r="C1740" t="str">
        <f>"007"</f>
        <v>007</v>
      </c>
      <c r="D1740">
        <v>2015</v>
      </c>
      <c r="E1740">
        <v>24048300</v>
      </c>
      <c r="F1740">
        <v>22936500</v>
      </c>
      <c r="G1740" t="s">
        <v>11</v>
      </c>
      <c r="H1740" t="s">
        <v>38</v>
      </c>
      <c r="I1740" t="s">
        <v>13</v>
      </c>
      <c r="J1740" t="s">
        <v>13</v>
      </c>
    </row>
    <row r="1741" spans="1:11" x14ac:dyDescent="0.25">
      <c r="A1741" t="s">
        <v>39</v>
      </c>
      <c r="B1741" t="s">
        <v>13</v>
      </c>
      <c r="C1741" t="s">
        <v>7</v>
      </c>
      <c r="D1741" t="s">
        <v>8</v>
      </c>
      <c r="E1741">
        <v>81433600</v>
      </c>
      <c r="F1741">
        <v>52330900</v>
      </c>
      <c r="G1741" t="s">
        <v>11</v>
      </c>
      <c r="H1741">
        <v>1163261500</v>
      </c>
      <c r="I1741" t="s">
        <v>13</v>
      </c>
      <c r="J1741" t="s">
        <v>13</v>
      </c>
      <c r="K1741">
        <v>4.5</v>
      </c>
    </row>
    <row r="1743" spans="1:11" x14ac:dyDescent="0.25">
      <c r="A1743" t="s">
        <v>389</v>
      </c>
      <c r="B1743" t="str">
        <f>"37182"</f>
        <v>37182</v>
      </c>
      <c r="C1743" t="str">
        <f>"003"</f>
        <v>003</v>
      </c>
      <c r="D1743">
        <v>2006</v>
      </c>
      <c r="E1743">
        <v>8592600</v>
      </c>
      <c r="F1743">
        <v>6179200</v>
      </c>
      <c r="G1743" t="s">
        <v>11</v>
      </c>
      <c r="H1743" t="s">
        <v>38</v>
      </c>
      <c r="I1743" t="s">
        <v>13</v>
      </c>
      <c r="J1743" t="s">
        <v>13</v>
      </c>
    </row>
    <row r="1744" spans="1:11" x14ac:dyDescent="0.25">
      <c r="A1744" t="s">
        <v>5</v>
      </c>
      <c r="B1744" t="str">
        <f>"37182"</f>
        <v>37182</v>
      </c>
      <c r="C1744" t="str">
        <f>"004"</f>
        <v>004</v>
      </c>
      <c r="D1744">
        <v>2015</v>
      </c>
      <c r="E1744">
        <v>15358600</v>
      </c>
      <c r="F1744">
        <v>6303100</v>
      </c>
      <c r="G1744" t="s">
        <v>11</v>
      </c>
      <c r="H1744" t="s">
        <v>38</v>
      </c>
      <c r="I1744" t="s">
        <v>13</v>
      </c>
      <c r="J1744" t="s">
        <v>13</v>
      </c>
    </row>
    <row r="1745" spans="1:11" x14ac:dyDescent="0.25">
      <c r="A1745" t="s">
        <v>39</v>
      </c>
      <c r="B1745" t="s">
        <v>13</v>
      </c>
      <c r="C1745" t="s">
        <v>7</v>
      </c>
      <c r="D1745" t="s">
        <v>8</v>
      </c>
      <c r="E1745">
        <v>23951200</v>
      </c>
      <c r="F1745">
        <v>12482300</v>
      </c>
      <c r="G1745" t="s">
        <v>11</v>
      </c>
      <c r="H1745">
        <v>110053400</v>
      </c>
      <c r="I1745" t="s">
        <v>13</v>
      </c>
      <c r="J1745" t="s">
        <v>13</v>
      </c>
      <c r="K1745">
        <v>11.34</v>
      </c>
    </row>
    <row r="1747" spans="1:11" x14ac:dyDescent="0.25">
      <c r="A1747" t="s">
        <v>390</v>
      </c>
      <c r="B1747" t="str">
        <f>"61181"</f>
        <v>61181</v>
      </c>
      <c r="C1747" t="str">
        <f>"001"</f>
        <v>001</v>
      </c>
      <c r="D1747">
        <v>2009</v>
      </c>
      <c r="E1747">
        <v>7800</v>
      </c>
      <c r="F1747">
        <v>2200</v>
      </c>
      <c r="G1747" t="s">
        <v>11</v>
      </c>
      <c r="H1747" t="s">
        <v>38</v>
      </c>
      <c r="I1747" t="s">
        <v>13</v>
      </c>
      <c r="J1747" t="s">
        <v>13</v>
      </c>
    </row>
    <row r="1748" spans="1:11" x14ac:dyDescent="0.25">
      <c r="A1748" t="s">
        <v>39</v>
      </c>
      <c r="B1748" t="s">
        <v>13</v>
      </c>
      <c r="C1748" t="s">
        <v>7</v>
      </c>
      <c r="D1748" t="s">
        <v>8</v>
      </c>
      <c r="E1748">
        <v>7800</v>
      </c>
      <c r="F1748">
        <v>2200</v>
      </c>
      <c r="G1748" t="s">
        <v>11</v>
      </c>
      <c r="H1748">
        <v>55651000</v>
      </c>
      <c r="I1748" t="s">
        <v>13</v>
      </c>
      <c r="J1748" t="s">
        <v>13</v>
      </c>
      <c r="K1748">
        <v>0</v>
      </c>
    </row>
    <row r="1750" spans="1:11" x14ac:dyDescent="0.25">
      <c r="A1750" t="s">
        <v>391</v>
      </c>
      <c r="B1750" t="str">
        <f>"15281"</f>
        <v>15281</v>
      </c>
      <c r="C1750" t="str">
        <f>"001"</f>
        <v>001</v>
      </c>
      <c r="D1750">
        <v>1991</v>
      </c>
      <c r="E1750">
        <v>42671800</v>
      </c>
      <c r="F1750">
        <v>33037600</v>
      </c>
      <c r="G1750" t="s">
        <v>11</v>
      </c>
      <c r="H1750" t="s">
        <v>38</v>
      </c>
      <c r="I1750" t="s">
        <v>13</v>
      </c>
      <c r="J1750" t="s">
        <v>13</v>
      </c>
    </row>
    <row r="1751" spans="1:11" x14ac:dyDescent="0.25">
      <c r="A1751" t="s">
        <v>5</v>
      </c>
      <c r="B1751" t="str">
        <f>"15281"</f>
        <v>15281</v>
      </c>
      <c r="C1751" t="str">
        <f>"002"</f>
        <v>002</v>
      </c>
      <c r="D1751">
        <v>1994</v>
      </c>
      <c r="E1751">
        <v>69216100</v>
      </c>
      <c r="F1751">
        <v>53093100</v>
      </c>
      <c r="G1751" t="s">
        <v>11</v>
      </c>
      <c r="H1751" t="s">
        <v>38</v>
      </c>
      <c r="I1751" t="s">
        <v>13</v>
      </c>
      <c r="J1751" t="s">
        <v>13</v>
      </c>
    </row>
    <row r="1752" spans="1:11" x14ac:dyDescent="0.25">
      <c r="A1752" t="s">
        <v>5</v>
      </c>
      <c r="B1752" t="str">
        <f>"15281"</f>
        <v>15281</v>
      </c>
      <c r="C1752" t="str">
        <f>"003"</f>
        <v>003</v>
      </c>
      <c r="D1752">
        <v>2008</v>
      </c>
      <c r="E1752">
        <v>2785300</v>
      </c>
      <c r="F1752">
        <v>1868400</v>
      </c>
      <c r="G1752" t="s">
        <v>11</v>
      </c>
      <c r="H1752" t="s">
        <v>38</v>
      </c>
      <c r="I1752" t="s">
        <v>13</v>
      </c>
      <c r="J1752" t="s">
        <v>13</v>
      </c>
    </row>
    <row r="1753" spans="1:11" x14ac:dyDescent="0.25">
      <c r="A1753" t="s">
        <v>5</v>
      </c>
      <c r="B1753" t="str">
        <f>"15281"</f>
        <v>15281</v>
      </c>
      <c r="C1753" t="str">
        <f>"004"</f>
        <v>004</v>
      </c>
      <c r="D1753">
        <v>2013</v>
      </c>
      <c r="E1753">
        <v>4791200</v>
      </c>
      <c r="F1753">
        <v>4375300</v>
      </c>
      <c r="G1753" t="s">
        <v>11</v>
      </c>
      <c r="H1753" t="s">
        <v>38</v>
      </c>
      <c r="I1753" t="s">
        <v>13</v>
      </c>
      <c r="J1753" t="s">
        <v>13</v>
      </c>
    </row>
    <row r="1754" spans="1:11" x14ac:dyDescent="0.25">
      <c r="A1754" t="s">
        <v>39</v>
      </c>
      <c r="B1754" t="s">
        <v>13</v>
      </c>
      <c r="C1754" t="s">
        <v>7</v>
      </c>
      <c r="D1754" t="s">
        <v>8</v>
      </c>
      <c r="E1754">
        <v>119464400</v>
      </c>
      <c r="F1754">
        <v>92374400</v>
      </c>
      <c r="G1754" t="s">
        <v>11</v>
      </c>
      <c r="H1754">
        <v>896273200</v>
      </c>
      <c r="I1754" t="s">
        <v>13</v>
      </c>
      <c r="J1754" t="s">
        <v>13</v>
      </c>
      <c r="K1754">
        <v>10.31</v>
      </c>
    </row>
    <row r="1756" spans="1:11" x14ac:dyDescent="0.25">
      <c r="A1756" t="s">
        <v>392</v>
      </c>
      <c r="B1756" t="str">
        <f>"51181"</f>
        <v>51181</v>
      </c>
      <c r="C1756" t="str">
        <f>"004"</f>
        <v>004</v>
      </c>
      <c r="D1756">
        <v>2016</v>
      </c>
      <c r="E1756">
        <v>62616600</v>
      </c>
      <c r="F1756">
        <v>8832700</v>
      </c>
      <c r="G1756" t="s">
        <v>11</v>
      </c>
      <c r="H1756" t="s">
        <v>38</v>
      </c>
      <c r="I1756" t="s">
        <v>13</v>
      </c>
      <c r="J1756" t="s">
        <v>13</v>
      </c>
    </row>
    <row r="1757" spans="1:11" x14ac:dyDescent="0.25">
      <c r="A1757" t="s">
        <v>39</v>
      </c>
      <c r="B1757" t="s">
        <v>13</v>
      </c>
      <c r="C1757" t="s">
        <v>7</v>
      </c>
      <c r="D1757" t="s">
        <v>8</v>
      </c>
      <c r="E1757">
        <v>62616600</v>
      </c>
      <c r="F1757">
        <v>8832700</v>
      </c>
      <c r="G1757" t="s">
        <v>11</v>
      </c>
      <c r="H1757">
        <v>555387100</v>
      </c>
      <c r="I1757" t="s">
        <v>13</v>
      </c>
      <c r="J1757" t="s">
        <v>13</v>
      </c>
      <c r="K1757">
        <v>1.59</v>
      </c>
    </row>
    <row r="1759" spans="1:11" x14ac:dyDescent="0.25">
      <c r="A1759" t="s">
        <v>393</v>
      </c>
      <c r="B1759" t="str">
        <f>"05178"</f>
        <v>05178</v>
      </c>
      <c r="C1759" t="str">
        <f>"001"</f>
        <v>001</v>
      </c>
      <c r="D1759">
        <v>2004</v>
      </c>
      <c r="E1759">
        <v>55457500</v>
      </c>
      <c r="F1759">
        <v>44986800</v>
      </c>
      <c r="G1759" t="s">
        <v>11</v>
      </c>
      <c r="H1759" t="s">
        <v>38</v>
      </c>
      <c r="I1759" t="s">
        <v>13</v>
      </c>
      <c r="J1759" t="s">
        <v>13</v>
      </c>
    </row>
    <row r="1760" spans="1:11" x14ac:dyDescent="0.25">
      <c r="A1760" t="s">
        <v>5</v>
      </c>
      <c r="B1760" t="str">
        <f>"05178"</f>
        <v>05178</v>
      </c>
      <c r="C1760" t="str">
        <f>"002"</f>
        <v>002</v>
      </c>
      <c r="D1760">
        <v>2006</v>
      </c>
      <c r="E1760">
        <v>24495400</v>
      </c>
      <c r="F1760">
        <v>13969200</v>
      </c>
      <c r="G1760" t="s">
        <v>11</v>
      </c>
      <c r="H1760" t="s">
        <v>38</v>
      </c>
      <c r="I1760" t="s">
        <v>13</v>
      </c>
      <c r="J1760" t="s">
        <v>13</v>
      </c>
    </row>
    <row r="1761" spans="1:11" x14ac:dyDescent="0.25">
      <c r="A1761" t="s">
        <v>5</v>
      </c>
      <c r="B1761" t="str">
        <f>"05178"</f>
        <v>05178</v>
      </c>
      <c r="C1761" t="str">
        <f>"004"</f>
        <v>004</v>
      </c>
      <c r="D1761">
        <v>2014</v>
      </c>
      <c r="E1761">
        <v>62594200</v>
      </c>
      <c r="F1761">
        <v>28585500</v>
      </c>
      <c r="G1761" t="s">
        <v>11</v>
      </c>
      <c r="H1761" t="s">
        <v>38</v>
      </c>
      <c r="I1761" t="s">
        <v>13</v>
      </c>
      <c r="J1761" t="s">
        <v>13</v>
      </c>
    </row>
    <row r="1762" spans="1:11" x14ac:dyDescent="0.25">
      <c r="A1762" t="s">
        <v>39</v>
      </c>
      <c r="B1762" t="s">
        <v>13</v>
      </c>
      <c r="C1762" t="s">
        <v>7</v>
      </c>
      <c r="D1762" t="s">
        <v>8</v>
      </c>
      <c r="E1762">
        <v>142547100</v>
      </c>
      <c r="F1762">
        <v>87541500</v>
      </c>
      <c r="G1762" t="s">
        <v>11</v>
      </c>
      <c r="H1762">
        <v>1308813900</v>
      </c>
      <c r="I1762" t="s">
        <v>13</v>
      </c>
      <c r="J1762" t="s">
        <v>13</v>
      </c>
      <c r="K1762">
        <v>6.69</v>
      </c>
    </row>
    <row r="1764" spans="1:11" x14ac:dyDescent="0.25">
      <c r="A1764" t="s">
        <v>394</v>
      </c>
      <c r="B1764" t="str">
        <f t="shared" ref="B1764:B1769" si="32">"13282"</f>
        <v>13282</v>
      </c>
      <c r="C1764" t="str">
        <f>"006"</f>
        <v>006</v>
      </c>
      <c r="D1764">
        <v>1997</v>
      </c>
      <c r="E1764">
        <v>5848200</v>
      </c>
      <c r="F1764">
        <v>5730600</v>
      </c>
      <c r="G1764" t="s">
        <v>11</v>
      </c>
      <c r="H1764" t="s">
        <v>38</v>
      </c>
      <c r="I1764" t="s">
        <v>13</v>
      </c>
      <c r="J1764" t="s">
        <v>13</v>
      </c>
    </row>
    <row r="1765" spans="1:11" x14ac:dyDescent="0.25">
      <c r="A1765" t="s">
        <v>5</v>
      </c>
      <c r="B1765" t="str">
        <f t="shared" si="32"/>
        <v>13282</v>
      </c>
      <c r="C1765" t="str">
        <f>"008"</f>
        <v>008</v>
      </c>
      <c r="D1765">
        <v>2002</v>
      </c>
      <c r="E1765">
        <v>106809100</v>
      </c>
      <c r="F1765">
        <v>84530100</v>
      </c>
      <c r="G1765" t="s">
        <v>11</v>
      </c>
      <c r="H1765" t="s">
        <v>38</v>
      </c>
      <c r="I1765" t="s">
        <v>13</v>
      </c>
      <c r="J1765" t="s">
        <v>13</v>
      </c>
    </row>
    <row r="1766" spans="1:11" x14ac:dyDescent="0.25">
      <c r="A1766" t="s">
        <v>5</v>
      </c>
      <c r="B1766" t="str">
        <f t="shared" si="32"/>
        <v>13282</v>
      </c>
      <c r="C1766" t="str">
        <f>"009"</f>
        <v>009</v>
      </c>
      <c r="D1766">
        <v>2007</v>
      </c>
      <c r="E1766">
        <v>67668600</v>
      </c>
      <c r="F1766">
        <v>55373700</v>
      </c>
      <c r="G1766" t="s">
        <v>11</v>
      </c>
      <c r="H1766" t="s">
        <v>38</v>
      </c>
      <c r="I1766" t="s">
        <v>13</v>
      </c>
      <c r="J1766" t="s">
        <v>13</v>
      </c>
    </row>
    <row r="1767" spans="1:11" x14ac:dyDescent="0.25">
      <c r="A1767" t="s">
        <v>5</v>
      </c>
      <c r="B1767" t="str">
        <f t="shared" si="32"/>
        <v>13282</v>
      </c>
      <c r="C1767" t="str">
        <f>"011"</f>
        <v>011</v>
      </c>
      <c r="D1767">
        <v>2015</v>
      </c>
      <c r="E1767">
        <v>48830300</v>
      </c>
      <c r="F1767">
        <v>16331000</v>
      </c>
      <c r="G1767" t="s">
        <v>11</v>
      </c>
      <c r="H1767" t="s">
        <v>38</v>
      </c>
      <c r="I1767" t="s">
        <v>13</v>
      </c>
      <c r="J1767" t="s">
        <v>13</v>
      </c>
    </row>
    <row r="1768" spans="1:11" x14ac:dyDescent="0.25">
      <c r="A1768" t="s">
        <v>5</v>
      </c>
      <c r="B1768" t="str">
        <f t="shared" si="32"/>
        <v>13282</v>
      </c>
      <c r="C1768" t="str">
        <f>"012"</f>
        <v>012</v>
      </c>
      <c r="D1768">
        <v>2016</v>
      </c>
      <c r="E1768">
        <v>16534000</v>
      </c>
      <c r="F1768">
        <v>12759500</v>
      </c>
      <c r="G1768" t="s">
        <v>11</v>
      </c>
      <c r="H1768" t="s">
        <v>38</v>
      </c>
      <c r="I1768" t="s">
        <v>13</v>
      </c>
      <c r="J1768" t="s">
        <v>13</v>
      </c>
    </row>
    <row r="1769" spans="1:11" x14ac:dyDescent="0.25">
      <c r="A1769" t="s">
        <v>5</v>
      </c>
      <c r="B1769" t="str">
        <f t="shared" si="32"/>
        <v>13282</v>
      </c>
      <c r="C1769" t="str">
        <f>"013"</f>
        <v>013</v>
      </c>
      <c r="D1769">
        <v>2017</v>
      </c>
      <c r="E1769">
        <v>3162000</v>
      </c>
      <c r="F1769">
        <v>2543800</v>
      </c>
      <c r="G1769" t="s">
        <v>11</v>
      </c>
      <c r="H1769" t="s">
        <v>38</v>
      </c>
      <c r="I1769" t="s">
        <v>13</v>
      </c>
      <c r="J1769" t="s">
        <v>13</v>
      </c>
    </row>
    <row r="1770" spans="1:11" x14ac:dyDescent="0.25">
      <c r="A1770" t="s">
        <v>39</v>
      </c>
      <c r="B1770" t="s">
        <v>13</v>
      </c>
      <c r="C1770" t="s">
        <v>7</v>
      </c>
      <c r="D1770" t="s">
        <v>8</v>
      </c>
      <c r="E1770">
        <v>248852200</v>
      </c>
      <c r="F1770">
        <v>177268700</v>
      </c>
      <c r="G1770" t="s">
        <v>11</v>
      </c>
      <c r="H1770">
        <v>3310111700</v>
      </c>
      <c r="I1770" t="s">
        <v>13</v>
      </c>
      <c r="J1770" t="s">
        <v>13</v>
      </c>
      <c r="K1770">
        <v>5.36</v>
      </c>
    </row>
    <row r="1772" spans="1:11" x14ac:dyDescent="0.25">
      <c r="A1772" t="s">
        <v>395</v>
      </c>
      <c r="B1772" t="str">
        <f t="shared" ref="B1772:B1777" si="33">"16281"</f>
        <v>16281</v>
      </c>
      <c r="C1772" t="str">
        <f>"007"</f>
        <v>007</v>
      </c>
      <c r="D1772">
        <v>1996</v>
      </c>
      <c r="E1772">
        <v>19998200</v>
      </c>
      <c r="F1772">
        <v>12598700</v>
      </c>
      <c r="G1772" t="s">
        <v>11</v>
      </c>
      <c r="H1772" t="s">
        <v>38</v>
      </c>
      <c r="I1772" t="s">
        <v>13</v>
      </c>
      <c r="J1772" t="s">
        <v>13</v>
      </c>
    </row>
    <row r="1773" spans="1:11" x14ac:dyDescent="0.25">
      <c r="A1773" t="s">
        <v>5</v>
      </c>
      <c r="B1773" t="str">
        <f t="shared" si="33"/>
        <v>16281</v>
      </c>
      <c r="C1773" t="str">
        <f>"008"</f>
        <v>008</v>
      </c>
      <c r="D1773">
        <v>1997</v>
      </c>
      <c r="E1773">
        <v>20561600</v>
      </c>
      <c r="F1773">
        <v>18678900</v>
      </c>
      <c r="G1773" t="s">
        <v>11</v>
      </c>
      <c r="H1773" t="s">
        <v>38</v>
      </c>
      <c r="I1773" t="s">
        <v>13</v>
      </c>
      <c r="J1773" t="s">
        <v>13</v>
      </c>
    </row>
    <row r="1774" spans="1:11" x14ac:dyDescent="0.25">
      <c r="A1774" t="s">
        <v>5</v>
      </c>
      <c r="B1774" t="str">
        <f t="shared" si="33"/>
        <v>16281</v>
      </c>
      <c r="C1774" t="str">
        <f>"009"</f>
        <v>009</v>
      </c>
      <c r="D1774">
        <v>2002</v>
      </c>
      <c r="E1774">
        <v>27524000</v>
      </c>
      <c r="F1774">
        <v>19348400</v>
      </c>
      <c r="G1774" t="s">
        <v>11</v>
      </c>
      <c r="H1774" t="s">
        <v>38</v>
      </c>
      <c r="I1774" t="s">
        <v>13</v>
      </c>
      <c r="J1774" t="s">
        <v>13</v>
      </c>
    </row>
    <row r="1775" spans="1:11" x14ac:dyDescent="0.25">
      <c r="A1775" t="s">
        <v>5</v>
      </c>
      <c r="B1775" t="str">
        <f t="shared" si="33"/>
        <v>16281</v>
      </c>
      <c r="C1775" t="str">
        <f>"011"</f>
        <v>011</v>
      </c>
      <c r="D1775">
        <v>2008</v>
      </c>
      <c r="E1775">
        <v>5704100</v>
      </c>
      <c r="F1775">
        <v>3317100</v>
      </c>
      <c r="G1775" t="s">
        <v>11</v>
      </c>
      <c r="H1775" t="s">
        <v>38</v>
      </c>
      <c r="I1775" t="s">
        <v>13</v>
      </c>
      <c r="J1775" t="s">
        <v>13</v>
      </c>
    </row>
    <row r="1776" spans="1:11" x14ac:dyDescent="0.25">
      <c r="A1776" t="s">
        <v>5</v>
      </c>
      <c r="B1776" t="str">
        <f t="shared" si="33"/>
        <v>16281</v>
      </c>
      <c r="C1776" t="str">
        <f>"012"</f>
        <v>012</v>
      </c>
      <c r="D1776">
        <v>2012</v>
      </c>
      <c r="E1776">
        <v>0</v>
      </c>
      <c r="F1776">
        <v>0</v>
      </c>
      <c r="G1776" t="s">
        <v>11</v>
      </c>
      <c r="H1776" t="s">
        <v>38</v>
      </c>
      <c r="I1776" t="s">
        <v>13</v>
      </c>
      <c r="J1776" t="s">
        <v>13</v>
      </c>
    </row>
    <row r="1777" spans="1:11" x14ac:dyDescent="0.25">
      <c r="A1777" t="s">
        <v>5</v>
      </c>
      <c r="B1777" t="str">
        <f t="shared" si="33"/>
        <v>16281</v>
      </c>
      <c r="C1777" t="str">
        <f>"013"</f>
        <v>013</v>
      </c>
      <c r="D1777">
        <v>2014</v>
      </c>
      <c r="E1777">
        <v>7607600</v>
      </c>
      <c r="F1777">
        <v>5207200</v>
      </c>
      <c r="G1777" t="s">
        <v>11</v>
      </c>
      <c r="H1777" t="s">
        <v>38</v>
      </c>
      <c r="I1777" t="s">
        <v>13</v>
      </c>
      <c r="J1777" t="s">
        <v>13</v>
      </c>
    </row>
    <row r="1778" spans="1:11" x14ac:dyDescent="0.25">
      <c r="A1778" t="s">
        <v>39</v>
      </c>
      <c r="B1778" t="s">
        <v>13</v>
      </c>
      <c r="C1778" t="s">
        <v>7</v>
      </c>
      <c r="D1778" t="s">
        <v>8</v>
      </c>
      <c r="E1778">
        <v>81395500</v>
      </c>
      <c r="F1778">
        <v>59150300</v>
      </c>
      <c r="G1778" t="s">
        <v>11</v>
      </c>
      <c r="H1778">
        <v>1731399100</v>
      </c>
      <c r="I1778" t="s">
        <v>13</v>
      </c>
      <c r="J1778" t="s">
        <v>13</v>
      </c>
      <c r="K1778">
        <v>3.42</v>
      </c>
    </row>
    <row r="1780" spans="1:11" x14ac:dyDescent="0.25">
      <c r="A1780" t="s">
        <v>396</v>
      </c>
      <c r="B1780" t="str">
        <f>"42181"</f>
        <v>42181</v>
      </c>
      <c r="C1780" t="str">
        <f>"001"</f>
        <v>001</v>
      </c>
      <c r="D1780">
        <v>2000</v>
      </c>
      <c r="E1780">
        <v>2407400</v>
      </c>
      <c r="F1780">
        <v>958165</v>
      </c>
      <c r="G1780" t="s">
        <v>11</v>
      </c>
      <c r="H1780" t="s">
        <v>38</v>
      </c>
      <c r="I1780" t="s">
        <v>13</v>
      </c>
      <c r="J1780" t="s">
        <v>13</v>
      </c>
    </row>
    <row r="1781" spans="1:11" x14ac:dyDescent="0.25">
      <c r="A1781" t="s">
        <v>39</v>
      </c>
      <c r="B1781" t="s">
        <v>13</v>
      </c>
      <c r="C1781" t="s">
        <v>7</v>
      </c>
      <c r="D1781" t="s">
        <v>8</v>
      </c>
      <c r="E1781">
        <v>2407400</v>
      </c>
      <c r="F1781">
        <v>958165</v>
      </c>
      <c r="G1781" t="s">
        <v>11</v>
      </c>
      <c r="H1781">
        <v>21945800</v>
      </c>
      <c r="I1781" t="s">
        <v>13</v>
      </c>
      <c r="J1781" t="s">
        <v>13</v>
      </c>
      <c r="K1781">
        <v>4.37</v>
      </c>
    </row>
    <row r="1783" spans="1:11" x14ac:dyDescent="0.25">
      <c r="A1783" t="s">
        <v>397</v>
      </c>
      <c r="B1783" t="str">
        <f>"67181"</f>
        <v>67181</v>
      </c>
      <c r="C1783" t="str">
        <f>"006"</f>
        <v>006</v>
      </c>
      <c r="D1783">
        <v>2013</v>
      </c>
      <c r="E1783">
        <v>58185600</v>
      </c>
      <c r="F1783">
        <v>34082000</v>
      </c>
      <c r="G1783" t="s">
        <v>11</v>
      </c>
      <c r="H1783" t="s">
        <v>38</v>
      </c>
      <c r="I1783" t="s">
        <v>13</v>
      </c>
      <c r="J1783" t="s">
        <v>13</v>
      </c>
    </row>
    <row r="1784" spans="1:11" x14ac:dyDescent="0.25">
      <c r="A1784" t="s">
        <v>39</v>
      </c>
      <c r="B1784" t="s">
        <v>13</v>
      </c>
      <c r="C1784" t="s">
        <v>7</v>
      </c>
      <c r="D1784" t="s">
        <v>8</v>
      </c>
      <c r="E1784">
        <v>58185600</v>
      </c>
      <c r="F1784">
        <v>34082000</v>
      </c>
      <c r="G1784" t="s">
        <v>11</v>
      </c>
      <c r="H1784">
        <v>1378608200</v>
      </c>
      <c r="I1784" t="s">
        <v>13</v>
      </c>
      <c r="J1784" t="s">
        <v>13</v>
      </c>
      <c r="K1784">
        <v>2.4700000000000002</v>
      </c>
    </row>
    <row r="1786" spans="1:11" x14ac:dyDescent="0.25">
      <c r="A1786" t="s">
        <v>398</v>
      </c>
      <c r="B1786" t="str">
        <f>"27186"</f>
        <v>27186</v>
      </c>
      <c r="C1786" t="str">
        <f>"003"</f>
        <v>003</v>
      </c>
      <c r="D1786">
        <v>1997</v>
      </c>
      <c r="E1786">
        <v>3345000</v>
      </c>
      <c r="F1786">
        <v>3271000</v>
      </c>
      <c r="G1786" t="s">
        <v>11</v>
      </c>
      <c r="H1786" t="s">
        <v>38</v>
      </c>
      <c r="I1786" t="s">
        <v>13</v>
      </c>
      <c r="J1786" t="s">
        <v>13</v>
      </c>
    </row>
    <row r="1787" spans="1:11" x14ac:dyDescent="0.25">
      <c r="A1787" t="s">
        <v>5</v>
      </c>
      <c r="B1787" t="str">
        <f>"27186"</f>
        <v>27186</v>
      </c>
      <c r="C1787" t="str">
        <f>"004"</f>
        <v>004</v>
      </c>
      <c r="D1787">
        <v>1999</v>
      </c>
      <c r="E1787">
        <v>891100</v>
      </c>
      <c r="F1787">
        <v>492300</v>
      </c>
      <c r="G1787" t="s">
        <v>11</v>
      </c>
      <c r="H1787" t="s">
        <v>38</v>
      </c>
      <c r="I1787" t="s">
        <v>13</v>
      </c>
      <c r="J1787" t="s">
        <v>13</v>
      </c>
    </row>
    <row r="1788" spans="1:11" x14ac:dyDescent="0.25">
      <c r="A1788" t="s">
        <v>39</v>
      </c>
      <c r="B1788" t="s">
        <v>13</v>
      </c>
      <c r="C1788" t="s">
        <v>7</v>
      </c>
      <c r="D1788" t="s">
        <v>8</v>
      </c>
      <c r="E1788">
        <v>4236100</v>
      </c>
      <c r="F1788">
        <v>3763300</v>
      </c>
      <c r="G1788" t="s">
        <v>11</v>
      </c>
      <c r="H1788">
        <v>14161800</v>
      </c>
      <c r="I1788" t="s">
        <v>13</v>
      </c>
      <c r="J1788" t="s">
        <v>13</v>
      </c>
      <c r="K1788">
        <v>26.57</v>
      </c>
    </row>
    <row r="1790" spans="1:11" x14ac:dyDescent="0.25">
      <c r="A1790" t="s">
        <v>399</v>
      </c>
      <c r="B1790" t="str">
        <f>"10286"</f>
        <v>10286</v>
      </c>
      <c r="C1790" t="str">
        <f>"004"</f>
        <v>004</v>
      </c>
      <c r="D1790">
        <v>1994</v>
      </c>
      <c r="E1790">
        <v>5808800</v>
      </c>
      <c r="F1790">
        <v>5172800</v>
      </c>
      <c r="G1790" t="s">
        <v>11</v>
      </c>
      <c r="H1790" t="s">
        <v>38</v>
      </c>
      <c r="I1790" t="s">
        <v>13</v>
      </c>
      <c r="J1790" t="s">
        <v>13</v>
      </c>
    </row>
    <row r="1791" spans="1:11" x14ac:dyDescent="0.25">
      <c r="A1791" t="s">
        <v>5</v>
      </c>
      <c r="B1791" t="str">
        <f>"10286"</f>
        <v>10286</v>
      </c>
      <c r="C1791" t="str">
        <f>"005"</f>
        <v>005</v>
      </c>
      <c r="D1791">
        <v>1999</v>
      </c>
      <c r="E1791">
        <v>8037100</v>
      </c>
      <c r="F1791">
        <v>7751700</v>
      </c>
      <c r="G1791" t="s">
        <v>11</v>
      </c>
      <c r="H1791" t="s">
        <v>38</v>
      </c>
      <c r="I1791" t="s">
        <v>13</v>
      </c>
      <c r="J1791" t="s">
        <v>13</v>
      </c>
    </row>
    <row r="1792" spans="1:11" x14ac:dyDescent="0.25">
      <c r="A1792" t="s">
        <v>5</v>
      </c>
      <c r="B1792" t="str">
        <f>"10286"</f>
        <v>10286</v>
      </c>
      <c r="C1792" t="str">
        <f>"006"</f>
        <v>006</v>
      </c>
      <c r="D1792">
        <v>2000</v>
      </c>
      <c r="E1792">
        <v>6152300</v>
      </c>
      <c r="F1792">
        <v>4570300</v>
      </c>
      <c r="G1792" t="s">
        <v>11</v>
      </c>
      <c r="H1792" t="s">
        <v>38</v>
      </c>
      <c r="I1792" t="s">
        <v>13</v>
      </c>
      <c r="J1792" t="s">
        <v>13</v>
      </c>
    </row>
    <row r="1793" spans="1:11" x14ac:dyDescent="0.25">
      <c r="A1793" t="s">
        <v>39</v>
      </c>
      <c r="B1793" t="s">
        <v>13</v>
      </c>
      <c r="C1793" t="s">
        <v>7</v>
      </c>
      <c r="D1793" t="s">
        <v>8</v>
      </c>
      <c r="E1793">
        <v>19998200</v>
      </c>
      <c r="F1793">
        <v>17494800</v>
      </c>
      <c r="G1793" t="s">
        <v>11</v>
      </c>
      <c r="H1793">
        <v>93323800</v>
      </c>
      <c r="I1793" t="s">
        <v>13</v>
      </c>
      <c r="J1793" t="s">
        <v>13</v>
      </c>
      <c r="K1793">
        <v>18.75</v>
      </c>
    </row>
    <row r="1795" spans="1:11" x14ac:dyDescent="0.25">
      <c r="A1795" t="s">
        <v>400</v>
      </c>
      <c r="B1795" t="str">
        <f>"58186"</f>
        <v>58186</v>
      </c>
      <c r="C1795" t="str">
        <f>"001"</f>
        <v>001</v>
      </c>
      <c r="D1795">
        <v>1996</v>
      </c>
      <c r="E1795">
        <v>2290200</v>
      </c>
      <c r="F1795">
        <v>2165300</v>
      </c>
      <c r="G1795" t="s">
        <v>11</v>
      </c>
      <c r="H1795" t="s">
        <v>38</v>
      </c>
      <c r="I1795" t="s">
        <v>13</v>
      </c>
      <c r="J1795" t="s">
        <v>13</v>
      </c>
    </row>
    <row r="1796" spans="1:11" x14ac:dyDescent="0.25">
      <c r="A1796" t="s">
        <v>5</v>
      </c>
      <c r="B1796" t="str">
        <f>"58186"</f>
        <v>58186</v>
      </c>
      <c r="C1796" t="str">
        <f>"002"</f>
        <v>002</v>
      </c>
      <c r="D1796">
        <v>2014</v>
      </c>
      <c r="E1796">
        <v>1262800</v>
      </c>
      <c r="F1796">
        <v>624900</v>
      </c>
      <c r="G1796" t="s">
        <v>11</v>
      </c>
      <c r="H1796" t="s">
        <v>38</v>
      </c>
      <c r="I1796" t="s">
        <v>13</v>
      </c>
      <c r="J1796" t="s">
        <v>13</v>
      </c>
    </row>
    <row r="1797" spans="1:11" x14ac:dyDescent="0.25">
      <c r="A1797" t="s">
        <v>39</v>
      </c>
      <c r="B1797" t="s">
        <v>13</v>
      </c>
      <c r="C1797" t="s">
        <v>7</v>
      </c>
      <c r="D1797" t="s">
        <v>8</v>
      </c>
      <c r="E1797">
        <v>3553000</v>
      </c>
      <c r="F1797">
        <v>2790200</v>
      </c>
      <c r="G1797" t="s">
        <v>11</v>
      </c>
      <c r="H1797">
        <v>22231000</v>
      </c>
      <c r="I1797" t="s">
        <v>13</v>
      </c>
      <c r="J1797" t="s">
        <v>13</v>
      </c>
      <c r="K1797">
        <v>12.55</v>
      </c>
    </row>
    <row r="1799" spans="1:11" x14ac:dyDescent="0.25">
      <c r="A1799" t="s">
        <v>401</v>
      </c>
      <c r="B1799" t="str">
        <f>"41286"</f>
        <v>41286</v>
      </c>
      <c r="C1799" t="str">
        <f>"008"</f>
        <v>008</v>
      </c>
      <c r="D1799">
        <v>2015</v>
      </c>
      <c r="E1799">
        <v>47058200</v>
      </c>
      <c r="F1799">
        <v>7117500</v>
      </c>
      <c r="G1799" t="s">
        <v>11</v>
      </c>
      <c r="H1799" t="s">
        <v>38</v>
      </c>
      <c r="I1799" t="s">
        <v>13</v>
      </c>
      <c r="J1799" t="s">
        <v>13</v>
      </c>
    </row>
    <row r="1800" spans="1:11" x14ac:dyDescent="0.25">
      <c r="A1800" t="s">
        <v>39</v>
      </c>
      <c r="B1800" t="s">
        <v>13</v>
      </c>
      <c r="C1800" t="s">
        <v>7</v>
      </c>
      <c r="D1800" t="s">
        <v>8</v>
      </c>
      <c r="E1800">
        <v>47058200</v>
      </c>
      <c r="F1800">
        <v>7117500</v>
      </c>
      <c r="G1800" t="s">
        <v>11</v>
      </c>
      <c r="H1800">
        <v>672836900</v>
      </c>
      <c r="I1800" t="s">
        <v>13</v>
      </c>
      <c r="J1800" t="s">
        <v>13</v>
      </c>
      <c r="K1800">
        <v>1.06</v>
      </c>
    </row>
    <row r="1802" spans="1:11" x14ac:dyDescent="0.25">
      <c r="A1802" t="s">
        <v>402</v>
      </c>
      <c r="B1802" t="str">
        <f>"35286"</f>
        <v>35286</v>
      </c>
      <c r="C1802" t="str">
        <f>"001"</f>
        <v>001</v>
      </c>
      <c r="D1802">
        <v>1995</v>
      </c>
      <c r="E1802">
        <v>6331000</v>
      </c>
      <c r="F1802">
        <v>5558600</v>
      </c>
      <c r="G1802" t="s">
        <v>11</v>
      </c>
      <c r="H1802" t="s">
        <v>38</v>
      </c>
      <c r="I1802" t="s">
        <v>13</v>
      </c>
      <c r="J1802" t="s">
        <v>13</v>
      </c>
    </row>
    <row r="1803" spans="1:11" x14ac:dyDescent="0.25">
      <c r="A1803" t="s">
        <v>5</v>
      </c>
      <c r="B1803" t="str">
        <f>"35286"</f>
        <v>35286</v>
      </c>
      <c r="C1803" t="str">
        <f>"002"</f>
        <v>002</v>
      </c>
      <c r="D1803">
        <v>1997</v>
      </c>
      <c r="E1803">
        <v>19084900</v>
      </c>
      <c r="F1803">
        <v>10799000</v>
      </c>
      <c r="G1803" t="s">
        <v>11</v>
      </c>
      <c r="H1803" t="s">
        <v>38</v>
      </c>
      <c r="I1803" t="s">
        <v>13</v>
      </c>
      <c r="J1803" t="s">
        <v>13</v>
      </c>
    </row>
    <row r="1804" spans="1:11" x14ac:dyDescent="0.25">
      <c r="A1804" t="s">
        <v>5</v>
      </c>
      <c r="B1804" t="str">
        <f>"35286"</f>
        <v>35286</v>
      </c>
      <c r="C1804" t="str">
        <f>"003"</f>
        <v>003</v>
      </c>
      <c r="D1804">
        <v>2008</v>
      </c>
      <c r="E1804">
        <v>2270400</v>
      </c>
      <c r="F1804">
        <v>2092200</v>
      </c>
      <c r="G1804" t="s">
        <v>11</v>
      </c>
      <c r="H1804" t="s">
        <v>38</v>
      </c>
      <c r="I1804" t="s">
        <v>13</v>
      </c>
      <c r="J1804" t="s">
        <v>13</v>
      </c>
    </row>
    <row r="1805" spans="1:11" x14ac:dyDescent="0.25">
      <c r="A1805" t="s">
        <v>5</v>
      </c>
      <c r="B1805" t="str">
        <f>"35286"</f>
        <v>35286</v>
      </c>
      <c r="C1805" t="str">
        <f>"004"</f>
        <v>004</v>
      </c>
      <c r="D1805">
        <v>2013</v>
      </c>
      <c r="E1805">
        <v>6463900</v>
      </c>
      <c r="F1805">
        <v>4411700</v>
      </c>
      <c r="G1805" t="s">
        <v>11</v>
      </c>
      <c r="H1805" t="s">
        <v>38</v>
      </c>
      <c r="I1805" t="s">
        <v>13</v>
      </c>
      <c r="J1805" t="s">
        <v>13</v>
      </c>
    </row>
    <row r="1806" spans="1:11" x14ac:dyDescent="0.25">
      <c r="A1806" t="s">
        <v>5</v>
      </c>
      <c r="B1806" t="str">
        <f>"35286"</f>
        <v>35286</v>
      </c>
      <c r="C1806" t="str">
        <f>"005"</f>
        <v>005</v>
      </c>
      <c r="D1806">
        <v>2015</v>
      </c>
      <c r="E1806">
        <v>672000</v>
      </c>
      <c r="F1806">
        <v>61800</v>
      </c>
      <c r="G1806" t="s">
        <v>11</v>
      </c>
      <c r="H1806" t="s">
        <v>38</v>
      </c>
      <c r="I1806" t="s">
        <v>13</v>
      </c>
      <c r="J1806" t="s">
        <v>13</v>
      </c>
    </row>
    <row r="1807" spans="1:11" x14ac:dyDescent="0.25">
      <c r="A1807" t="s">
        <v>39</v>
      </c>
      <c r="B1807" t="s">
        <v>13</v>
      </c>
      <c r="C1807" t="s">
        <v>7</v>
      </c>
      <c r="D1807" t="s">
        <v>8</v>
      </c>
      <c r="E1807">
        <v>34822200</v>
      </c>
      <c r="F1807">
        <v>22923300</v>
      </c>
      <c r="G1807" t="s">
        <v>11</v>
      </c>
      <c r="H1807">
        <v>235319600</v>
      </c>
      <c r="I1807" t="s">
        <v>13</v>
      </c>
      <c r="J1807" t="s">
        <v>13</v>
      </c>
      <c r="K1807">
        <v>9.74</v>
      </c>
    </row>
    <row r="1809" spans="1:11" x14ac:dyDescent="0.25">
      <c r="A1809" t="s">
        <v>403</v>
      </c>
      <c r="B1809" t="str">
        <f>"61186"</f>
        <v>61186</v>
      </c>
      <c r="C1809" t="str">
        <f>"001"</f>
        <v>001</v>
      </c>
      <c r="D1809">
        <v>1997</v>
      </c>
      <c r="E1809">
        <v>4958500</v>
      </c>
      <c r="F1809">
        <v>2955100</v>
      </c>
      <c r="G1809" t="s">
        <v>11</v>
      </c>
      <c r="H1809" t="s">
        <v>38</v>
      </c>
      <c r="I1809" t="s">
        <v>13</v>
      </c>
      <c r="J1809" t="s">
        <v>13</v>
      </c>
    </row>
    <row r="1810" spans="1:11" x14ac:dyDescent="0.25">
      <c r="A1810" t="s">
        <v>39</v>
      </c>
      <c r="B1810" t="s">
        <v>13</v>
      </c>
      <c r="C1810" t="s">
        <v>7</v>
      </c>
      <c r="D1810" t="s">
        <v>8</v>
      </c>
      <c r="E1810">
        <v>4958500</v>
      </c>
      <c r="F1810">
        <v>2955100</v>
      </c>
      <c r="G1810" t="s">
        <v>11</v>
      </c>
      <c r="H1810">
        <v>131428800</v>
      </c>
      <c r="I1810" t="s">
        <v>13</v>
      </c>
      <c r="J1810" t="s">
        <v>13</v>
      </c>
      <c r="K1810">
        <v>2.25</v>
      </c>
    </row>
    <row r="1812" spans="1:11" x14ac:dyDescent="0.25">
      <c r="A1812" t="s">
        <v>404</v>
      </c>
      <c r="B1812" t="str">
        <f>"03186"</f>
        <v>03186</v>
      </c>
      <c r="C1812" t="str">
        <f>"003"</f>
        <v>003</v>
      </c>
      <c r="D1812">
        <v>2009</v>
      </c>
      <c r="E1812">
        <v>116200</v>
      </c>
      <c r="F1812">
        <v>13500</v>
      </c>
      <c r="G1812" t="s">
        <v>11</v>
      </c>
      <c r="H1812" t="s">
        <v>38</v>
      </c>
      <c r="I1812" t="s">
        <v>13</v>
      </c>
      <c r="J1812" t="s">
        <v>13</v>
      </c>
    </row>
    <row r="1813" spans="1:11" x14ac:dyDescent="0.25">
      <c r="A1813" t="s">
        <v>5</v>
      </c>
      <c r="B1813" t="str">
        <f>"48168"</f>
        <v>48168</v>
      </c>
      <c r="C1813" t="str">
        <f>"003"</f>
        <v>003</v>
      </c>
      <c r="D1813">
        <v>2009</v>
      </c>
      <c r="E1813">
        <v>15499400</v>
      </c>
      <c r="F1813">
        <v>11276900</v>
      </c>
      <c r="G1813" t="s">
        <v>11</v>
      </c>
      <c r="H1813" t="s">
        <v>38</v>
      </c>
      <c r="I1813" t="s">
        <v>13</v>
      </c>
      <c r="J1813" t="s">
        <v>13</v>
      </c>
    </row>
    <row r="1814" spans="1:11" x14ac:dyDescent="0.25">
      <c r="A1814" t="s">
        <v>39</v>
      </c>
      <c r="B1814" t="s">
        <v>13</v>
      </c>
      <c r="C1814" t="s">
        <v>7</v>
      </c>
      <c r="D1814" t="s">
        <v>8</v>
      </c>
      <c r="E1814">
        <v>15615600</v>
      </c>
      <c r="F1814">
        <v>11290400</v>
      </c>
      <c r="G1814" t="s">
        <v>11</v>
      </c>
      <c r="H1814">
        <v>89862500</v>
      </c>
      <c r="I1814" t="s">
        <v>13</v>
      </c>
      <c r="J1814" t="s">
        <v>13</v>
      </c>
      <c r="K1814">
        <v>12.56</v>
      </c>
    </row>
    <row r="1816" spans="1:11" x14ac:dyDescent="0.25">
      <c r="A1816" t="s">
        <v>405</v>
      </c>
      <c r="B1816" t="str">
        <f>"30186"</f>
        <v>30186</v>
      </c>
      <c r="C1816" t="str">
        <f>"001"</f>
        <v>001</v>
      </c>
      <c r="D1816">
        <v>2007</v>
      </c>
      <c r="E1816">
        <v>46618000</v>
      </c>
      <c r="F1816">
        <v>2573600</v>
      </c>
      <c r="G1816" t="s">
        <v>11</v>
      </c>
      <c r="H1816" t="s">
        <v>38</v>
      </c>
      <c r="I1816" t="s">
        <v>13</v>
      </c>
      <c r="J1816" t="s">
        <v>13</v>
      </c>
    </row>
    <row r="1817" spans="1:11" x14ac:dyDescent="0.25">
      <c r="A1817" t="s">
        <v>39</v>
      </c>
      <c r="B1817" t="s">
        <v>13</v>
      </c>
      <c r="C1817" t="s">
        <v>7</v>
      </c>
      <c r="D1817" t="s">
        <v>8</v>
      </c>
      <c r="E1817">
        <v>46618000</v>
      </c>
      <c r="F1817">
        <v>2573600</v>
      </c>
      <c r="G1817" t="s">
        <v>11</v>
      </c>
      <c r="H1817">
        <v>823536600</v>
      </c>
      <c r="I1817" t="s">
        <v>13</v>
      </c>
      <c r="J1817" t="s">
        <v>13</v>
      </c>
      <c r="K1817">
        <v>0.31</v>
      </c>
    </row>
    <row r="1819" spans="1:11" x14ac:dyDescent="0.25">
      <c r="A1819" t="s">
        <v>406</v>
      </c>
      <c r="B1819" t="str">
        <f t="shared" ref="B1819:B1827" si="34">"36286"</f>
        <v>36286</v>
      </c>
      <c r="C1819" t="str">
        <f>"003"</f>
        <v>003</v>
      </c>
      <c r="D1819">
        <v>1992</v>
      </c>
      <c r="E1819">
        <v>2705400</v>
      </c>
      <c r="F1819">
        <v>399900</v>
      </c>
      <c r="G1819" t="s">
        <v>11</v>
      </c>
      <c r="H1819" t="s">
        <v>38</v>
      </c>
      <c r="I1819" t="s">
        <v>13</v>
      </c>
      <c r="J1819" t="s">
        <v>13</v>
      </c>
    </row>
    <row r="1820" spans="1:11" x14ac:dyDescent="0.25">
      <c r="A1820" t="s">
        <v>5</v>
      </c>
      <c r="B1820" t="str">
        <f t="shared" si="34"/>
        <v>36286</v>
      </c>
      <c r="C1820" t="str">
        <f>"004"</f>
        <v>004</v>
      </c>
      <c r="D1820">
        <v>1994</v>
      </c>
      <c r="E1820">
        <v>2804900</v>
      </c>
      <c r="F1820">
        <v>1658000</v>
      </c>
      <c r="G1820" t="s">
        <v>11</v>
      </c>
      <c r="H1820" t="s">
        <v>38</v>
      </c>
      <c r="I1820" t="s">
        <v>13</v>
      </c>
      <c r="J1820" t="s">
        <v>13</v>
      </c>
    </row>
    <row r="1821" spans="1:11" x14ac:dyDescent="0.25">
      <c r="A1821" t="s">
        <v>5</v>
      </c>
      <c r="B1821" t="str">
        <f t="shared" si="34"/>
        <v>36286</v>
      </c>
      <c r="C1821" t="str">
        <f>"005"</f>
        <v>005</v>
      </c>
      <c r="D1821">
        <v>1999</v>
      </c>
      <c r="E1821">
        <v>5683200</v>
      </c>
      <c r="F1821">
        <v>2947200</v>
      </c>
      <c r="G1821" t="s">
        <v>11</v>
      </c>
      <c r="H1821" t="s">
        <v>38</v>
      </c>
      <c r="I1821" t="s">
        <v>13</v>
      </c>
      <c r="J1821" t="s">
        <v>13</v>
      </c>
    </row>
    <row r="1822" spans="1:11" x14ac:dyDescent="0.25">
      <c r="A1822" t="s">
        <v>5</v>
      </c>
      <c r="B1822" t="str">
        <f t="shared" si="34"/>
        <v>36286</v>
      </c>
      <c r="C1822" t="str">
        <f>"006"</f>
        <v>006</v>
      </c>
      <c r="D1822">
        <v>2000</v>
      </c>
      <c r="E1822">
        <v>623600</v>
      </c>
      <c r="F1822">
        <v>623600</v>
      </c>
      <c r="G1822" t="s">
        <v>11</v>
      </c>
      <c r="H1822" t="s">
        <v>38</v>
      </c>
      <c r="I1822" t="s">
        <v>13</v>
      </c>
      <c r="J1822" t="s">
        <v>13</v>
      </c>
    </row>
    <row r="1823" spans="1:11" x14ac:dyDescent="0.25">
      <c r="A1823" t="s">
        <v>5</v>
      </c>
      <c r="B1823" t="str">
        <f t="shared" si="34"/>
        <v>36286</v>
      </c>
      <c r="C1823" t="str">
        <f>"007"</f>
        <v>007</v>
      </c>
      <c r="D1823">
        <v>2001</v>
      </c>
      <c r="E1823">
        <v>5817500</v>
      </c>
      <c r="F1823">
        <v>5817500</v>
      </c>
      <c r="G1823" t="s">
        <v>11</v>
      </c>
      <c r="H1823" t="s">
        <v>38</v>
      </c>
      <c r="I1823" t="s">
        <v>13</v>
      </c>
      <c r="J1823" t="s">
        <v>13</v>
      </c>
    </row>
    <row r="1824" spans="1:11" x14ac:dyDescent="0.25">
      <c r="A1824" t="s">
        <v>5</v>
      </c>
      <c r="B1824" t="str">
        <f t="shared" si="34"/>
        <v>36286</v>
      </c>
      <c r="C1824" t="str">
        <f>"008"</f>
        <v>008</v>
      </c>
      <c r="D1824">
        <v>2002</v>
      </c>
      <c r="E1824">
        <v>6349100</v>
      </c>
      <c r="F1824">
        <v>6349100</v>
      </c>
      <c r="G1824" t="s">
        <v>11</v>
      </c>
      <c r="H1824" t="s">
        <v>38</v>
      </c>
      <c r="I1824" t="s">
        <v>13</v>
      </c>
      <c r="J1824" t="s">
        <v>13</v>
      </c>
    </row>
    <row r="1825" spans="1:11" x14ac:dyDescent="0.25">
      <c r="A1825" t="s">
        <v>5</v>
      </c>
      <c r="B1825" t="str">
        <f t="shared" si="34"/>
        <v>36286</v>
      </c>
      <c r="C1825" t="str">
        <f>"009"</f>
        <v>009</v>
      </c>
      <c r="D1825">
        <v>2003</v>
      </c>
      <c r="E1825">
        <v>8966600</v>
      </c>
      <c r="F1825">
        <v>8955800</v>
      </c>
      <c r="G1825" t="s">
        <v>11</v>
      </c>
      <c r="H1825" t="s">
        <v>38</v>
      </c>
      <c r="I1825" t="s">
        <v>13</v>
      </c>
      <c r="J1825" t="s">
        <v>13</v>
      </c>
    </row>
    <row r="1826" spans="1:11" x14ac:dyDescent="0.25">
      <c r="A1826" t="s">
        <v>5</v>
      </c>
      <c r="B1826" t="str">
        <f t="shared" si="34"/>
        <v>36286</v>
      </c>
      <c r="C1826" t="str">
        <f>"010"</f>
        <v>010</v>
      </c>
      <c r="D1826">
        <v>2014</v>
      </c>
      <c r="E1826">
        <v>4082100</v>
      </c>
      <c r="F1826">
        <v>2011400</v>
      </c>
      <c r="G1826" t="s">
        <v>11</v>
      </c>
      <c r="H1826" t="s">
        <v>38</v>
      </c>
      <c r="I1826" t="s">
        <v>13</v>
      </c>
      <c r="J1826" t="s">
        <v>13</v>
      </c>
    </row>
    <row r="1827" spans="1:11" x14ac:dyDescent="0.25">
      <c r="A1827" t="s">
        <v>5</v>
      </c>
      <c r="B1827" t="str">
        <f t="shared" si="34"/>
        <v>36286</v>
      </c>
      <c r="C1827" t="str">
        <f>"011"</f>
        <v>011</v>
      </c>
      <c r="D1827">
        <v>2016</v>
      </c>
      <c r="E1827">
        <v>1115100</v>
      </c>
      <c r="F1827">
        <v>254700</v>
      </c>
      <c r="G1827" t="s">
        <v>11</v>
      </c>
      <c r="H1827" t="s">
        <v>38</v>
      </c>
      <c r="I1827" t="s">
        <v>13</v>
      </c>
      <c r="J1827" t="s">
        <v>13</v>
      </c>
    </row>
    <row r="1828" spans="1:11" x14ac:dyDescent="0.25">
      <c r="A1828" t="s">
        <v>39</v>
      </c>
      <c r="B1828" t="s">
        <v>13</v>
      </c>
      <c r="C1828" t="s">
        <v>7</v>
      </c>
      <c r="D1828" t="s">
        <v>8</v>
      </c>
      <c r="E1828">
        <v>38147500</v>
      </c>
      <c r="F1828">
        <v>29017200</v>
      </c>
      <c r="G1828" t="s">
        <v>11</v>
      </c>
      <c r="H1828">
        <v>496244600</v>
      </c>
      <c r="I1828" t="s">
        <v>13</v>
      </c>
      <c r="J1828" t="s">
        <v>13</v>
      </c>
      <c r="K1828">
        <v>5.85</v>
      </c>
    </row>
    <row r="1830" spans="1:11" x14ac:dyDescent="0.25">
      <c r="A1830" t="s">
        <v>407</v>
      </c>
      <c r="B1830" t="str">
        <f>"51186"</f>
        <v>51186</v>
      </c>
      <c r="C1830" t="str">
        <f>"003"</f>
        <v>003</v>
      </c>
      <c r="D1830">
        <v>2001</v>
      </c>
      <c r="E1830">
        <v>20413100</v>
      </c>
      <c r="F1830">
        <v>16927900</v>
      </c>
      <c r="G1830" t="s">
        <v>11</v>
      </c>
      <c r="H1830" t="s">
        <v>38</v>
      </c>
      <c r="I1830" t="s">
        <v>13</v>
      </c>
      <c r="J1830" t="s">
        <v>13</v>
      </c>
    </row>
    <row r="1831" spans="1:11" x14ac:dyDescent="0.25">
      <c r="A1831" t="s">
        <v>5</v>
      </c>
      <c r="B1831" t="str">
        <f>"51186"</f>
        <v>51186</v>
      </c>
      <c r="C1831" t="str">
        <f>"004"</f>
        <v>004</v>
      </c>
      <c r="D1831">
        <v>2006</v>
      </c>
      <c r="E1831">
        <v>39335900</v>
      </c>
      <c r="F1831">
        <v>7403200</v>
      </c>
      <c r="G1831" t="s">
        <v>11</v>
      </c>
      <c r="H1831" t="s">
        <v>38</v>
      </c>
      <c r="I1831" t="s">
        <v>13</v>
      </c>
      <c r="J1831" t="s">
        <v>13</v>
      </c>
    </row>
    <row r="1832" spans="1:11" x14ac:dyDescent="0.25">
      <c r="A1832" t="s">
        <v>5</v>
      </c>
      <c r="B1832" t="str">
        <f>"51186"</f>
        <v>51186</v>
      </c>
      <c r="C1832" t="str">
        <f>"005"</f>
        <v>005</v>
      </c>
      <c r="D1832">
        <v>2016</v>
      </c>
      <c r="E1832">
        <v>506800</v>
      </c>
      <c r="F1832">
        <v>42100</v>
      </c>
      <c r="G1832" t="s">
        <v>11</v>
      </c>
      <c r="H1832" t="s">
        <v>38</v>
      </c>
      <c r="I1832" t="s">
        <v>13</v>
      </c>
      <c r="J1832" t="s">
        <v>13</v>
      </c>
    </row>
    <row r="1833" spans="1:11" x14ac:dyDescent="0.25">
      <c r="A1833" t="s">
        <v>39</v>
      </c>
      <c r="B1833" t="s">
        <v>13</v>
      </c>
      <c r="C1833" t="s">
        <v>7</v>
      </c>
      <c r="D1833" t="s">
        <v>8</v>
      </c>
      <c r="E1833">
        <v>60255800</v>
      </c>
      <c r="F1833">
        <v>24373200</v>
      </c>
      <c r="G1833" t="s">
        <v>11</v>
      </c>
      <c r="H1833">
        <v>330828400</v>
      </c>
      <c r="I1833" t="s">
        <v>13</v>
      </c>
      <c r="J1833" t="s">
        <v>13</v>
      </c>
      <c r="K1833">
        <v>7.37</v>
      </c>
    </row>
    <row r="1835" spans="1:11" x14ac:dyDescent="0.25">
      <c r="A1835" t="s">
        <v>408</v>
      </c>
      <c r="B1835" t="str">
        <f>"10186"</f>
        <v>10186</v>
      </c>
      <c r="C1835" t="str">
        <f>"001"</f>
        <v>001</v>
      </c>
      <c r="D1835">
        <v>1998</v>
      </c>
      <c r="E1835">
        <v>1042700</v>
      </c>
      <c r="F1835">
        <v>923200</v>
      </c>
      <c r="G1835" t="s">
        <v>11</v>
      </c>
      <c r="H1835" t="s">
        <v>38</v>
      </c>
      <c r="I1835" t="s">
        <v>13</v>
      </c>
      <c r="J1835" t="s">
        <v>13</v>
      </c>
    </row>
    <row r="1836" spans="1:11" x14ac:dyDescent="0.25">
      <c r="A1836" t="s">
        <v>5</v>
      </c>
      <c r="B1836" t="str">
        <f>"37186"</f>
        <v>37186</v>
      </c>
      <c r="C1836" t="str">
        <f>"001"</f>
        <v>001</v>
      </c>
      <c r="D1836">
        <v>1998</v>
      </c>
      <c r="E1836">
        <v>397100</v>
      </c>
      <c r="F1836">
        <v>201100</v>
      </c>
      <c r="G1836" t="s">
        <v>11</v>
      </c>
      <c r="H1836" t="s">
        <v>38</v>
      </c>
      <c r="I1836" t="s">
        <v>13</v>
      </c>
      <c r="J1836" t="s">
        <v>13</v>
      </c>
    </row>
    <row r="1837" spans="1:11" x14ac:dyDescent="0.25">
      <c r="A1837" t="s">
        <v>39</v>
      </c>
      <c r="B1837" t="s">
        <v>13</v>
      </c>
      <c r="C1837" t="s">
        <v>7</v>
      </c>
      <c r="D1837" t="s">
        <v>8</v>
      </c>
      <c r="E1837">
        <v>1439800</v>
      </c>
      <c r="F1837">
        <v>1124300</v>
      </c>
      <c r="G1837" t="s">
        <v>11</v>
      </c>
      <c r="H1837">
        <v>14102800</v>
      </c>
      <c r="I1837" t="s">
        <v>13</v>
      </c>
      <c r="J1837" t="s">
        <v>13</v>
      </c>
      <c r="K1837">
        <v>7.97</v>
      </c>
    </row>
    <row r="1839" spans="1:11" x14ac:dyDescent="0.25">
      <c r="A1839" t="s">
        <v>409</v>
      </c>
      <c r="B1839" t="str">
        <f>"36186"</f>
        <v>36186</v>
      </c>
      <c r="C1839" t="str">
        <f>"002"</f>
        <v>002</v>
      </c>
      <c r="D1839">
        <v>2017</v>
      </c>
      <c r="E1839">
        <v>3303700</v>
      </c>
      <c r="F1839">
        <v>-26500</v>
      </c>
      <c r="G1839" t="s">
        <v>43</v>
      </c>
      <c r="H1839" t="s">
        <v>38</v>
      </c>
      <c r="I1839" t="s">
        <v>13</v>
      </c>
      <c r="J1839" t="s">
        <v>13</v>
      </c>
    </row>
    <row r="1840" spans="1:11" x14ac:dyDescent="0.25">
      <c r="A1840" t="s">
        <v>39</v>
      </c>
      <c r="B1840" t="s">
        <v>13</v>
      </c>
      <c r="C1840" t="s">
        <v>7</v>
      </c>
      <c r="D1840" t="s">
        <v>8</v>
      </c>
      <c r="E1840">
        <v>3303700</v>
      </c>
      <c r="F1840">
        <v>0</v>
      </c>
      <c r="G1840" t="s">
        <v>11</v>
      </c>
      <c r="H1840">
        <v>55597700</v>
      </c>
      <c r="I1840" t="s">
        <v>13</v>
      </c>
      <c r="J1840" t="s">
        <v>13</v>
      </c>
      <c r="K1840">
        <v>0</v>
      </c>
    </row>
    <row r="1842" spans="1:11" x14ac:dyDescent="0.25">
      <c r="A1842" t="s">
        <v>410</v>
      </c>
      <c r="B1842" t="str">
        <f>"13286"</f>
        <v>13286</v>
      </c>
      <c r="C1842" t="str">
        <f>"004"</f>
        <v>004</v>
      </c>
      <c r="D1842">
        <v>1996</v>
      </c>
      <c r="E1842">
        <v>40572600</v>
      </c>
      <c r="F1842">
        <v>31730200</v>
      </c>
      <c r="G1842" t="s">
        <v>11</v>
      </c>
      <c r="H1842" t="s">
        <v>38</v>
      </c>
      <c r="I1842" t="s">
        <v>13</v>
      </c>
      <c r="J1842" t="s">
        <v>13</v>
      </c>
    </row>
    <row r="1843" spans="1:11" x14ac:dyDescent="0.25">
      <c r="A1843" t="s">
        <v>5</v>
      </c>
      <c r="B1843" t="str">
        <f>"13286"</f>
        <v>13286</v>
      </c>
      <c r="C1843" t="str">
        <f>"006"</f>
        <v>006</v>
      </c>
      <c r="D1843">
        <v>2000</v>
      </c>
      <c r="E1843">
        <v>94776400</v>
      </c>
      <c r="F1843">
        <v>94301200</v>
      </c>
      <c r="G1843" t="s">
        <v>11</v>
      </c>
      <c r="H1843" t="s">
        <v>38</v>
      </c>
      <c r="I1843" t="s">
        <v>13</v>
      </c>
      <c r="J1843" t="s">
        <v>13</v>
      </c>
    </row>
    <row r="1844" spans="1:11" x14ac:dyDescent="0.25">
      <c r="A1844" t="s">
        <v>5</v>
      </c>
      <c r="B1844" t="str">
        <f>"13286"</f>
        <v>13286</v>
      </c>
      <c r="C1844" t="str">
        <f>"008"</f>
        <v>008</v>
      </c>
      <c r="D1844">
        <v>2017</v>
      </c>
      <c r="E1844">
        <v>79122600</v>
      </c>
      <c r="F1844">
        <v>49957900</v>
      </c>
      <c r="G1844" t="s">
        <v>11</v>
      </c>
      <c r="H1844" t="s">
        <v>38</v>
      </c>
      <c r="I1844" t="s">
        <v>13</v>
      </c>
      <c r="J1844" t="s">
        <v>13</v>
      </c>
    </row>
    <row r="1845" spans="1:11" x14ac:dyDescent="0.25">
      <c r="A1845" t="s">
        <v>5</v>
      </c>
      <c r="B1845" t="str">
        <f>"13286"</f>
        <v>13286</v>
      </c>
      <c r="C1845" t="str">
        <f>"009"</f>
        <v>009</v>
      </c>
      <c r="D1845">
        <v>2017</v>
      </c>
      <c r="E1845">
        <v>5800900</v>
      </c>
      <c r="F1845">
        <v>181800</v>
      </c>
      <c r="G1845" t="s">
        <v>11</v>
      </c>
      <c r="H1845" t="s">
        <v>38</v>
      </c>
      <c r="I1845" t="s">
        <v>13</v>
      </c>
      <c r="J1845" t="s">
        <v>13</v>
      </c>
    </row>
    <row r="1846" spans="1:11" x14ac:dyDescent="0.25">
      <c r="A1846" t="s">
        <v>39</v>
      </c>
      <c r="B1846" t="s">
        <v>13</v>
      </c>
      <c r="C1846" t="s">
        <v>7</v>
      </c>
      <c r="D1846" t="s">
        <v>8</v>
      </c>
      <c r="E1846">
        <v>220272500</v>
      </c>
      <c r="F1846">
        <v>176171100</v>
      </c>
      <c r="G1846" t="s">
        <v>11</v>
      </c>
      <c r="H1846">
        <v>2907846500</v>
      </c>
      <c r="I1846" t="s">
        <v>13</v>
      </c>
      <c r="J1846" t="s">
        <v>13</v>
      </c>
      <c r="K1846">
        <v>6.06</v>
      </c>
    </row>
    <row r="1848" spans="1:11" x14ac:dyDescent="0.25">
      <c r="A1848" t="s">
        <v>411</v>
      </c>
      <c r="B1848" t="str">
        <f>"71186"</f>
        <v>71186</v>
      </c>
      <c r="C1848" t="str">
        <f>"001"</f>
        <v>001</v>
      </c>
      <c r="D1848">
        <v>2006</v>
      </c>
      <c r="E1848">
        <v>3157600</v>
      </c>
      <c r="F1848">
        <v>520300</v>
      </c>
      <c r="G1848" t="s">
        <v>11</v>
      </c>
      <c r="H1848" t="s">
        <v>38</v>
      </c>
      <c r="I1848" t="s">
        <v>13</v>
      </c>
      <c r="J1848" t="s">
        <v>13</v>
      </c>
    </row>
    <row r="1849" spans="1:11" x14ac:dyDescent="0.25">
      <c r="A1849" t="s">
        <v>39</v>
      </c>
      <c r="B1849" t="s">
        <v>13</v>
      </c>
      <c r="C1849" t="s">
        <v>7</v>
      </c>
      <c r="D1849" t="s">
        <v>8</v>
      </c>
      <c r="E1849">
        <v>3157600</v>
      </c>
      <c r="F1849">
        <v>520300</v>
      </c>
      <c r="G1849" t="s">
        <v>11</v>
      </c>
      <c r="H1849">
        <v>27378800</v>
      </c>
      <c r="I1849" t="s">
        <v>13</v>
      </c>
      <c r="J1849" t="s">
        <v>13</v>
      </c>
      <c r="K1849">
        <v>1.9</v>
      </c>
    </row>
    <row r="1851" spans="1:11" x14ac:dyDescent="0.25">
      <c r="A1851" t="s">
        <v>412</v>
      </c>
      <c r="B1851" t="str">
        <f>"52186"</f>
        <v>52186</v>
      </c>
      <c r="C1851" t="str">
        <f>"003"</f>
        <v>003</v>
      </c>
      <c r="D1851">
        <v>1995</v>
      </c>
      <c r="E1851">
        <v>1092300</v>
      </c>
      <c r="F1851">
        <v>431400</v>
      </c>
      <c r="G1851" t="s">
        <v>11</v>
      </c>
      <c r="H1851" t="s">
        <v>38</v>
      </c>
      <c r="I1851" t="s">
        <v>13</v>
      </c>
      <c r="J1851" t="s">
        <v>13</v>
      </c>
    </row>
    <row r="1852" spans="1:11" x14ac:dyDescent="0.25">
      <c r="A1852" t="s">
        <v>5</v>
      </c>
      <c r="B1852" t="str">
        <f>"62186"</f>
        <v>62186</v>
      </c>
      <c r="C1852" t="str">
        <f>"004"</f>
        <v>004</v>
      </c>
      <c r="D1852">
        <v>2007</v>
      </c>
      <c r="E1852">
        <v>1618300</v>
      </c>
      <c r="F1852">
        <v>1298800</v>
      </c>
      <c r="G1852" t="s">
        <v>11</v>
      </c>
      <c r="H1852" t="s">
        <v>38</v>
      </c>
      <c r="I1852" t="s">
        <v>13</v>
      </c>
      <c r="J1852" t="s">
        <v>13</v>
      </c>
    </row>
    <row r="1853" spans="1:11" x14ac:dyDescent="0.25">
      <c r="A1853" t="s">
        <v>39</v>
      </c>
      <c r="B1853" t="s">
        <v>13</v>
      </c>
      <c r="C1853" t="s">
        <v>7</v>
      </c>
      <c r="D1853" t="s">
        <v>8</v>
      </c>
      <c r="E1853">
        <v>2710600</v>
      </c>
      <c r="F1853">
        <v>1730200</v>
      </c>
      <c r="G1853" t="s">
        <v>11</v>
      </c>
      <c r="H1853">
        <v>21425100</v>
      </c>
      <c r="I1853" t="s">
        <v>13</v>
      </c>
      <c r="J1853" t="s">
        <v>13</v>
      </c>
      <c r="K1853">
        <v>8.08</v>
      </c>
    </row>
    <row r="1855" spans="1:11" x14ac:dyDescent="0.25">
      <c r="A1855" t="s">
        <v>413</v>
      </c>
      <c r="B1855" t="str">
        <f>"62286"</f>
        <v>62286</v>
      </c>
      <c r="C1855" t="str">
        <f>"002"</f>
        <v>002</v>
      </c>
      <c r="D1855">
        <v>1994</v>
      </c>
      <c r="E1855">
        <v>2082300</v>
      </c>
      <c r="F1855">
        <v>1726800</v>
      </c>
      <c r="G1855" t="s">
        <v>11</v>
      </c>
      <c r="H1855" t="s">
        <v>38</v>
      </c>
      <c r="I1855" t="s">
        <v>13</v>
      </c>
      <c r="J1855" t="s">
        <v>13</v>
      </c>
    </row>
    <row r="1856" spans="1:11" x14ac:dyDescent="0.25">
      <c r="A1856" t="s">
        <v>5</v>
      </c>
      <c r="B1856" t="str">
        <f>"62286"</f>
        <v>62286</v>
      </c>
      <c r="C1856" t="str">
        <f>"003"</f>
        <v>003</v>
      </c>
      <c r="D1856">
        <v>1995</v>
      </c>
      <c r="E1856">
        <v>18242300</v>
      </c>
      <c r="F1856">
        <v>14431700</v>
      </c>
      <c r="G1856" t="s">
        <v>11</v>
      </c>
      <c r="H1856" t="s">
        <v>38</v>
      </c>
      <c r="I1856" t="s">
        <v>13</v>
      </c>
      <c r="J1856" t="s">
        <v>13</v>
      </c>
    </row>
    <row r="1857" spans="1:11" x14ac:dyDescent="0.25">
      <c r="A1857" t="s">
        <v>5</v>
      </c>
      <c r="B1857" t="str">
        <f>"62286"</f>
        <v>62286</v>
      </c>
      <c r="C1857" t="str">
        <f>"004"</f>
        <v>004</v>
      </c>
      <c r="D1857">
        <v>1999</v>
      </c>
      <c r="E1857">
        <v>3816600</v>
      </c>
      <c r="F1857">
        <v>3523600</v>
      </c>
      <c r="G1857" t="s">
        <v>11</v>
      </c>
      <c r="H1857" t="s">
        <v>38</v>
      </c>
      <c r="I1857" t="s">
        <v>13</v>
      </c>
      <c r="J1857" t="s">
        <v>13</v>
      </c>
    </row>
    <row r="1858" spans="1:11" x14ac:dyDescent="0.25">
      <c r="A1858" t="s">
        <v>5</v>
      </c>
      <c r="B1858" t="str">
        <f>"62286"</f>
        <v>62286</v>
      </c>
      <c r="C1858" t="str">
        <f>"005"</f>
        <v>005</v>
      </c>
      <c r="D1858">
        <v>2006</v>
      </c>
      <c r="E1858">
        <v>2108800</v>
      </c>
      <c r="F1858">
        <v>1829200</v>
      </c>
      <c r="G1858" t="s">
        <v>11</v>
      </c>
      <c r="H1858" t="s">
        <v>38</v>
      </c>
      <c r="I1858" t="s">
        <v>13</v>
      </c>
      <c r="J1858" t="s">
        <v>13</v>
      </c>
    </row>
    <row r="1859" spans="1:11" x14ac:dyDescent="0.25">
      <c r="A1859" t="s">
        <v>5</v>
      </c>
      <c r="B1859" t="str">
        <f>"62286"</f>
        <v>62286</v>
      </c>
      <c r="C1859" t="str">
        <f>"006"</f>
        <v>006</v>
      </c>
      <c r="D1859">
        <v>2015</v>
      </c>
      <c r="E1859">
        <v>19309300</v>
      </c>
      <c r="F1859">
        <v>6285000</v>
      </c>
      <c r="G1859" t="s">
        <v>11</v>
      </c>
      <c r="H1859" t="s">
        <v>38</v>
      </c>
      <c r="I1859" t="s">
        <v>13</v>
      </c>
      <c r="J1859" t="s">
        <v>13</v>
      </c>
    </row>
    <row r="1860" spans="1:11" x14ac:dyDescent="0.25">
      <c r="A1860" t="s">
        <v>39</v>
      </c>
      <c r="B1860" t="s">
        <v>13</v>
      </c>
      <c r="C1860" t="s">
        <v>7</v>
      </c>
      <c r="D1860" t="s">
        <v>8</v>
      </c>
      <c r="E1860">
        <v>45559300</v>
      </c>
      <c r="F1860">
        <v>27796300</v>
      </c>
      <c r="G1860" t="s">
        <v>11</v>
      </c>
      <c r="H1860">
        <v>282492200</v>
      </c>
      <c r="I1860" t="s">
        <v>13</v>
      </c>
      <c r="J1860" t="s">
        <v>13</v>
      </c>
      <c r="K1860">
        <v>9.84</v>
      </c>
    </row>
    <row r="1862" spans="1:11" x14ac:dyDescent="0.25">
      <c r="A1862" t="s">
        <v>414</v>
      </c>
      <c r="B1862" t="str">
        <f>"67191"</f>
        <v>67191</v>
      </c>
      <c r="C1862" t="str">
        <f>"001"</f>
        <v>001</v>
      </c>
      <c r="D1862">
        <v>2006</v>
      </c>
      <c r="E1862">
        <v>58243700</v>
      </c>
      <c r="F1862">
        <v>33675400</v>
      </c>
      <c r="G1862" t="s">
        <v>11</v>
      </c>
      <c r="H1862" t="s">
        <v>38</v>
      </c>
      <c r="I1862" t="s">
        <v>13</v>
      </c>
      <c r="J1862" t="s">
        <v>13</v>
      </c>
    </row>
    <row r="1863" spans="1:11" x14ac:dyDescent="0.25">
      <c r="A1863" t="s">
        <v>39</v>
      </c>
      <c r="B1863" t="s">
        <v>13</v>
      </c>
      <c r="C1863" t="s">
        <v>7</v>
      </c>
      <c r="D1863" t="s">
        <v>8</v>
      </c>
      <c r="E1863">
        <v>58243700</v>
      </c>
      <c r="F1863">
        <v>33675400</v>
      </c>
      <c r="G1863" t="s">
        <v>11</v>
      </c>
      <c r="H1863">
        <v>413130200</v>
      </c>
      <c r="I1863" t="s">
        <v>13</v>
      </c>
      <c r="J1863" t="s">
        <v>13</v>
      </c>
      <c r="K1863">
        <v>8.15</v>
      </c>
    </row>
    <row r="1865" spans="1:11" x14ac:dyDescent="0.25">
      <c r="A1865" t="s">
        <v>415</v>
      </c>
      <c r="B1865" t="str">
        <f>"64191"</f>
        <v>64191</v>
      </c>
      <c r="C1865" t="str">
        <f>"001"</f>
        <v>001</v>
      </c>
      <c r="D1865">
        <v>2011</v>
      </c>
      <c r="E1865">
        <v>8127700</v>
      </c>
      <c r="F1865">
        <v>1163800</v>
      </c>
      <c r="G1865" t="s">
        <v>11</v>
      </c>
      <c r="H1865" t="s">
        <v>38</v>
      </c>
      <c r="I1865" t="s">
        <v>13</v>
      </c>
      <c r="J1865" t="s">
        <v>13</v>
      </c>
    </row>
    <row r="1866" spans="1:11" x14ac:dyDescent="0.25">
      <c r="A1866" t="s">
        <v>39</v>
      </c>
      <c r="B1866" t="s">
        <v>13</v>
      </c>
      <c r="C1866" t="s">
        <v>7</v>
      </c>
      <c r="D1866" t="s">
        <v>8</v>
      </c>
      <c r="E1866">
        <v>8127700</v>
      </c>
      <c r="F1866">
        <v>1163800</v>
      </c>
      <c r="G1866" t="s">
        <v>11</v>
      </c>
      <c r="H1866">
        <v>228313700</v>
      </c>
      <c r="I1866" t="s">
        <v>13</v>
      </c>
      <c r="J1866" t="s">
        <v>13</v>
      </c>
      <c r="K1866">
        <v>0.51</v>
      </c>
    </row>
    <row r="1868" spans="1:11" x14ac:dyDescent="0.25">
      <c r="A1868" t="s">
        <v>416</v>
      </c>
      <c r="B1868" t="str">
        <f>"41185"</f>
        <v>41185</v>
      </c>
      <c r="C1868" t="str">
        <f>"001"</f>
        <v>001</v>
      </c>
      <c r="D1868">
        <v>1998</v>
      </c>
      <c r="E1868">
        <v>45050800</v>
      </c>
      <c r="F1868">
        <v>36937400</v>
      </c>
      <c r="G1868" t="s">
        <v>11</v>
      </c>
      <c r="H1868" t="s">
        <v>38</v>
      </c>
      <c r="I1868" t="s">
        <v>13</v>
      </c>
      <c r="J1868" t="s">
        <v>13</v>
      </c>
    </row>
    <row r="1869" spans="1:11" x14ac:dyDescent="0.25">
      <c r="A1869" t="s">
        <v>39</v>
      </c>
      <c r="B1869" t="s">
        <v>13</v>
      </c>
      <c r="C1869" t="s">
        <v>7</v>
      </c>
      <c r="D1869" t="s">
        <v>8</v>
      </c>
      <c r="E1869">
        <v>45050800</v>
      </c>
      <c r="F1869">
        <v>36937400</v>
      </c>
      <c r="G1869" t="s">
        <v>11</v>
      </c>
      <c r="H1869">
        <v>55507400</v>
      </c>
      <c r="I1869" t="s">
        <v>13</v>
      </c>
      <c r="J1869" t="s">
        <v>13</v>
      </c>
      <c r="K1869">
        <v>66.55</v>
      </c>
    </row>
    <row r="1871" spans="1:11" x14ac:dyDescent="0.25">
      <c r="A1871" t="s">
        <v>417</v>
      </c>
      <c r="B1871" t="str">
        <f>"04291"</f>
        <v>04291</v>
      </c>
      <c r="C1871" t="str">
        <f>"002"</f>
        <v>002</v>
      </c>
      <c r="D1871">
        <v>1995</v>
      </c>
      <c r="E1871">
        <v>18486700</v>
      </c>
      <c r="F1871">
        <v>9345500</v>
      </c>
      <c r="G1871" t="s">
        <v>11</v>
      </c>
      <c r="H1871" t="s">
        <v>38</v>
      </c>
      <c r="I1871" t="s">
        <v>13</v>
      </c>
      <c r="J1871" t="s">
        <v>13</v>
      </c>
    </row>
    <row r="1872" spans="1:11" x14ac:dyDescent="0.25">
      <c r="A1872" t="s">
        <v>5</v>
      </c>
      <c r="B1872" t="str">
        <f>"04291"</f>
        <v>04291</v>
      </c>
      <c r="C1872" t="str">
        <f>"003"</f>
        <v>003</v>
      </c>
      <c r="D1872">
        <v>2015</v>
      </c>
      <c r="E1872">
        <v>10048800</v>
      </c>
      <c r="F1872">
        <v>301000</v>
      </c>
      <c r="G1872" t="s">
        <v>11</v>
      </c>
      <c r="H1872" t="s">
        <v>38</v>
      </c>
      <c r="I1872" t="s">
        <v>13</v>
      </c>
      <c r="J1872" t="s">
        <v>13</v>
      </c>
    </row>
    <row r="1873" spans="1:11" x14ac:dyDescent="0.25">
      <c r="A1873" t="s">
        <v>39</v>
      </c>
      <c r="B1873" t="s">
        <v>13</v>
      </c>
      <c r="C1873" t="s">
        <v>7</v>
      </c>
      <c r="D1873" t="s">
        <v>8</v>
      </c>
      <c r="E1873">
        <v>28535500</v>
      </c>
      <c r="F1873">
        <v>9646500</v>
      </c>
      <c r="G1873" t="s">
        <v>11</v>
      </c>
      <c r="H1873">
        <v>123072400</v>
      </c>
      <c r="I1873" t="s">
        <v>13</v>
      </c>
      <c r="J1873" t="s">
        <v>13</v>
      </c>
      <c r="K1873">
        <v>7.84</v>
      </c>
    </row>
    <row r="1875" spans="1:11" x14ac:dyDescent="0.25">
      <c r="A1875" t="s">
        <v>418</v>
      </c>
      <c r="B1875" t="str">
        <f>"51191"</f>
        <v>51191</v>
      </c>
      <c r="C1875" t="str">
        <f>"002"</f>
        <v>002</v>
      </c>
      <c r="D1875">
        <v>2000</v>
      </c>
      <c r="E1875">
        <v>47759200</v>
      </c>
      <c r="F1875">
        <v>33971700</v>
      </c>
      <c r="G1875" t="s">
        <v>11</v>
      </c>
      <c r="H1875" t="s">
        <v>38</v>
      </c>
      <c r="I1875" t="s">
        <v>13</v>
      </c>
      <c r="J1875" t="s">
        <v>13</v>
      </c>
    </row>
    <row r="1876" spans="1:11" x14ac:dyDescent="0.25">
      <c r="A1876" t="s">
        <v>39</v>
      </c>
      <c r="B1876" t="s">
        <v>13</v>
      </c>
      <c r="C1876" t="s">
        <v>7</v>
      </c>
      <c r="D1876" t="s">
        <v>8</v>
      </c>
      <c r="E1876">
        <v>47759200</v>
      </c>
      <c r="F1876">
        <v>33971700</v>
      </c>
      <c r="G1876" t="s">
        <v>11</v>
      </c>
      <c r="H1876">
        <v>476149500</v>
      </c>
      <c r="I1876" t="s">
        <v>13</v>
      </c>
      <c r="J1876" t="s">
        <v>13</v>
      </c>
      <c r="K1876">
        <v>7.13</v>
      </c>
    </row>
    <row r="1878" spans="1:11" x14ac:dyDescent="0.25">
      <c r="A1878" t="s">
        <v>419</v>
      </c>
      <c r="B1878" t="str">
        <f>"28290"</f>
        <v>28290</v>
      </c>
      <c r="C1878" t="str">
        <f>"001"</f>
        <v>001</v>
      </c>
      <c r="D1878">
        <v>2005</v>
      </c>
      <c r="E1878">
        <v>15188100</v>
      </c>
      <c r="F1878">
        <v>9226600</v>
      </c>
      <c r="G1878" t="s">
        <v>11</v>
      </c>
      <c r="H1878" t="s">
        <v>38</v>
      </c>
      <c r="I1878" t="s">
        <v>13</v>
      </c>
      <c r="J1878" t="s">
        <v>13</v>
      </c>
    </row>
    <row r="1879" spans="1:11" x14ac:dyDescent="0.25">
      <c r="A1879" t="s">
        <v>5</v>
      </c>
      <c r="B1879" t="str">
        <f>"28290"</f>
        <v>28290</v>
      </c>
      <c r="C1879" t="str">
        <f>"002"</f>
        <v>002</v>
      </c>
      <c r="D1879">
        <v>2011</v>
      </c>
      <c r="E1879">
        <v>8933800</v>
      </c>
      <c r="F1879">
        <v>1775800</v>
      </c>
      <c r="G1879" t="s">
        <v>11</v>
      </c>
      <c r="H1879" t="s">
        <v>38</v>
      </c>
      <c r="I1879" t="s">
        <v>13</v>
      </c>
      <c r="J1879" t="s">
        <v>13</v>
      </c>
    </row>
    <row r="1880" spans="1:11" x14ac:dyDescent="0.25">
      <c r="A1880" t="s">
        <v>5</v>
      </c>
      <c r="B1880" t="str">
        <f>"28290"</f>
        <v>28290</v>
      </c>
      <c r="C1880" t="str">
        <f>"003"</f>
        <v>003</v>
      </c>
      <c r="D1880">
        <v>2012</v>
      </c>
      <c r="E1880">
        <v>2360200</v>
      </c>
      <c r="F1880">
        <v>777100</v>
      </c>
      <c r="G1880" t="s">
        <v>11</v>
      </c>
      <c r="H1880" t="s">
        <v>38</v>
      </c>
      <c r="I1880" t="s">
        <v>13</v>
      </c>
      <c r="J1880" t="s">
        <v>13</v>
      </c>
    </row>
    <row r="1881" spans="1:11" x14ac:dyDescent="0.25">
      <c r="A1881" t="s">
        <v>5</v>
      </c>
      <c r="B1881" t="str">
        <f>"28290"</f>
        <v>28290</v>
      </c>
      <c r="C1881" t="str">
        <f>"004"</f>
        <v>004</v>
      </c>
      <c r="D1881">
        <v>2014</v>
      </c>
      <c r="E1881">
        <v>3187200</v>
      </c>
      <c r="F1881">
        <v>867100</v>
      </c>
      <c r="G1881" t="s">
        <v>11</v>
      </c>
      <c r="H1881" t="s">
        <v>38</v>
      </c>
      <c r="I1881" t="s">
        <v>13</v>
      </c>
      <c r="J1881" t="s">
        <v>13</v>
      </c>
    </row>
    <row r="1882" spans="1:11" x14ac:dyDescent="0.25">
      <c r="A1882" t="s">
        <v>39</v>
      </c>
      <c r="B1882" t="s">
        <v>13</v>
      </c>
      <c r="C1882" t="s">
        <v>7</v>
      </c>
      <c r="D1882" t="s">
        <v>8</v>
      </c>
      <c r="E1882">
        <v>29669300</v>
      </c>
      <c r="F1882">
        <v>12646600</v>
      </c>
      <c r="G1882" t="s">
        <v>11</v>
      </c>
      <c r="H1882">
        <v>223514400</v>
      </c>
      <c r="I1882" t="s">
        <v>13</v>
      </c>
      <c r="J1882" t="s">
        <v>13</v>
      </c>
      <c r="K1882">
        <v>5.66</v>
      </c>
    </row>
    <row r="1884" spans="1:11" x14ac:dyDescent="0.25">
      <c r="A1884" t="s">
        <v>420</v>
      </c>
      <c r="B1884" t="str">
        <f>"28291"</f>
        <v>28291</v>
      </c>
      <c r="C1884" t="str">
        <f>"004"</f>
        <v>004</v>
      </c>
      <c r="D1884">
        <v>2005</v>
      </c>
      <c r="E1884">
        <v>33858000</v>
      </c>
      <c r="F1884">
        <v>32810400</v>
      </c>
      <c r="G1884" t="s">
        <v>11</v>
      </c>
      <c r="H1884" t="s">
        <v>38</v>
      </c>
      <c r="I1884" t="s">
        <v>13</v>
      </c>
      <c r="J1884" t="s">
        <v>13</v>
      </c>
    </row>
    <row r="1885" spans="1:11" x14ac:dyDescent="0.25">
      <c r="A1885" t="s">
        <v>5</v>
      </c>
      <c r="B1885" t="str">
        <f>"28291"</f>
        <v>28291</v>
      </c>
      <c r="C1885" t="str">
        <f>"005"</f>
        <v>005</v>
      </c>
      <c r="D1885">
        <v>2005</v>
      </c>
      <c r="E1885">
        <v>59460900</v>
      </c>
      <c r="F1885">
        <v>19829900</v>
      </c>
      <c r="G1885" t="s">
        <v>11</v>
      </c>
      <c r="H1885" t="s">
        <v>38</v>
      </c>
      <c r="I1885" t="s">
        <v>13</v>
      </c>
      <c r="J1885" t="s">
        <v>13</v>
      </c>
    </row>
    <row r="1886" spans="1:11" x14ac:dyDescent="0.25">
      <c r="A1886" t="s">
        <v>5</v>
      </c>
      <c r="B1886" t="str">
        <f>"28291"</f>
        <v>28291</v>
      </c>
      <c r="C1886" t="str">
        <f>"006"</f>
        <v>006</v>
      </c>
      <c r="D1886">
        <v>2005</v>
      </c>
      <c r="E1886">
        <v>3283000</v>
      </c>
      <c r="F1886">
        <v>3057200</v>
      </c>
      <c r="G1886" t="s">
        <v>11</v>
      </c>
      <c r="H1886" t="s">
        <v>38</v>
      </c>
      <c r="I1886" t="s">
        <v>13</v>
      </c>
      <c r="J1886" t="s">
        <v>13</v>
      </c>
    </row>
    <row r="1887" spans="1:11" x14ac:dyDescent="0.25">
      <c r="A1887" t="s">
        <v>5</v>
      </c>
      <c r="B1887" t="str">
        <f>"28291"</f>
        <v>28291</v>
      </c>
      <c r="C1887" t="str">
        <f>"007"</f>
        <v>007</v>
      </c>
      <c r="D1887">
        <v>2016</v>
      </c>
      <c r="E1887">
        <v>44184400</v>
      </c>
      <c r="F1887">
        <v>1740800</v>
      </c>
      <c r="G1887" t="s">
        <v>11</v>
      </c>
      <c r="H1887" t="s">
        <v>38</v>
      </c>
      <c r="I1887" t="s">
        <v>13</v>
      </c>
      <c r="J1887" t="s">
        <v>13</v>
      </c>
    </row>
    <row r="1888" spans="1:11" x14ac:dyDescent="0.25">
      <c r="A1888" t="s">
        <v>39</v>
      </c>
      <c r="B1888" t="s">
        <v>13</v>
      </c>
      <c r="C1888" t="s">
        <v>7</v>
      </c>
      <c r="D1888" t="s">
        <v>8</v>
      </c>
      <c r="E1888">
        <v>140786300</v>
      </c>
      <c r="F1888">
        <v>57438300</v>
      </c>
      <c r="G1888" t="s">
        <v>11</v>
      </c>
      <c r="H1888">
        <v>1496411800</v>
      </c>
      <c r="I1888" t="s">
        <v>13</v>
      </c>
      <c r="J1888" t="s">
        <v>13</v>
      </c>
      <c r="K1888">
        <v>3.84</v>
      </c>
    </row>
    <row r="1890" spans="1:11" x14ac:dyDescent="0.25">
      <c r="A1890" t="s">
        <v>421</v>
      </c>
      <c r="B1890" t="str">
        <f t="shared" ref="B1890:B1901" si="35">"67291"</f>
        <v>67291</v>
      </c>
      <c r="C1890" t="str">
        <f>"011"</f>
        <v>011</v>
      </c>
      <c r="D1890">
        <v>1997</v>
      </c>
      <c r="E1890">
        <v>87147200</v>
      </c>
      <c r="F1890">
        <v>49622600</v>
      </c>
      <c r="G1890" t="s">
        <v>11</v>
      </c>
      <c r="H1890" t="s">
        <v>38</v>
      </c>
      <c r="I1890" t="s">
        <v>13</v>
      </c>
      <c r="J1890" t="s">
        <v>13</v>
      </c>
    </row>
    <row r="1891" spans="1:11" x14ac:dyDescent="0.25">
      <c r="A1891" t="s">
        <v>5</v>
      </c>
      <c r="B1891" t="str">
        <f t="shared" si="35"/>
        <v>67291</v>
      </c>
      <c r="C1891" t="str">
        <f>"012"</f>
        <v>012</v>
      </c>
      <c r="D1891">
        <v>2001</v>
      </c>
      <c r="E1891">
        <v>17222500</v>
      </c>
      <c r="F1891">
        <v>17114800</v>
      </c>
      <c r="G1891" t="s">
        <v>11</v>
      </c>
      <c r="H1891" t="s">
        <v>38</v>
      </c>
      <c r="I1891" t="s">
        <v>13</v>
      </c>
      <c r="J1891" t="s">
        <v>13</v>
      </c>
    </row>
    <row r="1892" spans="1:11" x14ac:dyDescent="0.25">
      <c r="A1892" t="s">
        <v>5</v>
      </c>
      <c r="B1892" t="str">
        <f t="shared" si="35"/>
        <v>67291</v>
      </c>
      <c r="C1892" t="str">
        <f>"013"</f>
        <v>013</v>
      </c>
      <c r="D1892">
        <v>2003</v>
      </c>
      <c r="E1892">
        <v>4178300</v>
      </c>
      <c r="F1892">
        <v>3696500</v>
      </c>
      <c r="G1892" t="s">
        <v>11</v>
      </c>
      <c r="H1892" t="s">
        <v>38</v>
      </c>
      <c r="I1892" t="s">
        <v>13</v>
      </c>
      <c r="J1892" t="s">
        <v>13</v>
      </c>
    </row>
    <row r="1893" spans="1:11" x14ac:dyDescent="0.25">
      <c r="A1893" t="s">
        <v>5</v>
      </c>
      <c r="B1893" t="str">
        <f t="shared" si="35"/>
        <v>67291</v>
      </c>
      <c r="C1893" t="str">
        <f>"014"</f>
        <v>014</v>
      </c>
      <c r="D1893">
        <v>2003</v>
      </c>
      <c r="E1893">
        <v>90780700</v>
      </c>
      <c r="F1893">
        <v>80890900</v>
      </c>
      <c r="G1893" t="s">
        <v>11</v>
      </c>
      <c r="H1893" t="s">
        <v>38</v>
      </c>
      <c r="I1893" t="s">
        <v>13</v>
      </c>
      <c r="J1893" t="s">
        <v>13</v>
      </c>
    </row>
    <row r="1894" spans="1:11" x14ac:dyDescent="0.25">
      <c r="A1894" t="s">
        <v>5</v>
      </c>
      <c r="B1894" t="str">
        <f t="shared" si="35"/>
        <v>67291</v>
      </c>
      <c r="C1894" t="str">
        <f>"017"</f>
        <v>017</v>
      </c>
      <c r="D1894">
        <v>2007</v>
      </c>
      <c r="E1894">
        <v>86902700</v>
      </c>
      <c r="F1894">
        <v>29573700</v>
      </c>
      <c r="G1894" t="s">
        <v>11</v>
      </c>
      <c r="H1894" t="s">
        <v>38</v>
      </c>
      <c r="I1894" t="s">
        <v>13</v>
      </c>
      <c r="J1894" t="s">
        <v>13</v>
      </c>
    </row>
    <row r="1895" spans="1:11" x14ac:dyDescent="0.25">
      <c r="A1895" t="s">
        <v>5</v>
      </c>
      <c r="B1895" t="str">
        <f t="shared" si="35"/>
        <v>67291</v>
      </c>
      <c r="C1895" t="str">
        <f>"018"</f>
        <v>018</v>
      </c>
      <c r="D1895">
        <v>2009</v>
      </c>
      <c r="E1895">
        <v>5115200</v>
      </c>
      <c r="F1895">
        <v>4410900</v>
      </c>
      <c r="G1895" t="s">
        <v>11</v>
      </c>
      <c r="H1895" t="s">
        <v>38</v>
      </c>
      <c r="I1895" t="s">
        <v>13</v>
      </c>
      <c r="J1895" t="s">
        <v>13</v>
      </c>
    </row>
    <row r="1896" spans="1:11" x14ac:dyDescent="0.25">
      <c r="A1896" t="s">
        <v>5</v>
      </c>
      <c r="B1896" t="str">
        <f t="shared" si="35"/>
        <v>67291</v>
      </c>
      <c r="C1896" t="str">
        <f>"019"</f>
        <v>019</v>
      </c>
      <c r="D1896">
        <v>2010</v>
      </c>
      <c r="E1896">
        <v>30738100</v>
      </c>
      <c r="F1896">
        <v>17111700</v>
      </c>
      <c r="G1896" t="s">
        <v>11</v>
      </c>
      <c r="H1896" t="s">
        <v>38</v>
      </c>
      <c r="I1896" t="s">
        <v>13</v>
      </c>
      <c r="J1896" t="s">
        <v>13</v>
      </c>
    </row>
    <row r="1897" spans="1:11" x14ac:dyDescent="0.25">
      <c r="A1897" t="s">
        <v>5</v>
      </c>
      <c r="B1897" t="str">
        <f t="shared" si="35"/>
        <v>67291</v>
      </c>
      <c r="C1897" t="str">
        <f>"020"</f>
        <v>020</v>
      </c>
      <c r="D1897">
        <v>2010</v>
      </c>
      <c r="E1897">
        <v>15199600</v>
      </c>
      <c r="F1897">
        <v>1080000</v>
      </c>
      <c r="G1897" t="s">
        <v>11</v>
      </c>
      <c r="H1897" t="s">
        <v>38</v>
      </c>
      <c r="I1897" t="s">
        <v>13</v>
      </c>
      <c r="J1897" t="s">
        <v>13</v>
      </c>
    </row>
    <row r="1898" spans="1:11" x14ac:dyDescent="0.25">
      <c r="A1898" t="s">
        <v>5</v>
      </c>
      <c r="B1898" t="str">
        <f t="shared" si="35"/>
        <v>67291</v>
      </c>
      <c r="C1898" t="str">
        <f>"021"</f>
        <v>021</v>
      </c>
      <c r="D1898">
        <v>2012</v>
      </c>
      <c r="E1898">
        <v>29912500</v>
      </c>
      <c r="F1898">
        <v>18568600</v>
      </c>
      <c r="G1898" t="s">
        <v>11</v>
      </c>
      <c r="H1898" t="s">
        <v>38</v>
      </c>
      <c r="I1898" t="s">
        <v>13</v>
      </c>
      <c r="J1898" t="s">
        <v>13</v>
      </c>
    </row>
    <row r="1899" spans="1:11" x14ac:dyDescent="0.25">
      <c r="A1899" t="s">
        <v>5</v>
      </c>
      <c r="B1899" t="str">
        <f t="shared" si="35"/>
        <v>67291</v>
      </c>
      <c r="C1899" t="str">
        <f>"022"</f>
        <v>022</v>
      </c>
      <c r="D1899">
        <v>2013</v>
      </c>
      <c r="E1899">
        <v>70585900</v>
      </c>
      <c r="F1899">
        <v>32185400</v>
      </c>
      <c r="G1899" t="s">
        <v>11</v>
      </c>
      <c r="H1899" t="s">
        <v>38</v>
      </c>
      <c r="I1899" t="s">
        <v>13</v>
      </c>
      <c r="J1899" t="s">
        <v>13</v>
      </c>
    </row>
    <row r="1900" spans="1:11" x14ac:dyDescent="0.25">
      <c r="A1900" t="s">
        <v>5</v>
      </c>
      <c r="B1900" t="str">
        <f t="shared" si="35"/>
        <v>67291</v>
      </c>
      <c r="C1900" t="str">
        <f>"023"</f>
        <v>023</v>
      </c>
      <c r="D1900">
        <v>2014</v>
      </c>
      <c r="E1900">
        <v>20861200</v>
      </c>
      <c r="F1900">
        <v>16560600</v>
      </c>
      <c r="G1900" t="s">
        <v>11</v>
      </c>
      <c r="H1900" t="s">
        <v>38</v>
      </c>
      <c r="I1900" t="s">
        <v>13</v>
      </c>
      <c r="J1900" t="s">
        <v>13</v>
      </c>
    </row>
    <row r="1901" spans="1:11" x14ac:dyDescent="0.25">
      <c r="A1901" t="s">
        <v>5</v>
      </c>
      <c r="B1901" t="str">
        <f t="shared" si="35"/>
        <v>67291</v>
      </c>
      <c r="C1901" t="str">
        <f>"025"</f>
        <v>025</v>
      </c>
      <c r="D1901">
        <v>2015</v>
      </c>
      <c r="E1901">
        <v>20188300</v>
      </c>
      <c r="F1901">
        <v>13961900</v>
      </c>
      <c r="G1901" t="s">
        <v>11</v>
      </c>
      <c r="H1901" t="s">
        <v>38</v>
      </c>
      <c r="I1901" t="s">
        <v>13</v>
      </c>
      <c r="J1901" t="s">
        <v>13</v>
      </c>
    </row>
    <row r="1902" spans="1:11" x14ac:dyDescent="0.25">
      <c r="A1902" t="s">
        <v>39</v>
      </c>
      <c r="B1902" t="s">
        <v>13</v>
      </c>
      <c r="C1902" t="s">
        <v>7</v>
      </c>
      <c r="D1902" t="s">
        <v>8</v>
      </c>
      <c r="E1902">
        <v>478832200</v>
      </c>
      <c r="F1902">
        <v>284777600</v>
      </c>
      <c r="G1902" t="s">
        <v>11</v>
      </c>
      <c r="H1902">
        <v>6414435300</v>
      </c>
      <c r="I1902" t="s">
        <v>13</v>
      </c>
      <c r="J1902" t="s">
        <v>13</v>
      </c>
      <c r="K1902">
        <v>4.4400000000000004</v>
      </c>
    </row>
    <row r="1904" spans="1:11" x14ac:dyDescent="0.25">
      <c r="A1904" t="s">
        <v>422</v>
      </c>
      <c r="B1904" t="str">
        <f t="shared" ref="B1904:B1909" si="36">"13191"</f>
        <v>13191</v>
      </c>
      <c r="C1904" t="str">
        <f>"002"</f>
        <v>002</v>
      </c>
      <c r="D1904">
        <v>2000</v>
      </c>
      <c r="E1904">
        <v>13179300</v>
      </c>
      <c r="F1904">
        <v>13080500</v>
      </c>
      <c r="G1904" t="s">
        <v>11</v>
      </c>
      <c r="H1904" t="s">
        <v>38</v>
      </c>
      <c r="I1904" t="s">
        <v>13</v>
      </c>
      <c r="J1904" t="s">
        <v>13</v>
      </c>
    </row>
    <row r="1905" spans="1:11" x14ac:dyDescent="0.25">
      <c r="A1905" t="s">
        <v>5</v>
      </c>
      <c r="B1905" t="str">
        <f t="shared" si="36"/>
        <v>13191</v>
      </c>
      <c r="C1905" t="str">
        <f>"003"</f>
        <v>003</v>
      </c>
      <c r="D1905">
        <v>2000</v>
      </c>
      <c r="E1905">
        <v>35210500</v>
      </c>
      <c r="F1905">
        <v>34575800</v>
      </c>
      <c r="G1905" t="s">
        <v>11</v>
      </c>
      <c r="H1905" t="s">
        <v>38</v>
      </c>
      <c r="I1905" t="s">
        <v>13</v>
      </c>
      <c r="J1905" t="s">
        <v>13</v>
      </c>
    </row>
    <row r="1906" spans="1:11" x14ac:dyDescent="0.25">
      <c r="A1906" t="s">
        <v>5</v>
      </c>
      <c r="B1906" t="str">
        <f t="shared" si="36"/>
        <v>13191</v>
      </c>
      <c r="C1906" t="str">
        <f>"004"</f>
        <v>004</v>
      </c>
      <c r="D1906">
        <v>2003</v>
      </c>
      <c r="E1906">
        <v>5526900</v>
      </c>
      <c r="F1906">
        <v>4849500</v>
      </c>
      <c r="G1906" t="s">
        <v>11</v>
      </c>
      <c r="H1906" t="s">
        <v>38</v>
      </c>
      <c r="I1906" t="s">
        <v>13</v>
      </c>
      <c r="J1906" t="s">
        <v>13</v>
      </c>
    </row>
    <row r="1907" spans="1:11" x14ac:dyDescent="0.25">
      <c r="A1907" t="s">
        <v>5</v>
      </c>
      <c r="B1907" t="str">
        <f t="shared" si="36"/>
        <v>13191</v>
      </c>
      <c r="C1907" t="str">
        <f>"005"</f>
        <v>005</v>
      </c>
      <c r="D1907">
        <v>2005</v>
      </c>
      <c r="E1907">
        <v>49813200</v>
      </c>
      <c r="F1907">
        <v>22270000</v>
      </c>
      <c r="G1907" t="s">
        <v>11</v>
      </c>
      <c r="H1907" t="s">
        <v>38</v>
      </c>
      <c r="I1907" t="s">
        <v>13</v>
      </c>
      <c r="J1907" t="s">
        <v>13</v>
      </c>
    </row>
    <row r="1908" spans="1:11" x14ac:dyDescent="0.25">
      <c r="A1908" t="s">
        <v>5</v>
      </c>
      <c r="B1908" t="str">
        <f t="shared" si="36"/>
        <v>13191</v>
      </c>
      <c r="C1908" t="str">
        <f>"006"</f>
        <v>006</v>
      </c>
      <c r="D1908">
        <v>2015</v>
      </c>
      <c r="E1908">
        <v>55409400</v>
      </c>
      <c r="F1908">
        <v>43648300</v>
      </c>
      <c r="G1908" t="s">
        <v>11</v>
      </c>
      <c r="H1908" t="s">
        <v>38</v>
      </c>
      <c r="I1908" t="s">
        <v>13</v>
      </c>
      <c r="J1908" t="s">
        <v>13</v>
      </c>
    </row>
    <row r="1909" spans="1:11" x14ac:dyDescent="0.25">
      <c r="A1909" t="s">
        <v>5</v>
      </c>
      <c r="B1909" t="str">
        <f t="shared" si="36"/>
        <v>13191</v>
      </c>
      <c r="C1909" t="str">
        <f>"007"</f>
        <v>007</v>
      </c>
      <c r="D1909">
        <v>2016</v>
      </c>
      <c r="E1909">
        <v>12053500</v>
      </c>
      <c r="F1909">
        <v>7607800</v>
      </c>
      <c r="G1909" t="s">
        <v>11</v>
      </c>
      <c r="H1909" t="s">
        <v>38</v>
      </c>
      <c r="I1909" t="s">
        <v>13</v>
      </c>
      <c r="J1909" t="s">
        <v>13</v>
      </c>
    </row>
    <row r="1910" spans="1:11" x14ac:dyDescent="0.25">
      <c r="A1910" t="s">
        <v>39</v>
      </c>
      <c r="B1910" t="s">
        <v>13</v>
      </c>
      <c r="C1910" t="s">
        <v>7</v>
      </c>
      <c r="D1910" t="s">
        <v>8</v>
      </c>
      <c r="E1910">
        <v>171192800</v>
      </c>
      <c r="F1910">
        <v>126031900</v>
      </c>
      <c r="G1910" t="s">
        <v>11</v>
      </c>
      <c r="H1910">
        <v>1879516500</v>
      </c>
      <c r="I1910" t="s">
        <v>13</v>
      </c>
      <c r="J1910" t="s">
        <v>13</v>
      </c>
      <c r="K1910">
        <v>6.71</v>
      </c>
    </row>
    <row r="1912" spans="1:11" x14ac:dyDescent="0.25">
      <c r="A1912" t="s">
        <v>423</v>
      </c>
      <c r="B1912" t="str">
        <f t="shared" ref="B1912:B1918" si="37">"68291"</f>
        <v>68291</v>
      </c>
      <c r="C1912" t="str">
        <f>"003"</f>
        <v>003</v>
      </c>
      <c r="D1912">
        <v>2000</v>
      </c>
      <c r="E1912">
        <v>14707200</v>
      </c>
      <c r="F1912">
        <v>12794700</v>
      </c>
      <c r="G1912" t="s">
        <v>11</v>
      </c>
      <c r="H1912" t="s">
        <v>38</v>
      </c>
      <c r="I1912" t="s">
        <v>13</v>
      </c>
      <c r="J1912" t="s">
        <v>13</v>
      </c>
    </row>
    <row r="1913" spans="1:11" x14ac:dyDescent="0.25">
      <c r="A1913" t="s">
        <v>5</v>
      </c>
      <c r="B1913" t="str">
        <f t="shared" si="37"/>
        <v>68291</v>
      </c>
      <c r="C1913" t="str">
        <f>"004"</f>
        <v>004</v>
      </c>
      <c r="D1913">
        <v>2000</v>
      </c>
      <c r="E1913">
        <v>29088200</v>
      </c>
      <c r="F1913">
        <v>26186600</v>
      </c>
      <c r="G1913" t="s">
        <v>11</v>
      </c>
      <c r="H1913" t="s">
        <v>38</v>
      </c>
      <c r="I1913" t="s">
        <v>13</v>
      </c>
      <c r="J1913" t="s">
        <v>13</v>
      </c>
    </row>
    <row r="1914" spans="1:11" x14ac:dyDescent="0.25">
      <c r="A1914" t="s">
        <v>5</v>
      </c>
      <c r="B1914" t="str">
        <f t="shared" si="37"/>
        <v>68291</v>
      </c>
      <c r="C1914" t="str">
        <f>"005"</f>
        <v>005</v>
      </c>
      <c r="D1914">
        <v>2000</v>
      </c>
      <c r="E1914">
        <v>2052400</v>
      </c>
      <c r="F1914">
        <v>835800</v>
      </c>
      <c r="G1914" t="s">
        <v>11</v>
      </c>
      <c r="H1914" t="s">
        <v>38</v>
      </c>
      <c r="I1914" t="s">
        <v>13</v>
      </c>
      <c r="J1914" t="s">
        <v>13</v>
      </c>
    </row>
    <row r="1915" spans="1:11" x14ac:dyDescent="0.25">
      <c r="A1915" t="s">
        <v>5</v>
      </c>
      <c r="B1915" t="str">
        <f t="shared" si="37"/>
        <v>68291</v>
      </c>
      <c r="C1915" t="str">
        <f>"006"</f>
        <v>006</v>
      </c>
      <c r="D1915">
        <v>2000</v>
      </c>
      <c r="E1915">
        <v>33655600</v>
      </c>
      <c r="F1915">
        <v>22749000</v>
      </c>
      <c r="G1915" t="s">
        <v>11</v>
      </c>
      <c r="H1915" t="s">
        <v>38</v>
      </c>
      <c r="I1915" t="s">
        <v>13</v>
      </c>
      <c r="J1915" t="s">
        <v>13</v>
      </c>
    </row>
    <row r="1916" spans="1:11" x14ac:dyDescent="0.25">
      <c r="A1916" t="s">
        <v>5</v>
      </c>
      <c r="B1916" t="str">
        <f t="shared" si="37"/>
        <v>68291</v>
      </c>
      <c r="C1916" t="str">
        <f>"008"</f>
        <v>008</v>
      </c>
      <c r="D1916">
        <v>2001</v>
      </c>
      <c r="E1916">
        <v>7426800</v>
      </c>
      <c r="F1916">
        <v>5654200</v>
      </c>
      <c r="G1916" t="s">
        <v>11</v>
      </c>
      <c r="H1916" t="s">
        <v>38</v>
      </c>
      <c r="I1916" t="s">
        <v>13</v>
      </c>
      <c r="J1916" t="s">
        <v>13</v>
      </c>
    </row>
    <row r="1917" spans="1:11" x14ac:dyDescent="0.25">
      <c r="A1917" t="s">
        <v>5</v>
      </c>
      <c r="B1917" t="str">
        <f t="shared" si="37"/>
        <v>68291</v>
      </c>
      <c r="C1917" t="str">
        <f>"009"</f>
        <v>009</v>
      </c>
      <c r="D1917">
        <v>2001</v>
      </c>
      <c r="E1917">
        <v>1091000</v>
      </c>
      <c r="F1917">
        <v>-1117100</v>
      </c>
      <c r="G1917" t="s">
        <v>43</v>
      </c>
      <c r="H1917" t="s">
        <v>38</v>
      </c>
      <c r="I1917" t="s">
        <v>13</v>
      </c>
      <c r="J1917" t="s">
        <v>13</v>
      </c>
    </row>
    <row r="1918" spans="1:11" x14ac:dyDescent="0.25">
      <c r="A1918" t="s">
        <v>5</v>
      </c>
      <c r="B1918" t="str">
        <f t="shared" si="37"/>
        <v>68291</v>
      </c>
      <c r="C1918" t="str">
        <f>"010"</f>
        <v>010</v>
      </c>
      <c r="D1918">
        <v>2001</v>
      </c>
      <c r="E1918">
        <v>3439500</v>
      </c>
      <c r="F1918">
        <v>3157700</v>
      </c>
      <c r="G1918" t="s">
        <v>11</v>
      </c>
      <c r="H1918" t="s">
        <v>38</v>
      </c>
      <c r="I1918" t="s">
        <v>13</v>
      </c>
      <c r="J1918" t="s">
        <v>13</v>
      </c>
    </row>
    <row r="1919" spans="1:11" x14ac:dyDescent="0.25">
      <c r="A1919" t="s">
        <v>39</v>
      </c>
      <c r="B1919" t="s">
        <v>13</v>
      </c>
      <c r="C1919" t="s">
        <v>7</v>
      </c>
      <c r="D1919" t="s">
        <v>8</v>
      </c>
      <c r="E1919">
        <v>91460700</v>
      </c>
      <c r="F1919">
        <v>71378000</v>
      </c>
      <c r="G1919" t="s">
        <v>11</v>
      </c>
      <c r="H1919">
        <v>425420500</v>
      </c>
      <c r="I1919" t="s">
        <v>13</v>
      </c>
      <c r="J1919" t="s">
        <v>13</v>
      </c>
      <c r="K1919">
        <v>16.78</v>
      </c>
    </row>
    <row r="1921" spans="1:11" x14ac:dyDescent="0.25">
      <c r="A1921" t="s">
        <v>424</v>
      </c>
      <c r="B1921" t="str">
        <f>"14292"</f>
        <v>14292</v>
      </c>
      <c r="C1921" t="str">
        <f>"001"</f>
        <v>001</v>
      </c>
      <c r="D1921">
        <v>1987</v>
      </c>
      <c r="E1921">
        <v>12140200</v>
      </c>
      <c r="F1921">
        <v>11281700</v>
      </c>
      <c r="G1921" t="s">
        <v>11</v>
      </c>
      <c r="H1921" t="s">
        <v>38</v>
      </c>
      <c r="I1921" t="s">
        <v>13</v>
      </c>
      <c r="J1921" t="s">
        <v>13</v>
      </c>
    </row>
    <row r="1922" spans="1:11" x14ac:dyDescent="0.25">
      <c r="A1922" t="s">
        <v>5</v>
      </c>
      <c r="B1922" t="str">
        <f>"20292"</f>
        <v>20292</v>
      </c>
      <c r="C1922" t="str">
        <f>"003"</f>
        <v>003</v>
      </c>
      <c r="D1922">
        <v>2005</v>
      </c>
      <c r="E1922">
        <v>13077500</v>
      </c>
      <c r="F1922">
        <v>2813800</v>
      </c>
      <c r="G1922" t="s">
        <v>11</v>
      </c>
      <c r="H1922" t="s">
        <v>38</v>
      </c>
      <c r="I1922" t="s">
        <v>13</v>
      </c>
      <c r="J1922" t="s">
        <v>13</v>
      </c>
    </row>
    <row r="1923" spans="1:11" x14ac:dyDescent="0.25">
      <c r="A1923" t="s">
        <v>5</v>
      </c>
      <c r="B1923" t="str">
        <f>"14292"</f>
        <v>14292</v>
      </c>
      <c r="C1923" t="str">
        <f>"003"</f>
        <v>003</v>
      </c>
      <c r="D1923">
        <v>2005</v>
      </c>
      <c r="E1923">
        <v>8054800</v>
      </c>
      <c r="F1923">
        <v>1016000</v>
      </c>
      <c r="G1923" t="s">
        <v>11</v>
      </c>
      <c r="H1923" t="s">
        <v>38</v>
      </c>
      <c r="I1923" t="s">
        <v>13</v>
      </c>
      <c r="J1923" t="s">
        <v>13</v>
      </c>
    </row>
    <row r="1924" spans="1:11" x14ac:dyDescent="0.25">
      <c r="A1924" t="s">
        <v>5</v>
      </c>
      <c r="B1924" t="str">
        <f>"14292"</f>
        <v>14292</v>
      </c>
      <c r="C1924" t="str">
        <f>"005"</f>
        <v>005</v>
      </c>
      <c r="D1924">
        <v>2008</v>
      </c>
      <c r="E1924">
        <v>12677800</v>
      </c>
      <c r="F1924">
        <v>10727500</v>
      </c>
      <c r="G1924" t="s">
        <v>11</v>
      </c>
      <c r="H1924" t="s">
        <v>38</v>
      </c>
      <c r="I1924" t="s">
        <v>13</v>
      </c>
      <c r="J1924" t="s">
        <v>13</v>
      </c>
    </row>
    <row r="1925" spans="1:11" x14ac:dyDescent="0.25">
      <c r="A1925" t="s">
        <v>5</v>
      </c>
      <c r="B1925" t="str">
        <f>"14292"</f>
        <v>14292</v>
      </c>
      <c r="C1925" t="str">
        <f>"006"</f>
        <v>006</v>
      </c>
      <c r="D1925">
        <v>2012</v>
      </c>
      <c r="E1925">
        <v>9956500</v>
      </c>
      <c r="F1925">
        <v>4775900</v>
      </c>
      <c r="G1925" t="s">
        <v>11</v>
      </c>
      <c r="H1925" t="s">
        <v>38</v>
      </c>
      <c r="I1925" t="s">
        <v>13</v>
      </c>
      <c r="J1925" t="s">
        <v>13</v>
      </c>
    </row>
    <row r="1926" spans="1:11" x14ac:dyDescent="0.25">
      <c r="A1926" t="s">
        <v>5</v>
      </c>
      <c r="B1926" t="str">
        <f>"20292"</f>
        <v>20292</v>
      </c>
      <c r="C1926" t="str">
        <f>"006"</f>
        <v>006</v>
      </c>
      <c r="D1926">
        <v>2012</v>
      </c>
      <c r="E1926">
        <v>7696300</v>
      </c>
      <c r="F1926">
        <v>-1458300</v>
      </c>
      <c r="G1926" t="s">
        <v>43</v>
      </c>
      <c r="H1926" t="s">
        <v>38</v>
      </c>
      <c r="I1926" t="s">
        <v>13</v>
      </c>
      <c r="J1926" t="s">
        <v>13</v>
      </c>
    </row>
    <row r="1927" spans="1:11" x14ac:dyDescent="0.25">
      <c r="A1927" t="s">
        <v>5</v>
      </c>
      <c r="B1927" t="str">
        <f>"14292"</f>
        <v>14292</v>
      </c>
      <c r="C1927" t="str">
        <f>"007"</f>
        <v>007</v>
      </c>
      <c r="D1927">
        <v>2017</v>
      </c>
      <c r="E1927">
        <v>2150000</v>
      </c>
      <c r="F1927">
        <v>2127900</v>
      </c>
      <c r="G1927" t="s">
        <v>11</v>
      </c>
      <c r="H1927" t="s">
        <v>38</v>
      </c>
      <c r="I1927" t="s">
        <v>13</v>
      </c>
      <c r="J1927" t="s">
        <v>13</v>
      </c>
    </row>
    <row r="1928" spans="1:11" x14ac:dyDescent="0.25">
      <c r="A1928" t="s">
        <v>39</v>
      </c>
      <c r="B1928" t="s">
        <v>13</v>
      </c>
      <c r="C1928" t="s">
        <v>7</v>
      </c>
      <c r="D1928" t="s">
        <v>8</v>
      </c>
      <c r="E1928">
        <v>65753100</v>
      </c>
      <c r="F1928">
        <v>32742800</v>
      </c>
      <c r="G1928" t="s">
        <v>11</v>
      </c>
      <c r="H1928">
        <v>451444500</v>
      </c>
      <c r="I1928" t="s">
        <v>13</v>
      </c>
      <c r="J1928" t="s">
        <v>13</v>
      </c>
      <c r="K1928">
        <v>7.25</v>
      </c>
    </row>
    <row r="1930" spans="1:11" x14ac:dyDescent="0.25">
      <c r="A1930" t="s">
        <v>425</v>
      </c>
      <c r="B1930" t="str">
        <f t="shared" ref="B1930:B1938" si="38">"37291"</f>
        <v>37291</v>
      </c>
      <c r="C1930" t="str">
        <f>"003"</f>
        <v>003</v>
      </c>
      <c r="D1930">
        <v>1994</v>
      </c>
      <c r="E1930">
        <v>146621800</v>
      </c>
      <c r="F1930">
        <v>103803100</v>
      </c>
      <c r="G1930" t="s">
        <v>11</v>
      </c>
      <c r="H1930" t="s">
        <v>38</v>
      </c>
      <c r="I1930" t="s">
        <v>13</v>
      </c>
      <c r="J1930" t="s">
        <v>13</v>
      </c>
    </row>
    <row r="1931" spans="1:11" x14ac:dyDescent="0.25">
      <c r="A1931" t="s">
        <v>5</v>
      </c>
      <c r="B1931" t="str">
        <f t="shared" si="38"/>
        <v>37291</v>
      </c>
      <c r="C1931" t="str">
        <f>"005"</f>
        <v>005</v>
      </c>
      <c r="D1931">
        <v>1997</v>
      </c>
      <c r="E1931">
        <v>34287800</v>
      </c>
      <c r="F1931">
        <v>34187800</v>
      </c>
      <c r="G1931" t="s">
        <v>11</v>
      </c>
      <c r="H1931" t="s">
        <v>38</v>
      </c>
      <c r="I1931" t="s">
        <v>13</v>
      </c>
      <c r="J1931" t="s">
        <v>13</v>
      </c>
    </row>
    <row r="1932" spans="1:11" x14ac:dyDescent="0.25">
      <c r="A1932" t="s">
        <v>5</v>
      </c>
      <c r="B1932" t="str">
        <f t="shared" si="38"/>
        <v>37291</v>
      </c>
      <c r="C1932" t="str">
        <f>"006"</f>
        <v>006</v>
      </c>
      <c r="D1932">
        <v>2005</v>
      </c>
      <c r="E1932">
        <v>182937300</v>
      </c>
      <c r="F1932">
        <v>102096500</v>
      </c>
      <c r="G1932" t="s">
        <v>11</v>
      </c>
      <c r="H1932" t="s">
        <v>38</v>
      </c>
      <c r="I1932" t="s">
        <v>13</v>
      </c>
      <c r="J1932" t="s">
        <v>13</v>
      </c>
    </row>
    <row r="1933" spans="1:11" x14ac:dyDescent="0.25">
      <c r="A1933" t="s">
        <v>5</v>
      </c>
      <c r="B1933" t="str">
        <f t="shared" si="38"/>
        <v>37291</v>
      </c>
      <c r="C1933" t="str">
        <f>"007"</f>
        <v>007</v>
      </c>
      <c r="D1933">
        <v>2006</v>
      </c>
      <c r="E1933">
        <v>58546000</v>
      </c>
      <c r="F1933">
        <v>29020100</v>
      </c>
      <c r="G1933" t="s">
        <v>11</v>
      </c>
      <c r="H1933" t="s">
        <v>38</v>
      </c>
      <c r="I1933" t="s">
        <v>13</v>
      </c>
      <c r="J1933" t="s">
        <v>13</v>
      </c>
    </row>
    <row r="1934" spans="1:11" x14ac:dyDescent="0.25">
      <c r="A1934" t="s">
        <v>5</v>
      </c>
      <c r="B1934" t="str">
        <f t="shared" si="38"/>
        <v>37291</v>
      </c>
      <c r="C1934" t="str">
        <f>"008"</f>
        <v>008</v>
      </c>
      <c r="D1934">
        <v>2012</v>
      </c>
      <c r="E1934">
        <v>45036800</v>
      </c>
      <c r="F1934">
        <v>9627900</v>
      </c>
      <c r="G1934" t="s">
        <v>11</v>
      </c>
      <c r="H1934" t="s">
        <v>38</v>
      </c>
      <c r="I1934" t="s">
        <v>13</v>
      </c>
      <c r="J1934" t="s">
        <v>13</v>
      </c>
    </row>
    <row r="1935" spans="1:11" x14ac:dyDescent="0.25">
      <c r="A1935" t="s">
        <v>5</v>
      </c>
      <c r="B1935" t="str">
        <f t="shared" si="38"/>
        <v>37291</v>
      </c>
      <c r="C1935" t="str">
        <f>"009"</f>
        <v>009</v>
      </c>
      <c r="D1935">
        <v>2012</v>
      </c>
      <c r="E1935">
        <v>2260700</v>
      </c>
      <c r="F1935">
        <v>1028300</v>
      </c>
      <c r="G1935" t="s">
        <v>11</v>
      </c>
      <c r="H1935" t="s">
        <v>38</v>
      </c>
      <c r="I1935" t="s">
        <v>13</v>
      </c>
      <c r="J1935" t="s">
        <v>13</v>
      </c>
    </row>
    <row r="1936" spans="1:11" x14ac:dyDescent="0.25">
      <c r="A1936" t="s">
        <v>5</v>
      </c>
      <c r="B1936" t="str">
        <f t="shared" si="38"/>
        <v>37291</v>
      </c>
      <c r="C1936" t="str">
        <f>"010"</f>
        <v>010</v>
      </c>
      <c r="D1936">
        <v>2013</v>
      </c>
      <c r="E1936">
        <v>54938100</v>
      </c>
      <c r="F1936">
        <v>9225100</v>
      </c>
      <c r="G1936" t="s">
        <v>11</v>
      </c>
      <c r="H1936" t="s">
        <v>38</v>
      </c>
      <c r="I1936" t="s">
        <v>13</v>
      </c>
      <c r="J1936" t="s">
        <v>13</v>
      </c>
    </row>
    <row r="1937" spans="1:11" x14ac:dyDescent="0.25">
      <c r="A1937" t="s">
        <v>5</v>
      </c>
      <c r="B1937" t="str">
        <f t="shared" si="38"/>
        <v>37291</v>
      </c>
      <c r="C1937" t="str">
        <f>"011"</f>
        <v>011</v>
      </c>
      <c r="D1937">
        <v>2017</v>
      </c>
      <c r="E1937">
        <v>2980000</v>
      </c>
      <c r="F1937">
        <v>1593600</v>
      </c>
      <c r="G1937" t="s">
        <v>11</v>
      </c>
      <c r="H1937" t="s">
        <v>38</v>
      </c>
      <c r="I1937" t="s">
        <v>13</v>
      </c>
      <c r="J1937" t="s">
        <v>13</v>
      </c>
    </row>
    <row r="1938" spans="1:11" x14ac:dyDescent="0.25">
      <c r="A1938" t="s">
        <v>5</v>
      </c>
      <c r="B1938" t="str">
        <f t="shared" si="38"/>
        <v>37291</v>
      </c>
      <c r="C1938" t="str">
        <f>"012"</f>
        <v>012</v>
      </c>
      <c r="D1938">
        <v>2017</v>
      </c>
      <c r="E1938">
        <v>23866700</v>
      </c>
      <c r="F1938">
        <v>-8418300</v>
      </c>
      <c r="G1938" t="s">
        <v>43</v>
      </c>
      <c r="H1938" t="s">
        <v>38</v>
      </c>
      <c r="I1938" t="s">
        <v>13</v>
      </c>
      <c r="J1938" t="s">
        <v>13</v>
      </c>
    </row>
    <row r="1939" spans="1:11" x14ac:dyDescent="0.25">
      <c r="A1939" t="s">
        <v>39</v>
      </c>
      <c r="B1939" t="s">
        <v>13</v>
      </c>
      <c r="C1939" t="s">
        <v>7</v>
      </c>
      <c r="D1939" t="s">
        <v>8</v>
      </c>
      <c r="E1939">
        <v>551475200</v>
      </c>
      <c r="F1939">
        <v>290582400</v>
      </c>
      <c r="G1939" t="s">
        <v>11</v>
      </c>
      <c r="H1939">
        <v>2896505400</v>
      </c>
      <c r="I1939" t="s">
        <v>13</v>
      </c>
      <c r="J1939" t="s">
        <v>13</v>
      </c>
      <c r="K1939">
        <v>10.029999999999999</v>
      </c>
    </row>
    <row r="1941" spans="1:11" x14ac:dyDescent="0.25">
      <c r="A1941" t="s">
        <v>426</v>
      </c>
      <c r="B1941" t="str">
        <f>"69291"</f>
        <v>69291</v>
      </c>
      <c r="C1941" t="str">
        <f>"001"</f>
        <v>001</v>
      </c>
      <c r="D1941">
        <v>1995</v>
      </c>
      <c r="E1941">
        <v>25119900</v>
      </c>
      <c r="F1941">
        <v>20982000</v>
      </c>
      <c r="G1941" t="s">
        <v>11</v>
      </c>
      <c r="H1941" t="s">
        <v>38</v>
      </c>
      <c r="I1941" t="s">
        <v>13</v>
      </c>
      <c r="J1941" t="s">
        <v>13</v>
      </c>
    </row>
    <row r="1942" spans="1:11" x14ac:dyDescent="0.25">
      <c r="A1942" t="s">
        <v>5</v>
      </c>
      <c r="B1942" t="str">
        <f>"69291"</f>
        <v>69291</v>
      </c>
      <c r="C1942" t="str">
        <f>"002"</f>
        <v>002</v>
      </c>
      <c r="D1942">
        <v>1996</v>
      </c>
      <c r="E1942">
        <v>7124400</v>
      </c>
      <c r="F1942">
        <v>6334000</v>
      </c>
      <c r="G1942" t="s">
        <v>11</v>
      </c>
      <c r="H1942" t="s">
        <v>38</v>
      </c>
      <c r="I1942" t="s">
        <v>13</v>
      </c>
      <c r="J1942" t="s">
        <v>13</v>
      </c>
    </row>
    <row r="1943" spans="1:11" x14ac:dyDescent="0.25">
      <c r="A1943" t="s">
        <v>39</v>
      </c>
      <c r="B1943" t="s">
        <v>13</v>
      </c>
      <c r="C1943" t="s">
        <v>7</v>
      </c>
      <c r="D1943" t="s">
        <v>8</v>
      </c>
      <c r="E1943">
        <v>32244300</v>
      </c>
      <c r="F1943">
        <v>27316000</v>
      </c>
      <c r="G1943" t="s">
        <v>11</v>
      </c>
      <c r="H1943">
        <v>104511300</v>
      </c>
      <c r="I1943" t="s">
        <v>13</v>
      </c>
      <c r="J1943" t="s">
        <v>13</v>
      </c>
      <c r="K1943">
        <v>26.14</v>
      </c>
    </row>
    <row r="1945" spans="1:11" x14ac:dyDescent="0.25">
      <c r="A1945" t="s">
        <v>427</v>
      </c>
      <c r="B1945" t="str">
        <f t="shared" ref="B1945:B1950" si="39">"40291"</f>
        <v>40291</v>
      </c>
      <c r="C1945" t="str">
        <f>"006"</f>
        <v>006</v>
      </c>
      <c r="D1945">
        <v>2010</v>
      </c>
      <c r="E1945">
        <v>135861200</v>
      </c>
      <c r="F1945">
        <v>109092800</v>
      </c>
      <c r="G1945" t="s">
        <v>11</v>
      </c>
      <c r="H1945" t="s">
        <v>38</v>
      </c>
      <c r="I1945" t="s">
        <v>13</v>
      </c>
      <c r="J1945" t="s">
        <v>13</v>
      </c>
    </row>
    <row r="1946" spans="1:11" x14ac:dyDescent="0.25">
      <c r="A1946" t="s">
        <v>5</v>
      </c>
      <c r="B1946" t="str">
        <f t="shared" si="39"/>
        <v>40291</v>
      </c>
      <c r="C1946" t="str">
        <f>"007"</f>
        <v>007</v>
      </c>
      <c r="D1946">
        <v>2013</v>
      </c>
      <c r="E1946">
        <v>153865600</v>
      </c>
      <c r="F1946">
        <v>133050600</v>
      </c>
      <c r="G1946" t="s">
        <v>11</v>
      </c>
      <c r="H1946" t="s">
        <v>38</v>
      </c>
      <c r="I1946" t="s">
        <v>13</v>
      </c>
      <c r="J1946" t="s">
        <v>13</v>
      </c>
    </row>
    <row r="1947" spans="1:11" x14ac:dyDescent="0.25">
      <c r="A1947" t="s">
        <v>5</v>
      </c>
      <c r="B1947" t="str">
        <f t="shared" si="39"/>
        <v>40291</v>
      </c>
      <c r="C1947" t="str">
        <f>"008"</f>
        <v>008</v>
      </c>
      <c r="D1947">
        <v>2014</v>
      </c>
      <c r="E1947">
        <v>45436100</v>
      </c>
      <c r="F1947">
        <v>23722900</v>
      </c>
      <c r="G1947" t="s">
        <v>11</v>
      </c>
      <c r="H1947" t="s">
        <v>38</v>
      </c>
      <c r="I1947" t="s">
        <v>13</v>
      </c>
      <c r="J1947" t="s">
        <v>13</v>
      </c>
    </row>
    <row r="1948" spans="1:11" x14ac:dyDescent="0.25">
      <c r="A1948" t="s">
        <v>5</v>
      </c>
      <c r="B1948" t="str">
        <f t="shared" si="39"/>
        <v>40291</v>
      </c>
      <c r="C1948" t="str">
        <f>"009"</f>
        <v>009</v>
      </c>
      <c r="D1948">
        <v>2015</v>
      </c>
      <c r="E1948">
        <v>17235100</v>
      </c>
      <c r="F1948">
        <v>12106900</v>
      </c>
      <c r="G1948" t="s">
        <v>11</v>
      </c>
      <c r="H1948" t="s">
        <v>38</v>
      </c>
      <c r="I1948" t="s">
        <v>13</v>
      </c>
      <c r="J1948" t="s">
        <v>13</v>
      </c>
    </row>
    <row r="1949" spans="1:11" x14ac:dyDescent="0.25">
      <c r="A1949" t="s">
        <v>5</v>
      </c>
      <c r="B1949" t="str">
        <f t="shared" si="39"/>
        <v>40291</v>
      </c>
      <c r="C1949" t="str">
        <f>"010"</f>
        <v>010</v>
      </c>
      <c r="D1949">
        <v>2015</v>
      </c>
      <c r="E1949">
        <v>37140800</v>
      </c>
      <c r="F1949">
        <v>33170400</v>
      </c>
      <c r="G1949" t="s">
        <v>11</v>
      </c>
      <c r="H1949" t="s">
        <v>38</v>
      </c>
      <c r="I1949" t="s">
        <v>13</v>
      </c>
      <c r="J1949" t="s">
        <v>13</v>
      </c>
    </row>
    <row r="1950" spans="1:11" x14ac:dyDescent="0.25">
      <c r="A1950" t="s">
        <v>5</v>
      </c>
      <c r="B1950" t="str">
        <f t="shared" si="39"/>
        <v>40291</v>
      </c>
      <c r="C1950" t="str">
        <f>"011"</f>
        <v>011</v>
      </c>
      <c r="D1950">
        <v>2015</v>
      </c>
      <c r="E1950">
        <v>34563300</v>
      </c>
      <c r="F1950">
        <v>23399900</v>
      </c>
      <c r="G1950" t="s">
        <v>11</v>
      </c>
      <c r="H1950" t="s">
        <v>38</v>
      </c>
      <c r="I1950" t="s">
        <v>13</v>
      </c>
      <c r="J1950" t="s">
        <v>13</v>
      </c>
    </row>
    <row r="1951" spans="1:11" x14ac:dyDescent="0.25">
      <c r="A1951" t="s">
        <v>39</v>
      </c>
      <c r="B1951" t="s">
        <v>13</v>
      </c>
      <c r="C1951" t="s">
        <v>7</v>
      </c>
      <c r="D1951" t="s">
        <v>8</v>
      </c>
      <c r="E1951">
        <v>424102100</v>
      </c>
      <c r="F1951">
        <v>334543500</v>
      </c>
      <c r="G1951" t="s">
        <v>11</v>
      </c>
      <c r="H1951">
        <v>6342128700</v>
      </c>
      <c r="I1951" t="s">
        <v>13</v>
      </c>
      <c r="J1951" t="s">
        <v>13</v>
      </c>
      <c r="K1951">
        <v>5.27</v>
      </c>
    </row>
    <row r="1953" spans="1:11" x14ac:dyDescent="0.25">
      <c r="A1953" t="s">
        <v>428</v>
      </c>
      <c r="B1953" t="str">
        <f>"12191"</f>
        <v>12191</v>
      </c>
      <c r="C1953" t="str">
        <f>"002"</f>
        <v>002</v>
      </c>
      <c r="D1953">
        <v>1997</v>
      </c>
      <c r="E1953">
        <v>2815200</v>
      </c>
      <c r="F1953">
        <v>2025100</v>
      </c>
      <c r="G1953" t="s">
        <v>11</v>
      </c>
      <c r="H1953" t="s">
        <v>38</v>
      </c>
      <c r="I1953" t="s">
        <v>13</v>
      </c>
      <c r="J1953" t="s">
        <v>13</v>
      </c>
    </row>
    <row r="1954" spans="1:11" x14ac:dyDescent="0.25">
      <c r="A1954" t="s">
        <v>39</v>
      </c>
      <c r="B1954" t="s">
        <v>13</v>
      </c>
      <c r="C1954" t="s">
        <v>7</v>
      </c>
      <c r="D1954" t="s">
        <v>8</v>
      </c>
      <c r="E1954">
        <v>2815200</v>
      </c>
      <c r="F1954">
        <v>2025100</v>
      </c>
      <c r="G1954" t="s">
        <v>11</v>
      </c>
      <c r="H1954">
        <v>21500500</v>
      </c>
      <c r="I1954" t="s">
        <v>13</v>
      </c>
      <c r="J1954" t="s">
        <v>13</v>
      </c>
      <c r="K1954">
        <v>9.42</v>
      </c>
    </row>
    <row r="1956" spans="1:11" x14ac:dyDescent="0.25">
      <c r="A1956" t="s">
        <v>429</v>
      </c>
      <c r="B1956" t="str">
        <f>"07191"</f>
        <v>07191</v>
      </c>
      <c r="C1956" t="str">
        <f>"002"</f>
        <v>002</v>
      </c>
      <c r="D1956">
        <v>2005</v>
      </c>
      <c r="E1956">
        <v>4094600</v>
      </c>
      <c r="F1956">
        <v>871400</v>
      </c>
      <c r="G1956" t="s">
        <v>11</v>
      </c>
      <c r="H1956" t="s">
        <v>38</v>
      </c>
      <c r="I1956" t="s">
        <v>13</v>
      </c>
      <c r="J1956" t="s">
        <v>13</v>
      </c>
    </row>
    <row r="1957" spans="1:11" x14ac:dyDescent="0.25">
      <c r="A1957" t="s">
        <v>39</v>
      </c>
      <c r="B1957" t="s">
        <v>13</v>
      </c>
      <c r="C1957" t="s">
        <v>7</v>
      </c>
      <c r="D1957" t="s">
        <v>8</v>
      </c>
      <c r="E1957">
        <v>4094600</v>
      </c>
      <c r="F1957">
        <v>871400</v>
      </c>
      <c r="G1957" t="s">
        <v>11</v>
      </c>
      <c r="H1957">
        <v>31352300</v>
      </c>
      <c r="I1957" t="s">
        <v>13</v>
      </c>
      <c r="J1957" t="s">
        <v>13</v>
      </c>
      <c r="K1957">
        <v>2.78</v>
      </c>
    </row>
    <row r="1959" spans="1:11" x14ac:dyDescent="0.25">
      <c r="A1959" t="s">
        <v>430</v>
      </c>
      <c r="B1959" t="str">
        <f t="shared" ref="B1959:B1968" si="40">"40292"</f>
        <v>40292</v>
      </c>
      <c r="C1959" t="str">
        <f>"005"</f>
        <v>005</v>
      </c>
      <c r="D1959">
        <v>2001</v>
      </c>
      <c r="E1959">
        <v>41464700</v>
      </c>
      <c r="F1959">
        <v>22940700</v>
      </c>
      <c r="G1959" t="s">
        <v>11</v>
      </c>
      <c r="H1959" t="s">
        <v>38</v>
      </c>
      <c r="I1959" t="s">
        <v>13</v>
      </c>
      <c r="J1959" t="s">
        <v>13</v>
      </c>
    </row>
    <row r="1960" spans="1:11" x14ac:dyDescent="0.25">
      <c r="A1960" t="s">
        <v>5</v>
      </c>
      <c r="B1960" t="str">
        <f t="shared" si="40"/>
        <v>40292</v>
      </c>
      <c r="C1960" t="str">
        <f>"006"</f>
        <v>006</v>
      </c>
      <c r="D1960">
        <v>2004</v>
      </c>
      <c r="E1960">
        <v>5654800</v>
      </c>
      <c r="F1960">
        <v>4324200</v>
      </c>
      <c r="G1960" t="s">
        <v>11</v>
      </c>
      <c r="H1960" t="s">
        <v>38</v>
      </c>
      <c r="I1960" t="s">
        <v>13</v>
      </c>
      <c r="J1960" t="s">
        <v>13</v>
      </c>
    </row>
    <row r="1961" spans="1:11" x14ac:dyDescent="0.25">
      <c r="A1961" t="s">
        <v>5</v>
      </c>
      <c r="B1961" t="str">
        <f t="shared" si="40"/>
        <v>40292</v>
      </c>
      <c r="C1961" t="str">
        <f>"007"</f>
        <v>007</v>
      </c>
      <c r="D1961">
        <v>2004</v>
      </c>
      <c r="E1961">
        <v>64155700</v>
      </c>
      <c r="F1961">
        <v>48241300</v>
      </c>
      <c r="G1961" t="s">
        <v>11</v>
      </c>
      <c r="H1961" t="s">
        <v>38</v>
      </c>
      <c r="I1961" t="s">
        <v>13</v>
      </c>
      <c r="J1961" t="s">
        <v>13</v>
      </c>
    </row>
    <row r="1962" spans="1:11" x14ac:dyDescent="0.25">
      <c r="A1962" t="s">
        <v>5</v>
      </c>
      <c r="B1962" t="str">
        <f t="shared" si="40"/>
        <v>40292</v>
      </c>
      <c r="C1962" t="str">
        <f>"009"</f>
        <v>009</v>
      </c>
      <c r="D1962">
        <v>2006</v>
      </c>
      <c r="E1962">
        <v>11991800</v>
      </c>
      <c r="F1962">
        <v>9692200</v>
      </c>
      <c r="G1962" t="s">
        <v>11</v>
      </c>
      <c r="H1962" t="s">
        <v>38</v>
      </c>
      <c r="I1962" t="s">
        <v>13</v>
      </c>
      <c r="J1962" t="s">
        <v>13</v>
      </c>
    </row>
    <row r="1963" spans="1:11" x14ac:dyDescent="0.25">
      <c r="A1963" t="s">
        <v>5</v>
      </c>
      <c r="B1963" t="str">
        <f t="shared" si="40"/>
        <v>40292</v>
      </c>
      <c r="C1963" t="str">
        <f>"010"</f>
        <v>010</v>
      </c>
      <c r="D1963">
        <v>2008</v>
      </c>
      <c r="E1963">
        <v>11356800</v>
      </c>
      <c r="F1963">
        <v>7893200</v>
      </c>
      <c r="G1963" t="s">
        <v>11</v>
      </c>
      <c r="H1963" t="s">
        <v>38</v>
      </c>
      <c r="I1963" t="s">
        <v>13</v>
      </c>
      <c r="J1963" t="s">
        <v>13</v>
      </c>
    </row>
    <row r="1964" spans="1:11" x14ac:dyDescent="0.25">
      <c r="A1964" t="s">
        <v>5</v>
      </c>
      <c r="B1964" t="str">
        <f t="shared" si="40"/>
        <v>40292</v>
      </c>
      <c r="C1964" t="str">
        <f>"011"</f>
        <v>011</v>
      </c>
      <c r="D1964">
        <v>2010</v>
      </c>
      <c r="E1964">
        <v>10878300</v>
      </c>
      <c r="F1964">
        <v>6200300</v>
      </c>
      <c r="G1964" t="s">
        <v>11</v>
      </c>
      <c r="H1964" t="s">
        <v>38</v>
      </c>
      <c r="I1964" t="s">
        <v>13</v>
      </c>
      <c r="J1964" t="s">
        <v>13</v>
      </c>
    </row>
    <row r="1965" spans="1:11" x14ac:dyDescent="0.25">
      <c r="A1965" t="s">
        <v>5</v>
      </c>
      <c r="B1965" t="str">
        <f t="shared" si="40"/>
        <v>40292</v>
      </c>
      <c r="C1965" t="str">
        <f>"012"</f>
        <v>012</v>
      </c>
      <c r="D1965">
        <v>2011</v>
      </c>
      <c r="E1965">
        <v>0</v>
      </c>
      <c r="F1965">
        <v>-232900</v>
      </c>
      <c r="G1965" t="s">
        <v>43</v>
      </c>
      <c r="H1965" t="s">
        <v>38</v>
      </c>
      <c r="I1965" t="s">
        <v>13</v>
      </c>
      <c r="J1965" t="s">
        <v>13</v>
      </c>
    </row>
    <row r="1966" spans="1:11" x14ac:dyDescent="0.25">
      <c r="A1966" t="s">
        <v>5</v>
      </c>
      <c r="B1966" t="str">
        <f t="shared" si="40"/>
        <v>40292</v>
      </c>
      <c r="C1966" t="str">
        <f>"013"</f>
        <v>013</v>
      </c>
      <c r="D1966">
        <v>2011</v>
      </c>
      <c r="E1966">
        <v>116900</v>
      </c>
      <c r="F1966">
        <v>-420500</v>
      </c>
      <c r="G1966" t="s">
        <v>43</v>
      </c>
      <c r="H1966" t="s">
        <v>38</v>
      </c>
      <c r="I1966" t="s">
        <v>13</v>
      </c>
      <c r="J1966" t="s">
        <v>13</v>
      </c>
    </row>
    <row r="1967" spans="1:11" x14ac:dyDescent="0.25">
      <c r="A1967" t="s">
        <v>5</v>
      </c>
      <c r="B1967" t="str">
        <f t="shared" si="40"/>
        <v>40292</v>
      </c>
      <c r="C1967" t="str">
        <f>"014"</f>
        <v>014</v>
      </c>
      <c r="D1967">
        <v>2015</v>
      </c>
      <c r="E1967">
        <v>542500</v>
      </c>
      <c r="F1967">
        <v>-811800</v>
      </c>
      <c r="G1967" t="s">
        <v>43</v>
      </c>
      <c r="H1967" t="s">
        <v>38</v>
      </c>
      <c r="I1967" t="s">
        <v>13</v>
      </c>
      <c r="J1967" t="s">
        <v>13</v>
      </c>
    </row>
    <row r="1968" spans="1:11" x14ac:dyDescent="0.25">
      <c r="A1968" t="s">
        <v>5</v>
      </c>
      <c r="B1968" t="str">
        <f t="shared" si="40"/>
        <v>40292</v>
      </c>
      <c r="C1968" t="str">
        <f>"015"</f>
        <v>015</v>
      </c>
      <c r="D1968">
        <v>2016</v>
      </c>
      <c r="E1968">
        <v>714800</v>
      </c>
      <c r="F1968">
        <v>714800</v>
      </c>
      <c r="G1968" t="s">
        <v>11</v>
      </c>
      <c r="H1968" t="s">
        <v>38</v>
      </c>
      <c r="I1968" t="s">
        <v>13</v>
      </c>
      <c r="J1968" t="s">
        <v>13</v>
      </c>
    </row>
    <row r="1969" spans="1:11" x14ac:dyDescent="0.25">
      <c r="A1969" t="s">
        <v>39</v>
      </c>
      <c r="B1969" t="s">
        <v>13</v>
      </c>
      <c r="C1969" t="s">
        <v>7</v>
      </c>
      <c r="D1969" t="s">
        <v>8</v>
      </c>
      <c r="E1969">
        <v>146876300</v>
      </c>
      <c r="F1969">
        <v>100006700</v>
      </c>
      <c r="G1969" t="s">
        <v>11</v>
      </c>
      <c r="H1969">
        <v>3820597600</v>
      </c>
      <c r="I1969" t="s">
        <v>13</v>
      </c>
      <c r="J1969" t="s">
        <v>13</v>
      </c>
      <c r="K1969">
        <v>2.62</v>
      </c>
    </row>
    <row r="1971" spans="1:11" x14ac:dyDescent="0.25">
      <c r="A1971" t="s">
        <v>431</v>
      </c>
      <c r="B1971" t="str">
        <f>"56191"</f>
        <v>56191</v>
      </c>
      <c r="C1971" t="str">
        <f>"002"</f>
        <v>002</v>
      </c>
      <c r="D1971">
        <v>1997</v>
      </c>
      <c r="E1971">
        <v>36737100</v>
      </c>
      <c r="F1971">
        <v>21212600</v>
      </c>
      <c r="G1971" t="s">
        <v>11</v>
      </c>
      <c r="H1971" t="s">
        <v>38</v>
      </c>
      <c r="I1971" t="s">
        <v>13</v>
      </c>
      <c r="J1971" t="s">
        <v>13</v>
      </c>
    </row>
    <row r="1972" spans="1:11" x14ac:dyDescent="0.25">
      <c r="A1972" t="s">
        <v>39</v>
      </c>
      <c r="B1972" t="s">
        <v>13</v>
      </c>
      <c r="C1972" t="s">
        <v>7</v>
      </c>
      <c r="D1972" t="s">
        <v>8</v>
      </c>
      <c r="E1972">
        <v>36737100</v>
      </c>
      <c r="F1972">
        <v>21212600</v>
      </c>
      <c r="G1972" t="s">
        <v>11</v>
      </c>
      <c r="H1972">
        <v>118746400</v>
      </c>
      <c r="I1972" t="s">
        <v>13</v>
      </c>
      <c r="J1972" t="s">
        <v>13</v>
      </c>
      <c r="K1972">
        <v>17.86</v>
      </c>
    </row>
    <row r="1974" spans="1:11" x14ac:dyDescent="0.25">
      <c r="A1974" t="s">
        <v>432</v>
      </c>
      <c r="B1974" t="str">
        <f t="shared" ref="B1974:B1984" si="41">"66291"</f>
        <v>66291</v>
      </c>
      <c r="C1974" t="str">
        <f>"003"</f>
        <v>003</v>
      </c>
      <c r="D1974">
        <v>1995</v>
      </c>
      <c r="E1974">
        <v>34309000</v>
      </c>
      <c r="F1974">
        <v>29491300</v>
      </c>
      <c r="G1974" t="s">
        <v>11</v>
      </c>
      <c r="H1974" t="s">
        <v>38</v>
      </c>
      <c r="I1974" t="s">
        <v>13</v>
      </c>
      <c r="J1974" t="s">
        <v>13</v>
      </c>
    </row>
    <row r="1975" spans="1:11" x14ac:dyDescent="0.25">
      <c r="A1975" t="s">
        <v>5</v>
      </c>
      <c r="B1975" t="str">
        <f t="shared" si="41"/>
        <v>66291</v>
      </c>
      <c r="C1975" t="str">
        <f>"004"</f>
        <v>004</v>
      </c>
      <c r="D1975">
        <v>1997</v>
      </c>
      <c r="E1975">
        <v>70986700</v>
      </c>
      <c r="F1975">
        <v>70156800</v>
      </c>
      <c r="G1975" t="s">
        <v>11</v>
      </c>
      <c r="H1975" t="s">
        <v>38</v>
      </c>
      <c r="I1975" t="s">
        <v>13</v>
      </c>
      <c r="J1975" t="s">
        <v>13</v>
      </c>
    </row>
    <row r="1976" spans="1:11" x14ac:dyDescent="0.25">
      <c r="A1976" t="s">
        <v>5</v>
      </c>
      <c r="B1976" t="str">
        <f t="shared" si="41"/>
        <v>66291</v>
      </c>
      <c r="C1976" t="str">
        <f>"005"</f>
        <v>005</v>
      </c>
      <c r="D1976">
        <v>1998</v>
      </c>
      <c r="E1976">
        <v>10922500</v>
      </c>
      <c r="F1976">
        <v>9129100</v>
      </c>
      <c r="G1976" t="s">
        <v>11</v>
      </c>
      <c r="H1976" t="s">
        <v>38</v>
      </c>
      <c r="I1976" t="s">
        <v>13</v>
      </c>
      <c r="J1976" t="s">
        <v>13</v>
      </c>
    </row>
    <row r="1977" spans="1:11" x14ac:dyDescent="0.25">
      <c r="A1977" t="s">
        <v>5</v>
      </c>
      <c r="B1977" t="str">
        <f t="shared" si="41"/>
        <v>66291</v>
      </c>
      <c r="C1977" t="str">
        <f>"006"</f>
        <v>006</v>
      </c>
      <c r="D1977">
        <v>1999</v>
      </c>
      <c r="E1977">
        <v>48603900</v>
      </c>
      <c r="F1977">
        <v>44300500</v>
      </c>
      <c r="G1977" t="s">
        <v>11</v>
      </c>
      <c r="H1977" t="s">
        <v>38</v>
      </c>
      <c r="I1977" t="s">
        <v>13</v>
      </c>
      <c r="J1977" t="s">
        <v>13</v>
      </c>
    </row>
    <row r="1978" spans="1:11" x14ac:dyDescent="0.25">
      <c r="A1978" t="s">
        <v>5</v>
      </c>
      <c r="B1978" t="str">
        <f t="shared" si="41"/>
        <v>66291</v>
      </c>
      <c r="C1978" t="str">
        <f>"007"</f>
        <v>007</v>
      </c>
      <c r="D1978">
        <v>1999</v>
      </c>
      <c r="E1978">
        <v>29355700</v>
      </c>
      <c r="F1978">
        <v>8378900</v>
      </c>
      <c r="G1978" t="s">
        <v>11</v>
      </c>
      <c r="H1978" t="s">
        <v>38</v>
      </c>
      <c r="I1978" t="s">
        <v>13</v>
      </c>
      <c r="J1978" t="s">
        <v>13</v>
      </c>
    </row>
    <row r="1979" spans="1:11" x14ac:dyDescent="0.25">
      <c r="A1979" t="s">
        <v>5</v>
      </c>
      <c r="B1979" t="str">
        <f t="shared" si="41"/>
        <v>66291</v>
      </c>
      <c r="C1979" t="str">
        <f>"008"</f>
        <v>008</v>
      </c>
      <c r="D1979">
        <v>1999</v>
      </c>
      <c r="E1979">
        <v>1374200</v>
      </c>
      <c r="F1979">
        <v>1308000</v>
      </c>
      <c r="G1979" t="s">
        <v>11</v>
      </c>
      <c r="H1979" t="s">
        <v>38</v>
      </c>
      <c r="I1979" t="s">
        <v>13</v>
      </c>
      <c r="J1979" t="s">
        <v>13</v>
      </c>
    </row>
    <row r="1980" spans="1:11" x14ac:dyDescent="0.25">
      <c r="A1980" t="s">
        <v>5</v>
      </c>
      <c r="B1980" t="str">
        <f t="shared" si="41"/>
        <v>66291</v>
      </c>
      <c r="C1980" t="str">
        <f>"009"</f>
        <v>009</v>
      </c>
      <c r="D1980">
        <v>2003</v>
      </c>
      <c r="E1980">
        <v>5769500</v>
      </c>
      <c r="F1980">
        <v>1625300</v>
      </c>
      <c r="G1980" t="s">
        <v>11</v>
      </c>
      <c r="H1980" t="s">
        <v>38</v>
      </c>
      <c r="I1980" t="s">
        <v>13</v>
      </c>
      <c r="J1980" t="s">
        <v>13</v>
      </c>
    </row>
    <row r="1981" spans="1:11" x14ac:dyDescent="0.25">
      <c r="A1981" t="s">
        <v>5</v>
      </c>
      <c r="B1981" t="str">
        <f t="shared" si="41"/>
        <v>66291</v>
      </c>
      <c r="C1981" t="str">
        <f>"010"</f>
        <v>010</v>
      </c>
      <c r="D1981">
        <v>2004</v>
      </c>
      <c r="E1981">
        <v>48440500</v>
      </c>
      <c r="F1981">
        <v>41847000</v>
      </c>
      <c r="G1981" t="s">
        <v>11</v>
      </c>
      <c r="H1981" t="s">
        <v>38</v>
      </c>
      <c r="I1981" t="s">
        <v>13</v>
      </c>
      <c r="J1981" t="s">
        <v>13</v>
      </c>
    </row>
    <row r="1982" spans="1:11" x14ac:dyDescent="0.25">
      <c r="A1982" t="s">
        <v>5</v>
      </c>
      <c r="B1982" t="str">
        <f t="shared" si="41"/>
        <v>66291</v>
      </c>
      <c r="C1982" t="str">
        <f>"011"</f>
        <v>011</v>
      </c>
      <c r="D1982">
        <v>2005</v>
      </c>
      <c r="E1982">
        <v>29100600</v>
      </c>
      <c r="F1982">
        <v>19477600</v>
      </c>
      <c r="G1982" t="s">
        <v>11</v>
      </c>
      <c r="H1982" t="s">
        <v>38</v>
      </c>
      <c r="I1982" t="s">
        <v>13</v>
      </c>
      <c r="J1982" t="s">
        <v>13</v>
      </c>
    </row>
    <row r="1983" spans="1:11" x14ac:dyDescent="0.25">
      <c r="A1983" t="s">
        <v>5</v>
      </c>
      <c r="B1983" t="str">
        <f t="shared" si="41"/>
        <v>66291</v>
      </c>
      <c r="C1983" t="str">
        <f>"012"</f>
        <v>012</v>
      </c>
      <c r="D1983">
        <v>2008</v>
      </c>
      <c r="E1983">
        <v>33081500</v>
      </c>
      <c r="F1983">
        <v>21277000</v>
      </c>
      <c r="G1983" t="s">
        <v>11</v>
      </c>
      <c r="H1983" t="s">
        <v>38</v>
      </c>
      <c r="I1983" t="s">
        <v>13</v>
      </c>
      <c r="J1983" t="s">
        <v>13</v>
      </c>
    </row>
    <row r="1984" spans="1:11" x14ac:dyDescent="0.25">
      <c r="A1984" t="s">
        <v>5</v>
      </c>
      <c r="B1984" t="str">
        <f t="shared" si="41"/>
        <v>66291</v>
      </c>
      <c r="C1984" t="str">
        <f>"013"</f>
        <v>013</v>
      </c>
      <c r="D1984">
        <v>2011</v>
      </c>
      <c r="E1984">
        <v>4662600</v>
      </c>
      <c r="F1984">
        <v>1028400</v>
      </c>
      <c r="G1984" t="s">
        <v>11</v>
      </c>
      <c r="H1984" t="s">
        <v>38</v>
      </c>
      <c r="I1984" t="s">
        <v>13</v>
      </c>
      <c r="J1984" t="s">
        <v>13</v>
      </c>
    </row>
    <row r="1985" spans="1:11" x14ac:dyDescent="0.25">
      <c r="A1985" t="s">
        <v>39</v>
      </c>
      <c r="B1985" t="s">
        <v>13</v>
      </c>
      <c r="C1985" t="s">
        <v>7</v>
      </c>
      <c r="D1985" t="s">
        <v>8</v>
      </c>
      <c r="E1985">
        <v>316606700</v>
      </c>
      <c r="F1985">
        <v>248019900</v>
      </c>
      <c r="G1985" t="s">
        <v>11</v>
      </c>
      <c r="H1985">
        <v>2766661500</v>
      </c>
      <c r="I1985" t="s">
        <v>13</v>
      </c>
      <c r="J1985" t="s">
        <v>13</v>
      </c>
      <c r="K1985">
        <v>8.9600000000000009</v>
      </c>
    </row>
    <row r="1987" spans="1:11" x14ac:dyDescent="0.25">
      <c r="A1987" t="s">
        <v>433</v>
      </c>
      <c r="B1987" t="str">
        <f>"40191"</f>
        <v>40191</v>
      </c>
      <c r="C1987" t="str">
        <f>"002"</f>
        <v>002</v>
      </c>
      <c r="D1987">
        <v>2001</v>
      </c>
      <c r="E1987">
        <v>95770400</v>
      </c>
      <c r="F1987">
        <v>78095700</v>
      </c>
      <c r="G1987" t="s">
        <v>11</v>
      </c>
      <c r="H1987" t="s">
        <v>38</v>
      </c>
      <c r="I1987" t="s">
        <v>13</v>
      </c>
      <c r="J1987" t="s">
        <v>13</v>
      </c>
    </row>
    <row r="1988" spans="1:11" x14ac:dyDescent="0.25">
      <c r="A1988" t="s">
        <v>5</v>
      </c>
      <c r="B1988" t="str">
        <f>"40191"</f>
        <v>40191</v>
      </c>
      <c r="C1988" t="str">
        <f>"003"</f>
        <v>003</v>
      </c>
      <c r="D1988">
        <v>2003</v>
      </c>
      <c r="E1988">
        <v>2441200</v>
      </c>
      <c r="F1988">
        <v>2274000</v>
      </c>
      <c r="G1988" t="s">
        <v>11</v>
      </c>
      <c r="H1988" t="s">
        <v>38</v>
      </c>
      <c r="I1988" t="s">
        <v>13</v>
      </c>
      <c r="J1988" t="s">
        <v>13</v>
      </c>
    </row>
    <row r="1989" spans="1:11" x14ac:dyDescent="0.25">
      <c r="A1989" t="s">
        <v>39</v>
      </c>
      <c r="B1989" t="s">
        <v>13</v>
      </c>
      <c r="C1989" t="s">
        <v>7</v>
      </c>
      <c r="D1989" t="s">
        <v>8</v>
      </c>
      <c r="E1989">
        <v>98211600</v>
      </c>
      <c r="F1989">
        <v>80369700</v>
      </c>
      <c r="G1989" t="s">
        <v>11</v>
      </c>
      <c r="H1989">
        <v>374321100</v>
      </c>
      <c r="I1989" t="s">
        <v>13</v>
      </c>
      <c r="J1989" t="s">
        <v>13</v>
      </c>
      <c r="K1989">
        <v>21.47</v>
      </c>
    </row>
    <row r="1991" spans="1:11" x14ac:dyDescent="0.25">
      <c r="A1991" t="s">
        <v>434</v>
      </c>
      <c r="B1991" t="str">
        <f>"32191"</f>
        <v>32191</v>
      </c>
      <c r="C1991" t="str">
        <f>"001"</f>
        <v>001</v>
      </c>
      <c r="D1991">
        <v>2007</v>
      </c>
      <c r="E1991">
        <v>15639300</v>
      </c>
      <c r="F1991">
        <v>10728500</v>
      </c>
      <c r="G1991" t="s">
        <v>11</v>
      </c>
      <c r="H1991" t="s">
        <v>38</v>
      </c>
      <c r="I1991" t="s">
        <v>13</v>
      </c>
      <c r="J1991" t="s">
        <v>13</v>
      </c>
    </row>
    <row r="1992" spans="1:11" x14ac:dyDescent="0.25">
      <c r="A1992" t="s">
        <v>39</v>
      </c>
      <c r="B1992" t="s">
        <v>13</v>
      </c>
      <c r="C1992" t="s">
        <v>7</v>
      </c>
      <c r="D1992" t="s">
        <v>8</v>
      </c>
      <c r="E1992">
        <v>15639300</v>
      </c>
      <c r="F1992">
        <v>10728500</v>
      </c>
      <c r="G1992" t="s">
        <v>11</v>
      </c>
      <c r="H1992">
        <v>427862100</v>
      </c>
      <c r="I1992" t="s">
        <v>13</v>
      </c>
      <c r="J1992" t="s">
        <v>13</v>
      </c>
      <c r="K1992">
        <v>2.5099999999999998</v>
      </c>
    </row>
    <row r="1994" spans="1:11" x14ac:dyDescent="0.25">
      <c r="A1994" t="s">
        <v>435</v>
      </c>
      <c r="B1994" t="str">
        <f>"62291"</f>
        <v>62291</v>
      </c>
      <c r="C1994" t="str">
        <f>"002"</f>
        <v>002</v>
      </c>
      <c r="D1994">
        <v>2007</v>
      </c>
      <c r="E1994">
        <v>11128700</v>
      </c>
      <c r="F1994">
        <v>4902000</v>
      </c>
      <c r="G1994" t="s">
        <v>11</v>
      </c>
      <c r="H1994" t="s">
        <v>38</v>
      </c>
      <c r="I1994" t="s">
        <v>13</v>
      </c>
      <c r="J1994" t="s">
        <v>13</v>
      </c>
    </row>
    <row r="1995" spans="1:11" x14ac:dyDescent="0.25">
      <c r="A1995" t="s">
        <v>5</v>
      </c>
      <c r="B1995" t="str">
        <f>"62291"</f>
        <v>62291</v>
      </c>
      <c r="C1995" t="str">
        <f>"003"</f>
        <v>003</v>
      </c>
      <c r="D1995">
        <v>2008</v>
      </c>
      <c r="E1995">
        <v>13659300</v>
      </c>
      <c r="F1995">
        <v>7067600</v>
      </c>
      <c r="G1995" t="s">
        <v>11</v>
      </c>
      <c r="H1995" t="s">
        <v>38</v>
      </c>
      <c r="I1995" t="s">
        <v>13</v>
      </c>
      <c r="J1995" t="s">
        <v>13</v>
      </c>
    </row>
    <row r="1996" spans="1:11" x14ac:dyDescent="0.25">
      <c r="A1996" t="s">
        <v>39</v>
      </c>
      <c r="B1996" t="s">
        <v>13</v>
      </c>
      <c r="C1996" t="s">
        <v>7</v>
      </c>
      <c r="D1996" t="s">
        <v>8</v>
      </c>
      <c r="E1996">
        <v>24788000</v>
      </c>
      <c r="F1996">
        <v>11969600</v>
      </c>
      <c r="G1996" t="s">
        <v>11</v>
      </c>
      <c r="H1996">
        <v>129138600</v>
      </c>
      <c r="I1996" t="s">
        <v>13</v>
      </c>
      <c r="J1996" t="s">
        <v>13</v>
      </c>
      <c r="K1996">
        <v>9.27</v>
      </c>
    </row>
    <row r="1998" spans="1:11" x14ac:dyDescent="0.25">
      <c r="A1998" t="s">
        <v>436</v>
      </c>
      <c r="B1998" t="str">
        <f>"39191"</f>
        <v>39191</v>
      </c>
      <c r="C1998" t="str">
        <f>"001"</f>
        <v>001</v>
      </c>
      <c r="D1998">
        <v>1993</v>
      </c>
      <c r="E1998">
        <v>11783500</v>
      </c>
      <c r="F1998">
        <v>9035000</v>
      </c>
      <c r="G1998" t="s">
        <v>11</v>
      </c>
      <c r="H1998" t="s">
        <v>38</v>
      </c>
      <c r="I1998" t="s">
        <v>13</v>
      </c>
      <c r="J1998" t="s">
        <v>13</v>
      </c>
    </row>
    <row r="1999" spans="1:11" x14ac:dyDescent="0.25">
      <c r="A1999" t="s">
        <v>39</v>
      </c>
      <c r="B1999" t="s">
        <v>13</v>
      </c>
      <c r="C1999" t="s">
        <v>7</v>
      </c>
      <c r="D1999" t="s">
        <v>8</v>
      </c>
      <c r="E1999">
        <v>11783500</v>
      </c>
      <c r="F1999">
        <v>9035000</v>
      </c>
      <c r="G1999" t="s">
        <v>11</v>
      </c>
      <c r="H1999">
        <v>58272800</v>
      </c>
      <c r="I1999" t="s">
        <v>13</v>
      </c>
      <c r="J1999" t="s">
        <v>13</v>
      </c>
      <c r="K1999">
        <v>15.5</v>
      </c>
    </row>
    <row r="2001" spans="1:11" x14ac:dyDescent="0.25">
      <c r="A2001" t="s">
        <v>437</v>
      </c>
      <c r="B2001" t="str">
        <f>"37192"</f>
        <v>37192</v>
      </c>
      <c r="C2001" t="str">
        <f>"001"</f>
        <v>001</v>
      </c>
      <c r="D2001">
        <v>1998</v>
      </c>
      <c r="E2001">
        <v>253763400</v>
      </c>
      <c r="F2001">
        <v>238521800</v>
      </c>
      <c r="G2001" t="s">
        <v>11</v>
      </c>
      <c r="H2001" t="s">
        <v>38</v>
      </c>
      <c r="I2001" t="s">
        <v>13</v>
      </c>
      <c r="J2001" t="s">
        <v>13</v>
      </c>
    </row>
    <row r="2002" spans="1:11" x14ac:dyDescent="0.25">
      <c r="A2002" t="s">
        <v>5</v>
      </c>
      <c r="B2002" t="str">
        <f>"37192"</f>
        <v>37192</v>
      </c>
      <c r="C2002" t="str">
        <f>"002"</f>
        <v>002</v>
      </c>
      <c r="D2002">
        <v>2004</v>
      </c>
      <c r="E2002">
        <v>53869600</v>
      </c>
      <c r="F2002">
        <v>19016600</v>
      </c>
      <c r="G2002" t="s">
        <v>11</v>
      </c>
      <c r="H2002" t="s">
        <v>38</v>
      </c>
      <c r="I2002" t="s">
        <v>13</v>
      </c>
      <c r="J2002" t="s">
        <v>13</v>
      </c>
    </row>
    <row r="2003" spans="1:11" x14ac:dyDescent="0.25">
      <c r="A2003" t="s">
        <v>39</v>
      </c>
      <c r="B2003" t="s">
        <v>13</v>
      </c>
      <c r="C2003" t="s">
        <v>7</v>
      </c>
      <c r="D2003" t="s">
        <v>8</v>
      </c>
      <c r="E2003">
        <v>307633000</v>
      </c>
      <c r="F2003">
        <v>257538400</v>
      </c>
      <c r="G2003" t="s">
        <v>11</v>
      </c>
      <c r="H2003">
        <v>1193258600</v>
      </c>
      <c r="I2003" t="s">
        <v>13</v>
      </c>
      <c r="J2003" t="s">
        <v>13</v>
      </c>
      <c r="K2003">
        <v>21.58</v>
      </c>
    </row>
    <row r="2005" spans="1:11" x14ac:dyDescent="0.25">
      <c r="A2005" t="s">
        <v>438</v>
      </c>
      <c r="B2005" t="str">
        <f>"68292"</f>
        <v>68292</v>
      </c>
      <c r="C2005" t="str">
        <f>"004"</f>
        <v>004</v>
      </c>
      <c r="D2005">
        <v>2001</v>
      </c>
      <c r="E2005">
        <v>3868200</v>
      </c>
      <c r="F2005">
        <v>3409400</v>
      </c>
      <c r="G2005" t="s">
        <v>11</v>
      </c>
      <c r="H2005" t="s">
        <v>38</v>
      </c>
      <c r="I2005" t="s">
        <v>13</v>
      </c>
      <c r="J2005" t="s">
        <v>13</v>
      </c>
    </row>
    <row r="2006" spans="1:11" x14ac:dyDescent="0.25">
      <c r="A2006" t="s">
        <v>5</v>
      </c>
      <c r="B2006" t="str">
        <f>"68292"</f>
        <v>68292</v>
      </c>
      <c r="C2006" t="str">
        <f>"005"</f>
        <v>005</v>
      </c>
      <c r="D2006">
        <v>2007</v>
      </c>
      <c r="E2006">
        <v>2130000</v>
      </c>
      <c r="F2006">
        <v>271200</v>
      </c>
      <c r="G2006" t="s">
        <v>11</v>
      </c>
      <c r="H2006" t="s">
        <v>38</v>
      </c>
      <c r="I2006" t="s">
        <v>13</v>
      </c>
      <c r="J2006" t="s">
        <v>13</v>
      </c>
    </row>
    <row r="2007" spans="1:11" x14ac:dyDescent="0.25">
      <c r="A2007" t="s">
        <v>5</v>
      </c>
      <c r="B2007" t="str">
        <f>"68292"</f>
        <v>68292</v>
      </c>
      <c r="C2007" t="str">
        <f>"006"</f>
        <v>006</v>
      </c>
      <c r="D2007">
        <v>2015</v>
      </c>
      <c r="E2007">
        <v>10813100</v>
      </c>
      <c r="F2007">
        <v>4202100</v>
      </c>
      <c r="G2007" t="s">
        <v>11</v>
      </c>
      <c r="H2007" t="s">
        <v>38</v>
      </c>
      <c r="I2007" t="s">
        <v>13</v>
      </c>
      <c r="J2007" t="s">
        <v>13</v>
      </c>
    </row>
    <row r="2008" spans="1:11" x14ac:dyDescent="0.25">
      <c r="A2008" t="s">
        <v>5</v>
      </c>
      <c r="B2008" t="str">
        <f>"68292"</f>
        <v>68292</v>
      </c>
      <c r="C2008" t="str">
        <f>"007"</f>
        <v>007</v>
      </c>
      <c r="D2008">
        <v>2015</v>
      </c>
      <c r="E2008">
        <v>1349200</v>
      </c>
      <c r="F2008">
        <v>599500</v>
      </c>
      <c r="G2008" t="s">
        <v>11</v>
      </c>
      <c r="H2008" t="s">
        <v>38</v>
      </c>
      <c r="I2008" t="s">
        <v>13</v>
      </c>
      <c r="J2008" t="s">
        <v>13</v>
      </c>
    </row>
    <row r="2009" spans="1:11" x14ac:dyDescent="0.25">
      <c r="A2009" t="s">
        <v>39</v>
      </c>
      <c r="B2009" t="s">
        <v>13</v>
      </c>
      <c r="C2009" t="s">
        <v>7</v>
      </c>
      <c r="D2009" t="s">
        <v>8</v>
      </c>
      <c r="E2009">
        <v>18160500</v>
      </c>
      <c r="F2009">
        <v>8482200</v>
      </c>
      <c r="G2009" t="s">
        <v>11</v>
      </c>
      <c r="H2009">
        <v>94633600</v>
      </c>
      <c r="I2009" t="s">
        <v>13</v>
      </c>
      <c r="J2009" t="s">
        <v>13</v>
      </c>
      <c r="K2009">
        <v>8.9600000000000009</v>
      </c>
    </row>
    <row r="2010" spans="1:11" x14ac:dyDescent="0.25">
      <c r="A2010" t="s">
        <v>438</v>
      </c>
      <c r="B2010" t="str">
        <f>"68042"</f>
        <v>68042</v>
      </c>
      <c r="C2010" t="str">
        <f>"001T"</f>
        <v>001T</v>
      </c>
      <c r="D2010">
        <v>2005</v>
      </c>
      <c r="E2010">
        <v>6783000</v>
      </c>
      <c r="F2010">
        <v>5114300</v>
      </c>
      <c r="G2010" t="s">
        <v>11</v>
      </c>
      <c r="H2010" t="s">
        <v>38</v>
      </c>
      <c r="I2010" t="s">
        <v>13</v>
      </c>
      <c r="J2010" t="s">
        <v>13</v>
      </c>
    </row>
    <row r="2011" spans="1:11" x14ac:dyDescent="0.25">
      <c r="A2011" t="s">
        <v>39</v>
      </c>
      <c r="B2011" t="s">
        <v>13</v>
      </c>
      <c r="C2011" t="s">
        <v>7</v>
      </c>
      <c r="D2011" t="s">
        <v>8</v>
      </c>
      <c r="E2011">
        <v>6783000</v>
      </c>
      <c r="F2011">
        <v>5114300</v>
      </c>
      <c r="G2011" t="s">
        <v>11</v>
      </c>
      <c r="H2011">
        <v>60605800</v>
      </c>
      <c r="I2011">
        <v>8.44</v>
      </c>
      <c r="J2011">
        <v>11.19</v>
      </c>
    </row>
    <row r="2013" spans="1:11" x14ac:dyDescent="0.25">
      <c r="A2013" t="s">
        <v>439</v>
      </c>
      <c r="B2013" t="str">
        <f>"54191"</f>
        <v>54191</v>
      </c>
      <c r="C2013" t="str">
        <f>"001"</f>
        <v>001</v>
      </c>
      <c r="D2013">
        <v>2013</v>
      </c>
      <c r="E2013">
        <v>18063900</v>
      </c>
      <c r="F2013">
        <v>17335200</v>
      </c>
      <c r="G2013" t="s">
        <v>11</v>
      </c>
      <c r="H2013" t="s">
        <v>38</v>
      </c>
      <c r="I2013" t="s">
        <v>13</v>
      </c>
      <c r="J2013" t="s">
        <v>13</v>
      </c>
    </row>
    <row r="2014" spans="1:11" x14ac:dyDescent="0.25">
      <c r="A2014" t="s">
        <v>39</v>
      </c>
      <c r="B2014" t="s">
        <v>13</v>
      </c>
      <c r="C2014" t="s">
        <v>7</v>
      </c>
      <c r="D2014" t="s">
        <v>8</v>
      </c>
      <c r="E2014">
        <v>18063900</v>
      </c>
      <c r="F2014">
        <v>17335200</v>
      </c>
      <c r="G2014" t="s">
        <v>11</v>
      </c>
      <c r="H2014">
        <v>25559100</v>
      </c>
      <c r="I2014" t="s">
        <v>13</v>
      </c>
      <c r="J2014" t="s">
        <v>13</v>
      </c>
      <c r="K2014">
        <v>67.819999999999993</v>
      </c>
    </row>
    <row r="2016" spans="1:11" x14ac:dyDescent="0.25">
      <c r="A2016" t="s">
        <v>440</v>
      </c>
      <c r="B2016" t="str">
        <f>"40192"</f>
        <v>40192</v>
      </c>
      <c r="C2016" t="str">
        <f>"001"</f>
        <v>001</v>
      </c>
      <c r="D2016">
        <v>2004</v>
      </c>
      <c r="E2016">
        <v>63302800</v>
      </c>
      <c r="F2016">
        <v>24899100</v>
      </c>
      <c r="G2016" t="s">
        <v>11</v>
      </c>
      <c r="H2016" t="s">
        <v>38</v>
      </c>
      <c r="I2016" t="s">
        <v>13</v>
      </c>
      <c r="J2016" t="s">
        <v>13</v>
      </c>
    </row>
    <row r="2017" spans="1:11" x14ac:dyDescent="0.25">
      <c r="A2017" t="s">
        <v>5</v>
      </c>
      <c r="B2017" t="str">
        <f>"40192"</f>
        <v>40192</v>
      </c>
      <c r="C2017" t="str">
        <f>"002"</f>
        <v>002</v>
      </c>
      <c r="D2017">
        <v>2013</v>
      </c>
      <c r="E2017">
        <v>16113100</v>
      </c>
      <c r="F2017">
        <v>15707500</v>
      </c>
      <c r="G2017" t="s">
        <v>11</v>
      </c>
      <c r="H2017" t="s">
        <v>38</v>
      </c>
      <c r="I2017" t="s">
        <v>13</v>
      </c>
      <c r="J2017" t="s">
        <v>13</v>
      </c>
    </row>
    <row r="2018" spans="1:11" x14ac:dyDescent="0.25">
      <c r="A2018" t="s">
        <v>39</v>
      </c>
      <c r="B2018" t="s">
        <v>13</v>
      </c>
      <c r="C2018" t="s">
        <v>7</v>
      </c>
      <c r="D2018" t="s">
        <v>8</v>
      </c>
      <c r="E2018">
        <v>79415900</v>
      </c>
      <c r="F2018">
        <v>40606600</v>
      </c>
      <c r="G2018" t="s">
        <v>11</v>
      </c>
      <c r="H2018">
        <v>2280321300</v>
      </c>
      <c r="I2018" t="s">
        <v>13</v>
      </c>
      <c r="J2018" t="s">
        <v>13</v>
      </c>
      <c r="K2018">
        <v>1.78</v>
      </c>
    </row>
    <row r="2020" spans="1:11" x14ac:dyDescent="0.25">
      <c r="A2020" t="s">
        <v>441</v>
      </c>
      <c r="B2020" t="str">
        <f>"61291"</f>
        <v>61291</v>
      </c>
      <c r="C2020" t="str">
        <f>"002"</f>
        <v>002</v>
      </c>
      <c r="D2020">
        <v>2006</v>
      </c>
      <c r="E2020">
        <v>5860100</v>
      </c>
      <c r="F2020">
        <v>4871000</v>
      </c>
      <c r="G2020" t="s">
        <v>11</v>
      </c>
      <c r="H2020" t="s">
        <v>38</v>
      </c>
      <c r="I2020" t="s">
        <v>13</v>
      </c>
      <c r="J2020" t="s">
        <v>13</v>
      </c>
    </row>
    <row r="2021" spans="1:11" x14ac:dyDescent="0.25">
      <c r="A2021" t="s">
        <v>5</v>
      </c>
      <c r="B2021" t="str">
        <f>"61291"</f>
        <v>61291</v>
      </c>
      <c r="C2021" t="str">
        <f>"003"</f>
        <v>003</v>
      </c>
      <c r="D2021">
        <v>2006</v>
      </c>
      <c r="E2021">
        <v>20943800</v>
      </c>
      <c r="F2021">
        <v>13237800</v>
      </c>
      <c r="G2021" t="s">
        <v>11</v>
      </c>
      <c r="H2021" t="s">
        <v>38</v>
      </c>
      <c r="I2021" t="s">
        <v>13</v>
      </c>
      <c r="J2021" t="s">
        <v>13</v>
      </c>
    </row>
    <row r="2022" spans="1:11" x14ac:dyDescent="0.25">
      <c r="A2022" t="s">
        <v>39</v>
      </c>
      <c r="B2022" t="s">
        <v>13</v>
      </c>
      <c r="C2022" t="s">
        <v>7</v>
      </c>
      <c r="D2022" t="s">
        <v>8</v>
      </c>
      <c r="E2022">
        <v>26803900</v>
      </c>
      <c r="F2022">
        <v>18108800</v>
      </c>
      <c r="G2022" t="s">
        <v>11</v>
      </c>
      <c r="H2022">
        <v>106165900</v>
      </c>
      <c r="I2022" t="s">
        <v>13</v>
      </c>
      <c r="J2022" t="s">
        <v>13</v>
      </c>
      <c r="K2022">
        <v>17.059999999999999</v>
      </c>
    </row>
    <row r="2024" spans="1:11" x14ac:dyDescent="0.25">
      <c r="A2024" t="s">
        <v>442</v>
      </c>
      <c r="B2024" t="str">
        <f>"36191"</f>
        <v>36191</v>
      </c>
      <c r="C2024" t="str">
        <f>"002"</f>
        <v>002</v>
      </c>
      <c r="D2024">
        <v>2010</v>
      </c>
      <c r="E2024">
        <v>3428200</v>
      </c>
      <c r="F2024">
        <v>1138100</v>
      </c>
      <c r="G2024" t="s">
        <v>11</v>
      </c>
      <c r="H2024" t="s">
        <v>38</v>
      </c>
      <c r="I2024" t="s">
        <v>13</v>
      </c>
      <c r="J2024" t="s">
        <v>13</v>
      </c>
    </row>
    <row r="2025" spans="1:11" x14ac:dyDescent="0.25">
      <c r="A2025" t="s">
        <v>39</v>
      </c>
      <c r="B2025" t="s">
        <v>13</v>
      </c>
      <c r="C2025" t="s">
        <v>7</v>
      </c>
      <c r="D2025" t="s">
        <v>8</v>
      </c>
      <c r="E2025">
        <v>3428200</v>
      </c>
      <c r="F2025">
        <v>1138100</v>
      </c>
      <c r="G2025" t="s">
        <v>11</v>
      </c>
      <c r="H2025">
        <v>40176400</v>
      </c>
      <c r="I2025" t="s">
        <v>13</v>
      </c>
      <c r="J2025" t="s">
        <v>13</v>
      </c>
      <c r="K2025">
        <v>2.83</v>
      </c>
    </row>
    <row r="2027" spans="1:11" x14ac:dyDescent="0.25">
      <c r="A2027" t="s">
        <v>443</v>
      </c>
      <c r="B2027" t="str">
        <f>"28292"</f>
        <v>28292</v>
      </c>
      <c r="C2027" t="str">
        <f>"004"</f>
        <v>004</v>
      </c>
      <c r="D2027">
        <v>1990</v>
      </c>
      <c r="E2027">
        <v>28062500</v>
      </c>
      <c r="F2027">
        <v>27094300</v>
      </c>
      <c r="G2027" t="s">
        <v>11</v>
      </c>
      <c r="H2027" t="s">
        <v>38</v>
      </c>
      <c r="I2027" t="s">
        <v>13</v>
      </c>
      <c r="J2027" t="s">
        <v>13</v>
      </c>
    </row>
    <row r="2028" spans="1:11" x14ac:dyDescent="0.25">
      <c r="A2028" t="s">
        <v>5</v>
      </c>
      <c r="B2028" t="str">
        <f>"64291"</f>
        <v>64291</v>
      </c>
      <c r="C2028" t="str">
        <f>"004"</f>
        <v>004</v>
      </c>
      <c r="D2028">
        <v>1990</v>
      </c>
      <c r="E2028">
        <v>73284900</v>
      </c>
      <c r="F2028">
        <v>51807800</v>
      </c>
      <c r="G2028" t="s">
        <v>11</v>
      </c>
      <c r="H2028" t="s">
        <v>38</v>
      </c>
      <c r="I2028" t="s">
        <v>13</v>
      </c>
      <c r="J2028" t="s">
        <v>13</v>
      </c>
    </row>
    <row r="2029" spans="1:11" x14ac:dyDescent="0.25">
      <c r="A2029" t="s">
        <v>5</v>
      </c>
      <c r="B2029" t="str">
        <f>"64291"</f>
        <v>64291</v>
      </c>
      <c r="C2029" t="str">
        <f>"005"</f>
        <v>005</v>
      </c>
      <c r="D2029">
        <v>2007</v>
      </c>
      <c r="E2029">
        <v>3755000</v>
      </c>
      <c r="F2029">
        <v>441800</v>
      </c>
      <c r="G2029" t="s">
        <v>11</v>
      </c>
      <c r="H2029" t="s">
        <v>38</v>
      </c>
      <c r="I2029" t="s">
        <v>13</v>
      </c>
      <c r="J2029" t="s">
        <v>13</v>
      </c>
    </row>
    <row r="2030" spans="1:11" x14ac:dyDescent="0.25">
      <c r="A2030" t="s">
        <v>5</v>
      </c>
      <c r="B2030" t="str">
        <f>"28292"</f>
        <v>28292</v>
      </c>
      <c r="C2030" t="str">
        <f>"005"</f>
        <v>005</v>
      </c>
      <c r="D2030">
        <v>2007</v>
      </c>
      <c r="E2030">
        <v>13300</v>
      </c>
      <c r="F2030">
        <v>-1200</v>
      </c>
      <c r="G2030" t="s">
        <v>43</v>
      </c>
      <c r="H2030" t="s">
        <v>38</v>
      </c>
      <c r="I2030" t="s">
        <v>13</v>
      </c>
      <c r="J2030" t="s">
        <v>13</v>
      </c>
    </row>
    <row r="2031" spans="1:11" x14ac:dyDescent="0.25">
      <c r="A2031" t="s">
        <v>5</v>
      </c>
      <c r="B2031" t="str">
        <f>"64291"</f>
        <v>64291</v>
      </c>
      <c r="C2031" t="str">
        <f>"006"</f>
        <v>006</v>
      </c>
      <c r="D2031">
        <v>2007</v>
      </c>
      <c r="E2031">
        <v>5527400</v>
      </c>
      <c r="F2031">
        <v>2904300</v>
      </c>
      <c r="G2031" t="s">
        <v>11</v>
      </c>
      <c r="H2031" t="s">
        <v>38</v>
      </c>
      <c r="I2031" t="s">
        <v>13</v>
      </c>
      <c r="J2031" t="s">
        <v>13</v>
      </c>
    </row>
    <row r="2032" spans="1:11" x14ac:dyDescent="0.25">
      <c r="A2032" t="s">
        <v>5</v>
      </c>
      <c r="B2032" t="str">
        <f>"64291"</f>
        <v>64291</v>
      </c>
      <c r="C2032" t="str">
        <f>"007"</f>
        <v>007</v>
      </c>
      <c r="D2032">
        <v>2007</v>
      </c>
      <c r="E2032">
        <v>300600</v>
      </c>
      <c r="F2032">
        <v>-346100</v>
      </c>
      <c r="G2032" t="s">
        <v>43</v>
      </c>
      <c r="H2032" t="s">
        <v>38</v>
      </c>
      <c r="I2032" t="s">
        <v>13</v>
      </c>
      <c r="J2032" t="s">
        <v>13</v>
      </c>
    </row>
    <row r="2033" spans="1:11" x14ac:dyDescent="0.25">
      <c r="A2033" t="s">
        <v>5</v>
      </c>
      <c r="B2033" t="str">
        <f>"28292"</f>
        <v>28292</v>
      </c>
      <c r="C2033" t="str">
        <f>"008"</f>
        <v>008</v>
      </c>
      <c r="D2033">
        <v>2007</v>
      </c>
      <c r="E2033">
        <v>527300</v>
      </c>
      <c r="F2033">
        <v>23600</v>
      </c>
      <c r="G2033" t="s">
        <v>11</v>
      </c>
      <c r="H2033" t="s">
        <v>38</v>
      </c>
      <c r="I2033" t="s">
        <v>13</v>
      </c>
      <c r="J2033" t="s">
        <v>13</v>
      </c>
    </row>
    <row r="2034" spans="1:11" x14ac:dyDescent="0.25">
      <c r="A2034" t="s">
        <v>5</v>
      </c>
      <c r="B2034" t="str">
        <f>"64291"</f>
        <v>64291</v>
      </c>
      <c r="C2034" t="str">
        <f>"009"</f>
        <v>009</v>
      </c>
      <c r="D2034">
        <v>2007</v>
      </c>
      <c r="E2034">
        <v>62700</v>
      </c>
      <c r="F2034">
        <v>24000</v>
      </c>
      <c r="G2034" t="s">
        <v>11</v>
      </c>
      <c r="H2034" t="s">
        <v>38</v>
      </c>
      <c r="I2034" t="s">
        <v>13</v>
      </c>
      <c r="J2034" t="s">
        <v>13</v>
      </c>
    </row>
    <row r="2035" spans="1:11" x14ac:dyDescent="0.25">
      <c r="A2035" t="s">
        <v>39</v>
      </c>
      <c r="B2035" t="s">
        <v>13</v>
      </c>
      <c r="C2035" t="s">
        <v>7</v>
      </c>
      <c r="D2035" t="s">
        <v>8</v>
      </c>
      <c r="E2035">
        <v>111533700</v>
      </c>
      <c r="F2035">
        <v>82295800</v>
      </c>
      <c r="G2035" t="s">
        <v>11</v>
      </c>
      <c r="H2035">
        <v>666391100</v>
      </c>
      <c r="I2035" t="s">
        <v>13</v>
      </c>
      <c r="J2035" t="s">
        <v>13</v>
      </c>
      <c r="K2035">
        <v>12.35</v>
      </c>
    </row>
    <row r="2037" spans="1:11" x14ac:dyDescent="0.25">
      <c r="A2037" t="s">
        <v>444</v>
      </c>
      <c r="B2037" t="str">
        <f>"49191"</f>
        <v>49191</v>
      </c>
      <c r="C2037" t="str">
        <f>"001"</f>
        <v>001</v>
      </c>
      <c r="D2037">
        <v>1994</v>
      </c>
      <c r="E2037">
        <v>2554200</v>
      </c>
      <c r="F2037">
        <v>849400</v>
      </c>
      <c r="G2037" t="s">
        <v>11</v>
      </c>
      <c r="H2037" t="s">
        <v>38</v>
      </c>
      <c r="I2037" t="s">
        <v>13</v>
      </c>
      <c r="J2037" t="s">
        <v>13</v>
      </c>
    </row>
    <row r="2038" spans="1:11" x14ac:dyDescent="0.25">
      <c r="A2038" t="s">
        <v>39</v>
      </c>
      <c r="B2038" t="s">
        <v>13</v>
      </c>
      <c r="C2038" t="s">
        <v>7</v>
      </c>
      <c r="D2038" t="s">
        <v>8</v>
      </c>
      <c r="E2038">
        <v>2554200</v>
      </c>
      <c r="F2038">
        <v>849400</v>
      </c>
      <c r="G2038" t="s">
        <v>11</v>
      </c>
      <c r="H2038">
        <v>125723300</v>
      </c>
      <c r="I2038" t="s">
        <v>13</v>
      </c>
      <c r="J2038" t="s">
        <v>13</v>
      </c>
      <c r="K2038">
        <v>0.68</v>
      </c>
    </row>
    <row r="2040" spans="1:11" x14ac:dyDescent="0.25">
      <c r="A2040" t="s">
        <v>445</v>
      </c>
      <c r="B2040" t="str">
        <f>"69191"</f>
        <v>69191</v>
      </c>
      <c r="C2040" t="str">
        <f>"002"</f>
        <v>002</v>
      </c>
      <c r="D2040">
        <v>2000</v>
      </c>
      <c r="E2040">
        <v>2117500</v>
      </c>
      <c r="F2040">
        <v>1112500</v>
      </c>
      <c r="G2040" t="s">
        <v>11</v>
      </c>
      <c r="H2040" t="s">
        <v>38</v>
      </c>
      <c r="I2040" t="s">
        <v>13</v>
      </c>
      <c r="J2040" t="s">
        <v>13</v>
      </c>
    </row>
    <row r="2041" spans="1:11" x14ac:dyDescent="0.25">
      <c r="A2041" t="s">
        <v>5</v>
      </c>
      <c r="B2041" t="str">
        <f>"69191"</f>
        <v>69191</v>
      </c>
      <c r="C2041" t="str">
        <f>"003"</f>
        <v>003</v>
      </c>
      <c r="D2041">
        <v>2006</v>
      </c>
      <c r="E2041">
        <v>1814100</v>
      </c>
      <c r="F2041">
        <v>978500</v>
      </c>
      <c r="G2041" t="s">
        <v>11</v>
      </c>
      <c r="H2041" t="s">
        <v>38</v>
      </c>
      <c r="I2041" t="s">
        <v>13</v>
      </c>
      <c r="J2041" t="s">
        <v>13</v>
      </c>
    </row>
    <row r="2042" spans="1:11" x14ac:dyDescent="0.25">
      <c r="A2042" t="s">
        <v>39</v>
      </c>
      <c r="B2042" t="s">
        <v>13</v>
      </c>
      <c r="C2042" t="s">
        <v>7</v>
      </c>
      <c r="D2042" t="s">
        <v>8</v>
      </c>
      <c r="E2042">
        <v>3931600</v>
      </c>
      <c r="F2042">
        <v>2091000</v>
      </c>
      <c r="G2042" t="s">
        <v>11</v>
      </c>
      <c r="H2042">
        <v>32590800</v>
      </c>
      <c r="I2042" t="s">
        <v>13</v>
      </c>
      <c r="J2042" t="s">
        <v>13</v>
      </c>
      <c r="K2042">
        <v>6.42</v>
      </c>
    </row>
    <row r="2044" spans="1:11" x14ac:dyDescent="0.25">
      <c r="A2044" t="s">
        <v>446</v>
      </c>
      <c r="B2044" t="str">
        <f>"41191"</f>
        <v>41191</v>
      </c>
      <c r="C2044" t="str">
        <f>"002"</f>
        <v>002</v>
      </c>
      <c r="D2044">
        <v>1998</v>
      </c>
      <c r="E2044">
        <v>15895000</v>
      </c>
      <c r="F2044">
        <v>13633500</v>
      </c>
      <c r="G2044" t="s">
        <v>11</v>
      </c>
      <c r="H2044" t="s">
        <v>38</v>
      </c>
      <c r="I2044" t="s">
        <v>13</v>
      </c>
      <c r="J2044" t="s">
        <v>13</v>
      </c>
    </row>
    <row r="2045" spans="1:11" x14ac:dyDescent="0.25">
      <c r="A2045" t="s">
        <v>39</v>
      </c>
      <c r="B2045" t="s">
        <v>13</v>
      </c>
      <c r="C2045" t="s">
        <v>7</v>
      </c>
      <c r="D2045" t="s">
        <v>8</v>
      </c>
      <c r="E2045">
        <v>15895000</v>
      </c>
      <c r="F2045">
        <v>13633500</v>
      </c>
      <c r="G2045" t="s">
        <v>11</v>
      </c>
      <c r="H2045">
        <v>32370800</v>
      </c>
      <c r="I2045" t="s">
        <v>13</v>
      </c>
      <c r="J2045" t="s">
        <v>13</v>
      </c>
      <c r="K2045">
        <v>42.12</v>
      </c>
    </row>
    <row r="2047" spans="1:11" x14ac:dyDescent="0.25">
      <c r="A2047" t="s">
        <v>447</v>
      </c>
      <c r="B2047" t="str">
        <f>"13196"</f>
        <v>13196</v>
      </c>
      <c r="C2047" t="str">
        <f>"001"</f>
        <v>001</v>
      </c>
      <c r="D2047">
        <v>2014</v>
      </c>
      <c r="E2047">
        <v>19496400</v>
      </c>
      <c r="F2047">
        <v>19113800</v>
      </c>
      <c r="G2047" t="s">
        <v>11</v>
      </c>
      <c r="H2047" t="s">
        <v>38</v>
      </c>
      <c r="I2047" t="s">
        <v>13</v>
      </c>
      <c r="J2047" t="s">
        <v>13</v>
      </c>
    </row>
    <row r="2048" spans="1:11" x14ac:dyDescent="0.25">
      <c r="A2048" t="s">
        <v>39</v>
      </c>
      <c r="B2048" t="s">
        <v>13</v>
      </c>
      <c r="C2048" t="s">
        <v>7</v>
      </c>
      <c r="D2048" t="s">
        <v>8</v>
      </c>
      <c r="E2048">
        <v>19496400</v>
      </c>
      <c r="F2048">
        <v>19113800</v>
      </c>
      <c r="G2048" t="s">
        <v>11</v>
      </c>
      <c r="H2048">
        <v>910980300</v>
      </c>
      <c r="I2048" t="s">
        <v>13</v>
      </c>
      <c r="J2048" t="s">
        <v>13</v>
      </c>
      <c r="K2048">
        <v>2.1</v>
      </c>
    </row>
    <row r="2050" spans="1:11" x14ac:dyDescent="0.25">
      <c r="A2050" t="s">
        <v>448</v>
      </c>
      <c r="B2050" t="str">
        <f>"70191"</f>
        <v>70191</v>
      </c>
      <c r="C2050" t="str">
        <f>"003"</f>
        <v>003</v>
      </c>
      <c r="D2050">
        <v>1996</v>
      </c>
      <c r="E2050">
        <v>6310100</v>
      </c>
      <c r="F2050">
        <v>1663800</v>
      </c>
      <c r="G2050" t="s">
        <v>11</v>
      </c>
      <c r="H2050" t="s">
        <v>38</v>
      </c>
      <c r="I2050" t="s">
        <v>13</v>
      </c>
      <c r="J2050" t="s">
        <v>13</v>
      </c>
    </row>
    <row r="2051" spans="1:11" x14ac:dyDescent="0.25">
      <c r="A2051" t="s">
        <v>5</v>
      </c>
      <c r="B2051" t="str">
        <f>"70191"</f>
        <v>70191</v>
      </c>
      <c r="C2051" t="str">
        <f>"005"</f>
        <v>005</v>
      </c>
      <c r="D2051">
        <v>2000</v>
      </c>
      <c r="E2051">
        <v>12430000</v>
      </c>
      <c r="F2051">
        <v>7678400</v>
      </c>
      <c r="G2051" t="s">
        <v>11</v>
      </c>
      <c r="H2051" t="s">
        <v>38</v>
      </c>
      <c r="I2051" t="s">
        <v>13</v>
      </c>
      <c r="J2051" t="s">
        <v>13</v>
      </c>
    </row>
    <row r="2052" spans="1:11" x14ac:dyDescent="0.25">
      <c r="A2052" t="s">
        <v>5</v>
      </c>
      <c r="B2052" t="str">
        <f>"70191"</f>
        <v>70191</v>
      </c>
      <c r="C2052" t="str">
        <f>"006"</f>
        <v>006</v>
      </c>
      <c r="D2052">
        <v>2000</v>
      </c>
      <c r="E2052">
        <v>4753200</v>
      </c>
      <c r="F2052">
        <v>3923700</v>
      </c>
      <c r="G2052" t="s">
        <v>11</v>
      </c>
      <c r="H2052" t="s">
        <v>38</v>
      </c>
      <c r="I2052" t="s">
        <v>13</v>
      </c>
      <c r="J2052" t="s">
        <v>13</v>
      </c>
    </row>
    <row r="2053" spans="1:11" x14ac:dyDescent="0.25">
      <c r="A2053" t="s">
        <v>5</v>
      </c>
      <c r="B2053" t="str">
        <f>"70191"</f>
        <v>70191</v>
      </c>
      <c r="C2053" t="str">
        <f>"007"</f>
        <v>007</v>
      </c>
      <c r="D2053">
        <v>2002</v>
      </c>
      <c r="E2053">
        <v>7222400</v>
      </c>
      <c r="F2053">
        <v>5152100</v>
      </c>
      <c r="G2053" t="s">
        <v>11</v>
      </c>
      <c r="H2053" t="s">
        <v>38</v>
      </c>
      <c r="I2053" t="s">
        <v>13</v>
      </c>
      <c r="J2053" t="s">
        <v>13</v>
      </c>
    </row>
    <row r="2054" spans="1:11" x14ac:dyDescent="0.25">
      <c r="A2054" t="s">
        <v>5</v>
      </c>
      <c r="B2054" t="str">
        <f>"70191"</f>
        <v>70191</v>
      </c>
      <c r="C2054" t="str">
        <f>"008"</f>
        <v>008</v>
      </c>
      <c r="D2054">
        <v>2011</v>
      </c>
      <c r="E2054">
        <v>1800000</v>
      </c>
      <c r="F2054">
        <v>1800000</v>
      </c>
      <c r="G2054" t="s">
        <v>11</v>
      </c>
      <c r="H2054" t="s">
        <v>38</v>
      </c>
      <c r="I2054" t="s">
        <v>13</v>
      </c>
      <c r="J2054" t="s">
        <v>13</v>
      </c>
    </row>
    <row r="2055" spans="1:11" x14ac:dyDescent="0.25">
      <c r="A2055" t="s">
        <v>39</v>
      </c>
      <c r="B2055" t="s">
        <v>13</v>
      </c>
      <c r="C2055" t="s">
        <v>7</v>
      </c>
      <c r="D2055" t="s">
        <v>8</v>
      </c>
      <c r="E2055">
        <v>32515700</v>
      </c>
      <c r="F2055">
        <v>20218000</v>
      </c>
      <c r="G2055" t="s">
        <v>11</v>
      </c>
      <c r="H2055">
        <v>214190100</v>
      </c>
      <c r="I2055" t="s">
        <v>13</v>
      </c>
      <c r="J2055" t="s">
        <v>13</v>
      </c>
      <c r="K2055">
        <v>9.44</v>
      </c>
    </row>
    <row r="2057" spans="1:11" x14ac:dyDescent="0.25">
      <c r="A2057" t="s">
        <v>449</v>
      </c>
      <c r="B2057" t="str">
        <f>"56291"</f>
        <v>56291</v>
      </c>
      <c r="C2057" t="str">
        <f>"002"</f>
        <v>002</v>
      </c>
      <c r="D2057">
        <v>2001</v>
      </c>
      <c r="E2057">
        <v>34555500</v>
      </c>
      <c r="F2057">
        <v>18972900</v>
      </c>
      <c r="G2057" t="s">
        <v>11</v>
      </c>
      <c r="H2057" t="s">
        <v>38</v>
      </c>
      <c r="I2057" t="s">
        <v>13</v>
      </c>
      <c r="J2057" t="s">
        <v>13</v>
      </c>
    </row>
    <row r="2058" spans="1:11" x14ac:dyDescent="0.25">
      <c r="A2058" t="s">
        <v>5</v>
      </c>
      <c r="B2058" t="str">
        <f>"01291"</f>
        <v>01291</v>
      </c>
      <c r="C2058" t="str">
        <f>"003"</f>
        <v>003</v>
      </c>
      <c r="D2058">
        <v>2005</v>
      </c>
      <c r="E2058">
        <v>75203500</v>
      </c>
      <c r="F2058">
        <v>73054300</v>
      </c>
      <c r="G2058" t="s">
        <v>11</v>
      </c>
      <c r="H2058" t="s">
        <v>38</v>
      </c>
      <c r="I2058" t="s">
        <v>13</v>
      </c>
      <c r="J2058" t="s">
        <v>13</v>
      </c>
    </row>
    <row r="2059" spans="1:11" x14ac:dyDescent="0.25">
      <c r="A2059" t="s">
        <v>5</v>
      </c>
      <c r="B2059" t="str">
        <f>"11291"</f>
        <v>11291</v>
      </c>
      <c r="C2059" t="str">
        <f>"003"</f>
        <v>003</v>
      </c>
      <c r="D2059">
        <v>2006</v>
      </c>
      <c r="E2059">
        <v>19907900</v>
      </c>
      <c r="F2059">
        <v>4552500</v>
      </c>
      <c r="G2059" t="s">
        <v>11</v>
      </c>
      <c r="H2059" t="s">
        <v>38</v>
      </c>
      <c r="I2059" t="s">
        <v>13</v>
      </c>
      <c r="J2059" t="s">
        <v>13</v>
      </c>
    </row>
    <row r="2060" spans="1:11" x14ac:dyDescent="0.25">
      <c r="A2060" t="s">
        <v>5</v>
      </c>
      <c r="B2060" t="str">
        <f>"56291"</f>
        <v>56291</v>
      </c>
      <c r="C2060" t="str">
        <f>"003"</f>
        <v>003</v>
      </c>
      <c r="D2060">
        <v>2006</v>
      </c>
      <c r="E2060">
        <v>3336000</v>
      </c>
      <c r="F2060">
        <v>1370800</v>
      </c>
      <c r="G2060" t="s">
        <v>11</v>
      </c>
      <c r="H2060" t="s">
        <v>38</v>
      </c>
      <c r="I2060" t="s">
        <v>13</v>
      </c>
      <c r="J2060" t="s">
        <v>13</v>
      </c>
    </row>
    <row r="2061" spans="1:11" x14ac:dyDescent="0.25">
      <c r="A2061" t="s">
        <v>5</v>
      </c>
      <c r="B2061" t="str">
        <f>"29291"</f>
        <v>29291</v>
      </c>
      <c r="C2061" t="str">
        <f>"004"</f>
        <v>004</v>
      </c>
      <c r="D2061">
        <v>2006</v>
      </c>
      <c r="E2061">
        <v>456400</v>
      </c>
      <c r="F2061">
        <v>-93300</v>
      </c>
      <c r="G2061" t="s">
        <v>43</v>
      </c>
      <c r="H2061" t="s">
        <v>38</v>
      </c>
      <c r="I2061" t="s">
        <v>13</v>
      </c>
      <c r="J2061" t="s">
        <v>13</v>
      </c>
    </row>
    <row r="2062" spans="1:11" x14ac:dyDescent="0.25">
      <c r="A2062" t="s">
        <v>5</v>
      </c>
      <c r="B2062" t="str">
        <f>"56291"</f>
        <v>56291</v>
      </c>
      <c r="C2062" t="str">
        <f>"004"</f>
        <v>004</v>
      </c>
      <c r="D2062">
        <v>2006</v>
      </c>
      <c r="E2062">
        <v>2951200</v>
      </c>
      <c r="F2062">
        <v>1487100</v>
      </c>
      <c r="G2062" t="s">
        <v>11</v>
      </c>
      <c r="H2062" t="s">
        <v>38</v>
      </c>
      <c r="I2062" t="s">
        <v>13</v>
      </c>
      <c r="J2062" t="s">
        <v>13</v>
      </c>
    </row>
    <row r="2063" spans="1:11" x14ac:dyDescent="0.25">
      <c r="A2063" t="s">
        <v>39</v>
      </c>
      <c r="B2063" t="s">
        <v>13</v>
      </c>
      <c r="C2063" t="s">
        <v>7</v>
      </c>
      <c r="D2063" t="s">
        <v>8</v>
      </c>
      <c r="E2063">
        <v>136410500</v>
      </c>
      <c r="F2063">
        <v>99437600</v>
      </c>
      <c r="G2063" t="s">
        <v>11</v>
      </c>
      <c r="H2063">
        <v>433800300</v>
      </c>
      <c r="I2063" t="s">
        <v>13</v>
      </c>
      <c r="J2063" t="s">
        <v>13</v>
      </c>
      <c r="K2063">
        <v>22.92</v>
      </c>
    </row>
    <row r="2065" spans="1:11" x14ac:dyDescent="0.25">
      <c r="A2065" t="s">
        <v>450</v>
      </c>
      <c r="B2065" t="str">
        <f>"71291"</f>
        <v>71291</v>
      </c>
      <c r="C2065" t="str">
        <f>"006"</f>
        <v>006</v>
      </c>
      <c r="D2065">
        <v>2004</v>
      </c>
      <c r="E2065">
        <v>15721600</v>
      </c>
      <c r="F2065">
        <v>11806500</v>
      </c>
      <c r="G2065" t="s">
        <v>11</v>
      </c>
      <c r="H2065" t="s">
        <v>38</v>
      </c>
      <c r="I2065" t="s">
        <v>13</v>
      </c>
      <c r="J2065" t="s">
        <v>13</v>
      </c>
    </row>
    <row r="2066" spans="1:11" x14ac:dyDescent="0.25">
      <c r="A2066" t="s">
        <v>5</v>
      </c>
      <c r="B2066" t="str">
        <f>"71291"</f>
        <v>71291</v>
      </c>
      <c r="C2066" t="str">
        <f>"007"</f>
        <v>007</v>
      </c>
      <c r="D2066">
        <v>2005</v>
      </c>
      <c r="E2066">
        <v>37359400</v>
      </c>
      <c r="F2066">
        <v>2409700</v>
      </c>
      <c r="G2066" t="s">
        <v>11</v>
      </c>
      <c r="H2066" t="s">
        <v>38</v>
      </c>
      <c r="I2066" t="s">
        <v>13</v>
      </c>
      <c r="J2066" t="s">
        <v>13</v>
      </c>
    </row>
    <row r="2067" spans="1:11" x14ac:dyDescent="0.25">
      <c r="A2067" t="s">
        <v>39</v>
      </c>
      <c r="B2067" t="s">
        <v>13</v>
      </c>
      <c r="C2067" t="s">
        <v>7</v>
      </c>
      <c r="D2067" t="s">
        <v>8</v>
      </c>
      <c r="E2067">
        <v>53081000</v>
      </c>
      <c r="F2067">
        <v>14216200</v>
      </c>
      <c r="G2067" t="s">
        <v>11</v>
      </c>
      <c r="H2067">
        <v>1052128900</v>
      </c>
      <c r="I2067" t="s">
        <v>13</v>
      </c>
      <c r="J2067" t="s">
        <v>13</v>
      </c>
      <c r="K2067">
        <v>1.35</v>
      </c>
    </row>
    <row r="2069" spans="1:11" x14ac:dyDescent="0.25">
      <c r="A2069" t="s">
        <v>451</v>
      </c>
      <c r="B2069" t="str">
        <f>"10191"</f>
        <v>10191</v>
      </c>
      <c r="C2069" t="str">
        <f>"001"</f>
        <v>001</v>
      </c>
      <c r="D2069">
        <v>1996</v>
      </c>
      <c r="E2069">
        <v>2689600</v>
      </c>
      <c r="F2069">
        <v>2189800</v>
      </c>
      <c r="G2069" t="s">
        <v>11</v>
      </c>
      <c r="H2069" t="s">
        <v>38</v>
      </c>
      <c r="I2069" t="s">
        <v>13</v>
      </c>
      <c r="J2069" t="s">
        <v>13</v>
      </c>
    </row>
    <row r="2070" spans="1:11" x14ac:dyDescent="0.25">
      <c r="A2070" t="s">
        <v>5</v>
      </c>
      <c r="B2070" t="str">
        <f>"10191"</f>
        <v>10191</v>
      </c>
      <c r="C2070" t="str">
        <f>"002"</f>
        <v>002</v>
      </c>
      <c r="D2070">
        <v>2010</v>
      </c>
      <c r="E2070">
        <v>924200</v>
      </c>
      <c r="F2070">
        <v>495500</v>
      </c>
      <c r="G2070" t="s">
        <v>11</v>
      </c>
      <c r="H2070" t="s">
        <v>38</v>
      </c>
      <c r="I2070" t="s">
        <v>13</v>
      </c>
      <c r="J2070" t="s">
        <v>13</v>
      </c>
    </row>
    <row r="2071" spans="1:11" x14ac:dyDescent="0.25">
      <c r="A2071" t="s">
        <v>5</v>
      </c>
      <c r="B2071" t="str">
        <f>"10191"</f>
        <v>10191</v>
      </c>
      <c r="C2071" t="str">
        <f>"003"</f>
        <v>003</v>
      </c>
      <c r="D2071">
        <v>2012</v>
      </c>
      <c r="E2071">
        <v>703100</v>
      </c>
      <c r="F2071">
        <v>440300</v>
      </c>
      <c r="G2071" t="s">
        <v>11</v>
      </c>
      <c r="H2071" t="s">
        <v>38</v>
      </c>
      <c r="I2071" t="s">
        <v>13</v>
      </c>
      <c r="J2071" t="s">
        <v>13</v>
      </c>
    </row>
    <row r="2072" spans="1:11" x14ac:dyDescent="0.25">
      <c r="A2072" t="s">
        <v>39</v>
      </c>
      <c r="B2072" t="s">
        <v>13</v>
      </c>
      <c r="C2072" t="s">
        <v>7</v>
      </c>
      <c r="D2072" t="s">
        <v>8</v>
      </c>
      <c r="E2072">
        <v>4316900</v>
      </c>
      <c r="F2072">
        <v>3125600</v>
      </c>
      <c r="G2072" t="s">
        <v>11</v>
      </c>
      <c r="H2072">
        <v>21595800</v>
      </c>
      <c r="I2072" t="s">
        <v>13</v>
      </c>
      <c r="J2072" t="s">
        <v>13</v>
      </c>
      <c r="K2072">
        <v>14.47</v>
      </c>
    </row>
    <row r="2074" spans="1:11" x14ac:dyDescent="0.25">
      <c r="A2074" t="s">
        <v>452</v>
      </c>
      <c r="B2074" t="str">
        <f>"58191"</f>
        <v>58191</v>
      </c>
      <c r="C2074" t="str">
        <f>"001"</f>
        <v>001</v>
      </c>
      <c r="D2074">
        <v>2000</v>
      </c>
      <c r="E2074">
        <v>7081900</v>
      </c>
      <c r="F2074">
        <v>6880500</v>
      </c>
      <c r="G2074" t="s">
        <v>11</v>
      </c>
      <c r="H2074" t="s">
        <v>38</v>
      </c>
      <c r="I2074" t="s">
        <v>13</v>
      </c>
      <c r="J2074" t="s">
        <v>13</v>
      </c>
    </row>
    <row r="2075" spans="1:11" x14ac:dyDescent="0.25">
      <c r="A2075" t="s">
        <v>5</v>
      </c>
      <c r="B2075" t="str">
        <f>"58191"</f>
        <v>58191</v>
      </c>
      <c r="C2075" t="str">
        <f>"002"</f>
        <v>002</v>
      </c>
      <c r="D2075">
        <v>2011</v>
      </c>
      <c r="E2075">
        <v>2485600</v>
      </c>
      <c r="F2075">
        <v>1077700</v>
      </c>
      <c r="G2075" t="s">
        <v>11</v>
      </c>
      <c r="H2075" t="s">
        <v>38</v>
      </c>
      <c r="I2075" t="s">
        <v>13</v>
      </c>
      <c r="J2075" t="s">
        <v>13</v>
      </c>
    </row>
    <row r="2076" spans="1:11" x14ac:dyDescent="0.25">
      <c r="A2076" t="s">
        <v>5</v>
      </c>
      <c r="B2076" t="str">
        <f>"58191"</f>
        <v>58191</v>
      </c>
      <c r="C2076" t="str">
        <f>"003"</f>
        <v>003</v>
      </c>
      <c r="D2076">
        <v>2015</v>
      </c>
      <c r="E2076">
        <v>7209900</v>
      </c>
      <c r="F2076">
        <v>7206600</v>
      </c>
      <c r="G2076" t="s">
        <v>11</v>
      </c>
      <c r="H2076" t="s">
        <v>38</v>
      </c>
      <c r="I2076" t="s">
        <v>13</v>
      </c>
      <c r="J2076" t="s">
        <v>13</v>
      </c>
    </row>
    <row r="2077" spans="1:11" x14ac:dyDescent="0.25">
      <c r="A2077" t="s">
        <v>39</v>
      </c>
      <c r="B2077" t="s">
        <v>13</v>
      </c>
      <c r="C2077" t="s">
        <v>7</v>
      </c>
      <c r="D2077" t="s">
        <v>8</v>
      </c>
      <c r="E2077">
        <v>16777400</v>
      </c>
      <c r="F2077">
        <v>15164800</v>
      </c>
      <c r="G2077" t="s">
        <v>11</v>
      </c>
      <c r="H2077">
        <v>57110000</v>
      </c>
      <c r="I2077" t="s">
        <v>13</v>
      </c>
      <c r="J2077" t="s">
        <v>13</v>
      </c>
      <c r="K2077">
        <v>26.55</v>
      </c>
    </row>
    <row r="2079" spans="1:11" x14ac:dyDescent="0.25">
      <c r="A2079" t="s">
        <v>453</v>
      </c>
      <c r="B2079" t="str">
        <f>"55192"</f>
        <v>55192</v>
      </c>
      <c r="C2079" t="str">
        <f>"003"</f>
        <v>003</v>
      </c>
      <c r="D2079">
        <v>1995</v>
      </c>
      <c r="E2079">
        <v>20284700</v>
      </c>
      <c r="F2079">
        <v>19283700</v>
      </c>
      <c r="G2079" t="s">
        <v>11</v>
      </c>
      <c r="H2079" t="s">
        <v>38</v>
      </c>
      <c r="I2079" t="s">
        <v>13</v>
      </c>
      <c r="J2079" t="s">
        <v>13</v>
      </c>
    </row>
    <row r="2080" spans="1:11" x14ac:dyDescent="0.25">
      <c r="A2080" t="s">
        <v>5</v>
      </c>
      <c r="B2080" t="str">
        <f>"55192"</f>
        <v>55192</v>
      </c>
      <c r="C2080" t="str">
        <f>"004"</f>
        <v>004</v>
      </c>
      <c r="D2080">
        <v>2005</v>
      </c>
      <c r="E2080">
        <v>811000</v>
      </c>
      <c r="F2080">
        <v>617400</v>
      </c>
      <c r="G2080" t="s">
        <v>11</v>
      </c>
      <c r="H2080" t="s">
        <v>38</v>
      </c>
      <c r="I2080" t="s">
        <v>13</v>
      </c>
      <c r="J2080" t="s">
        <v>13</v>
      </c>
    </row>
    <row r="2081" spans="1:11" x14ac:dyDescent="0.25">
      <c r="A2081" t="s">
        <v>39</v>
      </c>
      <c r="B2081" t="s">
        <v>13</v>
      </c>
      <c r="C2081" t="s">
        <v>7</v>
      </c>
      <c r="D2081" t="s">
        <v>8</v>
      </c>
      <c r="E2081">
        <v>21095700</v>
      </c>
      <c r="F2081">
        <v>19901100</v>
      </c>
      <c r="G2081" t="s">
        <v>11</v>
      </c>
      <c r="H2081">
        <v>87872500</v>
      </c>
      <c r="I2081" t="s">
        <v>13</v>
      </c>
      <c r="J2081" t="s">
        <v>13</v>
      </c>
      <c r="K2081">
        <v>22.65</v>
      </c>
    </row>
    <row r="2083" spans="1:11" x14ac:dyDescent="0.25">
      <c r="A2083" t="s">
        <v>454</v>
      </c>
      <c r="B2083" t="str">
        <f>"05191"</f>
        <v>05191</v>
      </c>
      <c r="C2083" t="str">
        <f>"003"</f>
        <v>003</v>
      </c>
      <c r="D2083">
        <v>2015</v>
      </c>
      <c r="E2083">
        <v>8068800</v>
      </c>
      <c r="F2083">
        <v>-705700</v>
      </c>
      <c r="G2083" t="s">
        <v>43</v>
      </c>
      <c r="H2083" t="s">
        <v>38</v>
      </c>
      <c r="I2083" t="s">
        <v>13</v>
      </c>
      <c r="J2083" t="s">
        <v>13</v>
      </c>
    </row>
    <row r="2084" spans="1:11" x14ac:dyDescent="0.25">
      <c r="A2084" t="s">
        <v>5</v>
      </c>
      <c r="B2084" t="str">
        <f>"44191"</f>
        <v>44191</v>
      </c>
      <c r="C2084" t="str">
        <f>"003"</f>
        <v>003</v>
      </c>
      <c r="D2084">
        <v>2015</v>
      </c>
      <c r="E2084">
        <v>17304600</v>
      </c>
      <c r="F2084">
        <v>15510500</v>
      </c>
      <c r="G2084" t="s">
        <v>11</v>
      </c>
      <c r="H2084" t="s">
        <v>38</v>
      </c>
      <c r="I2084" t="s">
        <v>13</v>
      </c>
      <c r="J2084" t="s">
        <v>13</v>
      </c>
    </row>
    <row r="2085" spans="1:11" x14ac:dyDescent="0.25">
      <c r="A2085" t="s">
        <v>5</v>
      </c>
      <c r="B2085" t="str">
        <f>"05191"</f>
        <v>05191</v>
      </c>
      <c r="C2085" t="str">
        <f>"004"</f>
        <v>004</v>
      </c>
      <c r="D2085">
        <v>2016</v>
      </c>
      <c r="E2085">
        <v>294600</v>
      </c>
      <c r="F2085">
        <v>286200</v>
      </c>
      <c r="G2085" t="s">
        <v>11</v>
      </c>
      <c r="H2085" t="s">
        <v>38</v>
      </c>
      <c r="I2085" t="s">
        <v>13</v>
      </c>
      <c r="J2085" t="s">
        <v>13</v>
      </c>
    </row>
    <row r="2086" spans="1:11" x14ac:dyDescent="0.25">
      <c r="A2086" t="s">
        <v>5</v>
      </c>
      <c r="B2086" t="str">
        <f>"44191"</f>
        <v>44191</v>
      </c>
      <c r="C2086" t="str">
        <f>"004"</f>
        <v>004</v>
      </c>
      <c r="D2086">
        <v>2016</v>
      </c>
      <c r="E2086">
        <v>904000</v>
      </c>
      <c r="F2086">
        <v>-183500</v>
      </c>
      <c r="G2086" t="s">
        <v>43</v>
      </c>
      <c r="H2086" t="s">
        <v>38</v>
      </c>
      <c r="I2086" t="s">
        <v>13</v>
      </c>
      <c r="J2086" t="s">
        <v>13</v>
      </c>
    </row>
    <row r="2087" spans="1:11" x14ac:dyDescent="0.25">
      <c r="A2087" t="s">
        <v>39</v>
      </c>
      <c r="B2087" t="s">
        <v>13</v>
      </c>
      <c r="C2087" t="s">
        <v>7</v>
      </c>
      <c r="D2087" t="s">
        <v>8</v>
      </c>
      <c r="E2087">
        <v>26572000</v>
      </c>
      <c r="F2087">
        <v>15796700</v>
      </c>
      <c r="G2087" t="s">
        <v>11</v>
      </c>
      <c r="H2087">
        <v>254760200</v>
      </c>
      <c r="I2087" t="s">
        <v>13</v>
      </c>
      <c r="J2087" t="s">
        <v>13</v>
      </c>
      <c r="K2087">
        <v>6.2</v>
      </c>
    </row>
    <row r="2089" spans="1:11" x14ac:dyDescent="0.25">
      <c r="A2089" t="s">
        <v>455</v>
      </c>
    </row>
    <row r="2092" spans="1:11" x14ac:dyDescent="0.25">
      <c r="A2092" t="s">
        <v>456</v>
      </c>
    </row>
    <row r="2094" spans="1:11" x14ac:dyDescent="0.25">
      <c r="A2094" t="s">
        <v>457</v>
      </c>
      <c r="E2094">
        <v>20979151015</v>
      </c>
    </row>
    <row r="2096" spans="1:11" x14ac:dyDescent="0.25">
      <c r="A2096" t="s">
        <v>458</v>
      </c>
      <c r="E2096">
        <v>33466742800</v>
      </c>
    </row>
    <row r="2098" spans="1:5" x14ac:dyDescent="0.25">
      <c r="A2098" t="s">
        <v>459</v>
      </c>
      <c r="E2098" s="1">
        <v>330172539300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2018</_x002e_DocumentYear>
    <_dlc_DocId xmlns="bb65cc95-6d4e-4879-a879-9838761499af">33E6D4FPPFNA-691263572-5894</_dlc_DocId>
    <_dlc_DocIdUrl xmlns="bb65cc95-6d4e-4879-a879-9838761499af">
      <Url>http://apwmad0p7106:9444/_layouts/15/DocIdRedir.aspx?ID=33E6D4FPPFNA-691263572-5894</Url>
      <Description>33E6D4FPPFNA-691263572-5894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5876F7-C8F4-48B4-A5AA-2C882C030FA5}"/>
</file>

<file path=customXml/itemProps2.xml><?xml version="1.0" encoding="utf-8"?>
<ds:datastoreItem xmlns:ds="http://schemas.openxmlformats.org/officeDocument/2006/customXml" ds:itemID="{F9304DA0-5444-4331-8C8E-FB7C220E3FC0}"/>
</file>

<file path=customXml/itemProps3.xml><?xml version="1.0" encoding="utf-8"?>
<ds:datastoreItem xmlns:ds="http://schemas.openxmlformats.org/officeDocument/2006/customXml" ds:itemID="{BFCA8566-21CE-480E-BCAE-17F442A6D338}"/>
</file>

<file path=customXml/itemProps4.xml><?xml version="1.0" encoding="utf-8"?>
<ds:datastoreItem xmlns:ds="http://schemas.openxmlformats.org/officeDocument/2006/customXml" ds:itemID="{115ECCAF-9DE7-4BE3-AAD0-34AB7D6329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TID304WI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TIF Value Limitation Report</dc:title>
  <dc:creator>Johnson, Timothy A - DOR</dc:creator>
  <cp:lastModifiedBy>Johnson, Timothy A; FTE; 01/23/2017</cp:lastModifiedBy>
  <dcterms:created xsi:type="dcterms:W3CDTF">2018-08-09T17:52:29Z</dcterms:created>
  <dcterms:modified xsi:type="dcterms:W3CDTF">2018-08-13T13:34:40Z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430b6e7b-5d90-4adf-876b-5968fbc5a4b7</vt:lpwstr>
  </property>
</Properties>
</file>